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https://sunorchardllc.sharepoint.com/sites/MonthEnd-supportdocuments/Shared Documents/General/FY 25/2025-10 July/"/>
    </mc:Choice>
  </mc:AlternateContent>
  <xr:revisionPtr revIDLastSave="0" documentId="8_{DE19258B-9F6E-4FAA-B92D-A6AC02A686F3}" xr6:coauthVersionLast="47" xr6:coauthVersionMax="47" xr10:uidLastSave="{00000000-0000-0000-0000-000000000000}"/>
  <bookViews>
    <workbookView xWindow="28680" yWindow="-120" windowWidth="29040" windowHeight="15840" tabRatio="612" firstSheet="6" activeTab="14" xr2:uid="{DEB18E43-2724-4DC9-A2A5-EBEE5E6F0DED}"/>
  </bookViews>
  <sheets>
    <sheet name="Sheet1" sheetId="33" state="hidden" r:id="rId1"/>
    <sheet name="Detail" sheetId="27" r:id="rId2"/>
    <sheet name="PT" sheetId="30" r:id="rId3"/>
    <sheet name="FL+AZ - RM" sheetId="22" r:id="rId4"/>
    <sheet name="AZ WIP" sheetId="4" r:id="rId5"/>
    <sheet name="FL WIP" sheetId="5" r:id="rId6"/>
    <sheet name="TX WIP" sheetId="32" r:id="rId7"/>
    <sheet name="AZ DL&amp;OH FG" sheetId="9" r:id="rId8"/>
    <sheet name="FL DL&amp;OH FG" sheetId="8" r:id="rId9"/>
    <sheet name="TX DL&amp;OH FG" sheetId="31" r:id="rId10"/>
    <sheet name="AZ Inv Value" sheetId="3" r:id="rId11"/>
    <sheet name="FL Inv Value" sheetId="6" r:id="rId12"/>
    <sheet name="Recap" sheetId="2" r:id="rId13"/>
    <sheet name="Summary" sheetId="19" r:id="rId14"/>
    <sheet name="Monthly JE" sheetId="20" r:id="rId15"/>
    <sheet name="Summary 2" sheetId="12" r:id="rId16"/>
    <sheet name="Annual Rate ADJ JE" sheetId="29" state="hidden" r:id="rId17"/>
  </sheets>
  <externalReferences>
    <externalReference r:id="rId18"/>
    <externalReference r:id="rId19"/>
    <externalReference r:id="rId20"/>
    <externalReference r:id="rId21"/>
    <externalReference r:id="rId22"/>
    <externalReference r:id="rId23"/>
    <externalReference r:id="rId24"/>
  </externalReferences>
  <definedNames>
    <definedName name="_xlnm._FilterDatabase" localSheetId="7" hidden="1">'AZ DL&amp;OH FG'!$J$7:$K$385</definedName>
    <definedName name="_xlnm._FilterDatabase" localSheetId="1" hidden="1">Detail!$A$6:$L$1259</definedName>
    <definedName name="_xlnm._FilterDatabase" localSheetId="8" hidden="1">'FL DL&amp;OH FG'!$J$7:$J$370</definedName>
    <definedName name="_xlnm._FilterDatabase" localSheetId="5" hidden="1">'FL WIP'!$H$5:$O$6</definedName>
    <definedName name="_xlnm._FilterDatabase" localSheetId="14" hidden="1">'Monthly JE'!$A$3:$G$135</definedName>
    <definedName name="_xlnm._FilterDatabase" localSheetId="12" hidden="1">Recap!$I$4:$M$93</definedName>
    <definedName name="_xlnm._FilterDatabase" localSheetId="9" hidden="1">'TX DL&amp;OH FG'!#REF!</definedName>
    <definedName name="BridgeData">OFFSET(#REF!,0,0,COUNTA(#REF!),COUNTA(#REF!)-1)</definedName>
    <definedName name="Detail">Detail!$A$6:OFFSET(Detail!$A$6,COUNTA(Detail!$A:$A)-4,COUNTA(Detail!$6:$6)-3)</definedName>
    <definedName name="_xlnm.Print_Area" localSheetId="7">'AZ DL&amp;OH FG'!$A$1:$J$401</definedName>
    <definedName name="_xlnm.Print_Area" localSheetId="4">'AZ WIP'!$A$1:$J$225</definedName>
    <definedName name="_xlnm.Print_Area" localSheetId="8">'FL DL&amp;OH FG'!$A$1:$K$395</definedName>
    <definedName name="_xlnm.Print_Area" localSheetId="5">'FL WIP'!$A$1:$N$304</definedName>
    <definedName name="_xlnm.Print_Area" localSheetId="3">'FL+AZ - RM'!$A$1:$J$68</definedName>
    <definedName name="_xlnm.Print_Area" localSheetId="14">'Monthly JE'!$B$1:$H$135</definedName>
    <definedName name="_xlnm.Print_Area" localSheetId="13">Summary!$A$2:$F$39</definedName>
    <definedName name="_xlnm.Print_Area" localSheetId="15">'Summary 2'!$A$1:$AH$38</definedName>
    <definedName name="_xlnm.Print_Area" localSheetId="9">'TX DL&amp;OH FG'!$A$1:$M$48</definedName>
    <definedName name="_xlnm.Print_Area" localSheetId="6">'TX WIP'!$A$1:$J$53</definedName>
  </definedNames>
  <calcPr calcId="191028"/>
  <pivotCaches>
    <pivotCache cacheId="15" r:id="rId2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2" i="20" l="1"/>
  <c r="F113" i="20"/>
  <c r="F134" i="20"/>
  <c r="K29" i="20"/>
  <c r="O29" i="20"/>
  <c r="I380" i="8"/>
  <c r="G384" i="8"/>
  <c r="F384" i="8"/>
  <c r="F372" i="8"/>
  <c r="C382" i="8" s="1"/>
  <c r="I302" i="5"/>
  <c r="G74" i="22"/>
  <c r="C73" i="22"/>
  <c r="C74" i="22" s="1"/>
  <c r="D27" i="2"/>
  <c r="F112" i="20" l="1"/>
  <c r="G401" i="9"/>
  <c r="F295" i="5"/>
  <c r="F287" i="5"/>
  <c r="I265" i="5"/>
  <c r="I270" i="5" s="1"/>
  <c r="I299" i="5" s="1"/>
  <c r="O187" i="5"/>
  <c r="D292" i="5"/>
  <c r="D291" i="5"/>
  <c r="D275" i="5"/>
  <c r="D274" i="5"/>
  <c r="D290" i="5"/>
  <c r="D289" i="5"/>
  <c r="D20" i="2"/>
  <c r="D19" i="2"/>
  <c r="G192" i="4" l="1"/>
  <c r="G176" i="4"/>
  <c r="G152" i="4"/>
  <c r="G125" i="4"/>
  <c r="E57" i="22"/>
  <c r="E24" i="22"/>
  <c r="I67" i="22"/>
  <c r="J24" i="22"/>
  <c r="I65" i="22"/>
  <c r="J44" i="22" l="1"/>
  <c r="I10" i="22"/>
  <c r="D57" i="22" l="1"/>
  <c r="F57" i="22"/>
  <c r="E53" i="22"/>
  <c r="E10" i="22"/>
  <c r="I9" i="22"/>
  <c r="E9" i="22"/>
  <c r="N452" i="30"/>
  <c r="M452" i="30"/>
  <c r="O449" i="30"/>
  <c r="N449" i="30"/>
  <c r="M449" i="30"/>
  <c r="M443" i="30"/>
  <c r="N443" i="30"/>
  <c r="O443" i="30"/>
  <c r="M444" i="30"/>
  <c r="N444" i="30"/>
  <c r="O444" i="30"/>
  <c r="M445" i="30"/>
  <c r="N445" i="30"/>
  <c r="O445" i="30"/>
  <c r="M446" i="30"/>
  <c r="N446" i="30"/>
  <c r="O446" i="30"/>
  <c r="M447" i="30"/>
  <c r="N447" i="30"/>
  <c r="O447" i="30"/>
  <c r="M448" i="30"/>
  <c r="N448" i="30"/>
  <c r="O448" i="30"/>
  <c r="M442" i="30"/>
  <c r="N442" i="30"/>
  <c r="N439" i="30"/>
  <c r="N440" i="30"/>
  <c r="N441" i="30"/>
  <c r="N438" i="30"/>
  <c r="N389" i="30"/>
  <c r="N380" i="30"/>
  <c r="O338" i="30"/>
  <c r="O339" i="30"/>
  <c r="O340" i="30"/>
  <c r="O341" i="30"/>
  <c r="O342" i="30"/>
  <c r="O343" i="30"/>
  <c r="O344" i="30"/>
  <c r="O345" i="30"/>
  <c r="O346" i="30"/>
  <c r="M338" i="30"/>
  <c r="N338" i="30"/>
  <c r="M339" i="30"/>
  <c r="N339" i="30"/>
  <c r="M340" i="30"/>
  <c r="N340" i="30"/>
  <c r="M341" i="30"/>
  <c r="N341" i="30"/>
  <c r="M342" i="30"/>
  <c r="N342" i="30"/>
  <c r="M343" i="30"/>
  <c r="N343" i="30"/>
  <c r="M344" i="30"/>
  <c r="N344" i="30"/>
  <c r="M345" i="30"/>
  <c r="N345" i="30"/>
  <c r="M346" i="30"/>
  <c r="N346" i="30"/>
  <c r="M347" i="30"/>
  <c r="N347" i="30"/>
  <c r="M348" i="30"/>
  <c r="N348" i="30"/>
  <c r="M349" i="30"/>
  <c r="N349" i="30"/>
  <c r="M350" i="30"/>
  <c r="N350" i="30"/>
  <c r="M351" i="30"/>
  <c r="N351" i="30"/>
  <c r="M352" i="30"/>
  <c r="N352" i="30"/>
  <c r="M353" i="30"/>
  <c r="N353" i="30"/>
  <c r="M354" i="30"/>
  <c r="N354" i="30"/>
  <c r="M355" i="30"/>
  <c r="N355" i="30"/>
  <c r="M356" i="30"/>
  <c r="N356" i="30"/>
  <c r="M357" i="30"/>
  <c r="N357" i="30"/>
  <c r="M358" i="30"/>
  <c r="N358" i="30"/>
  <c r="M359" i="30"/>
  <c r="N359" i="30"/>
  <c r="M360" i="30"/>
  <c r="N360" i="30"/>
  <c r="M361" i="30"/>
  <c r="N361" i="30"/>
  <c r="M335" i="30"/>
  <c r="M332" i="30"/>
  <c r="O316" i="30"/>
  <c r="M306" i="30"/>
  <c r="M308" i="30"/>
  <c r="O284" i="30"/>
  <c r="L281" i="30"/>
  <c r="M281" i="30"/>
  <c r="L282" i="30"/>
  <c r="L283" i="30"/>
  <c r="L284" i="30"/>
  <c r="L285" i="30"/>
  <c r="L286" i="30"/>
  <c r="M282" i="30"/>
  <c r="M283" i="30"/>
  <c r="M284" i="30"/>
  <c r="M285" i="30"/>
  <c r="N285" i="30"/>
  <c r="C53" i="22"/>
  <c r="G10" i="22"/>
  <c r="C10" i="22"/>
  <c r="C92" i="5"/>
  <c r="D92" i="5" l="1"/>
  <c r="N332" i="30"/>
  <c r="J9" i="22" l="1"/>
  <c r="F10" i="22"/>
  <c r="J10" i="22"/>
  <c r="F9" i="22"/>
  <c r="O92" i="5" l="1"/>
  <c r="K1101" i="27" l="1"/>
  <c r="K1102" i="27"/>
  <c r="K1103" i="27"/>
  <c r="K1104" i="27"/>
  <c r="K1105" i="27"/>
  <c r="K1106" i="27"/>
  <c r="K1107" i="27"/>
  <c r="K1108" i="27"/>
  <c r="K1109" i="27"/>
  <c r="K1110" i="27"/>
  <c r="K1111" i="27"/>
  <c r="K1112" i="27"/>
  <c r="K1113" i="27"/>
  <c r="K1114" i="27"/>
  <c r="K1115" i="27"/>
  <c r="K1116" i="27"/>
  <c r="K1117" i="27"/>
  <c r="K1118" i="27"/>
  <c r="K1119" i="27"/>
  <c r="K1120" i="27"/>
  <c r="K1121" i="27"/>
  <c r="K1122" i="27"/>
  <c r="K1123" i="27"/>
  <c r="K1124" i="27"/>
  <c r="K1125" i="27"/>
  <c r="K1126" i="27"/>
  <c r="K1127" i="27"/>
  <c r="K1128" i="27"/>
  <c r="K1129" i="27"/>
  <c r="K1130" i="27"/>
  <c r="K1131" i="27"/>
  <c r="K1132" i="27"/>
  <c r="K1133" i="27"/>
  <c r="K1134" i="27"/>
  <c r="K1135" i="27"/>
  <c r="K1136" i="27"/>
  <c r="K1137" i="27"/>
  <c r="K1138" i="27"/>
  <c r="K1139" i="27"/>
  <c r="K1140" i="27"/>
  <c r="K1141" i="27"/>
  <c r="K1142" i="27"/>
  <c r="K1143" i="27"/>
  <c r="K1144" i="27"/>
  <c r="K1145" i="27"/>
  <c r="K1146" i="27"/>
  <c r="K1147" i="27"/>
  <c r="K1148" i="27"/>
  <c r="K1149" i="27"/>
  <c r="K1150" i="27"/>
  <c r="K1151" i="27"/>
  <c r="K1152" i="27"/>
  <c r="K1153" i="27"/>
  <c r="K1154" i="27"/>
  <c r="K1155" i="27"/>
  <c r="K1156" i="27"/>
  <c r="K1157" i="27"/>
  <c r="K1158" i="27"/>
  <c r="K1159" i="27"/>
  <c r="K1160" i="27"/>
  <c r="K1161" i="27"/>
  <c r="K1162" i="27"/>
  <c r="K1163" i="27"/>
  <c r="K1164" i="27"/>
  <c r="K1165" i="27"/>
  <c r="K1166" i="27"/>
  <c r="K1167" i="27"/>
  <c r="K1168" i="27"/>
  <c r="K1169" i="27"/>
  <c r="K1170" i="27"/>
  <c r="K1171" i="27"/>
  <c r="K1172" i="27"/>
  <c r="K1173" i="27"/>
  <c r="K1174" i="27"/>
  <c r="K1175" i="27"/>
  <c r="K1176" i="27"/>
  <c r="K1177" i="27"/>
  <c r="K1178" i="27"/>
  <c r="K1179" i="27"/>
  <c r="K1180" i="27"/>
  <c r="K1181" i="27"/>
  <c r="K1182" i="27"/>
  <c r="K1183" i="27"/>
  <c r="K1184" i="27"/>
  <c r="K1185" i="27"/>
  <c r="K1186" i="27"/>
  <c r="K1187" i="27"/>
  <c r="K1188" i="27"/>
  <c r="K1189" i="27"/>
  <c r="K1190" i="27"/>
  <c r="K1191" i="27"/>
  <c r="K1192" i="27"/>
  <c r="K1193" i="27"/>
  <c r="K1194" i="27"/>
  <c r="K1195" i="27"/>
  <c r="K1196" i="27"/>
  <c r="K1197" i="27"/>
  <c r="K1198" i="27"/>
  <c r="K1199" i="27"/>
  <c r="K1200" i="27"/>
  <c r="K1201" i="27"/>
  <c r="K1202" i="27"/>
  <c r="K1203" i="27"/>
  <c r="K1204" i="27"/>
  <c r="K1205" i="27"/>
  <c r="K1206" i="27"/>
  <c r="K1207" i="27"/>
  <c r="K1208" i="27"/>
  <c r="K1209" i="27"/>
  <c r="K1210" i="27"/>
  <c r="K1211" i="27"/>
  <c r="K1212" i="27"/>
  <c r="K1213" i="27"/>
  <c r="K1214" i="27"/>
  <c r="K1215" i="27"/>
  <c r="K1216" i="27"/>
  <c r="K1217" i="27"/>
  <c r="K1218" i="27"/>
  <c r="K1219" i="27"/>
  <c r="K1220" i="27"/>
  <c r="K1221" i="27"/>
  <c r="K1222" i="27"/>
  <c r="K1223" i="27"/>
  <c r="K1224" i="27"/>
  <c r="K1225" i="27"/>
  <c r="K1226" i="27"/>
  <c r="K1227" i="27"/>
  <c r="K1228" i="27"/>
  <c r="K1229" i="27"/>
  <c r="K1230" i="27"/>
  <c r="K1231" i="27"/>
  <c r="K1232" i="27"/>
  <c r="K1233" i="27"/>
  <c r="K1234" i="27"/>
  <c r="K1235" i="27"/>
  <c r="K1236" i="27"/>
  <c r="K1237" i="27"/>
  <c r="K1238" i="27"/>
  <c r="K1239" i="27"/>
  <c r="K1240" i="27"/>
  <c r="K1241" i="27"/>
  <c r="K1242" i="27"/>
  <c r="K221" i="27"/>
  <c r="K1244" i="27"/>
  <c r="K1245" i="27"/>
  <c r="K1246" i="27"/>
  <c r="K1247" i="27"/>
  <c r="K1248" i="27"/>
  <c r="K1249" i="27"/>
  <c r="K1250" i="27"/>
  <c r="K1251" i="27"/>
  <c r="K1252" i="27"/>
  <c r="K1253" i="27"/>
  <c r="K1254" i="27"/>
  <c r="K1255" i="27"/>
  <c r="K1256" i="27"/>
  <c r="K1257" i="27"/>
  <c r="K1258" i="27"/>
  <c r="K1259" i="27"/>
  <c r="F36" i="32" l="1"/>
  <c r="O150" i="5" l="1"/>
  <c r="O246" i="5"/>
  <c r="O259" i="5"/>
  <c r="O260" i="5"/>
  <c r="O261" i="5"/>
  <c r="O262" i="5"/>
  <c r="O66" i="5"/>
  <c r="O67" i="5"/>
  <c r="O68" i="5"/>
  <c r="L204" i="4"/>
  <c r="E35" i="19"/>
  <c r="AF34" i="12" s="1"/>
  <c r="D35" i="19"/>
  <c r="AH25" i="12" l="1"/>
  <c r="Y29" i="12"/>
  <c r="Y16" i="12"/>
  <c r="Y11" i="12"/>
  <c r="Y21" i="12"/>
  <c r="Y19" i="12" l="1"/>
  <c r="Y23" i="12"/>
  <c r="Y27" i="12" s="1"/>
  <c r="D18" i="2" l="1"/>
  <c r="G29" i="4" l="1"/>
  <c r="D34" i="2"/>
  <c r="D28" i="2"/>
  <c r="D26" i="2"/>
  <c r="D17" i="2"/>
  <c r="D16" i="2"/>
  <c r="D8" i="2"/>
  <c r="D9" i="2"/>
  <c r="D10" i="2"/>
  <c r="D11" i="2"/>
  <c r="N451" i="30"/>
  <c r="G9" i="22"/>
  <c r="C9" i="22"/>
  <c r="C11" i="32"/>
  <c r="K11" i="32" l="1"/>
  <c r="I11" i="32"/>
  <c r="E401" i="9" l="1"/>
  <c r="C34" i="2"/>
  <c r="C205" i="9"/>
  <c r="I205" i="9" l="1"/>
  <c r="J205" i="9" s="1"/>
  <c r="E34" i="2"/>
  <c r="H205" i="9"/>
  <c r="E205" i="9"/>
  <c r="J225" i="4" l="1"/>
  <c r="A76" i="20" l="1"/>
  <c r="A75" i="20"/>
  <c r="A74" i="20"/>
  <c r="A73" i="20"/>
  <c r="A72" i="20"/>
  <c r="A71" i="20"/>
  <c r="A70" i="20"/>
  <c r="A69" i="20"/>
  <c r="K13" i="20"/>
  <c r="C17" i="2"/>
  <c r="C35" i="2"/>
  <c r="C36" i="2"/>
  <c r="C33" i="2"/>
  <c r="E17" i="2" l="1"/>
  <c r="D37" i="2"/>
  <c r="E33" i="2"/>
  <c r="E36" i="2"/>
  <c r="C37" i="2"/>
  <c r="E35" i="2"/>
  <c r="E32" i="2"/>
  <c r="K1010" i="27"/>
  <c r="K7" i="20"/>
  <c r="G70" i="20" l="1"/>
  <c r="F70" i="20"/>
  <c r="G71" i="20"/>
  <c r="F71" i="20"/>
  <c r="G72" i="20"/>
  <c r="F72" i="20"/>
  <c r="G69" i="20"/>
  <c r="F69" i="20"/>
  <c r="E37" i="2"/>
  <c r="K12" i="20"/>
  <c r="K16" i="20"/>
  <c r="K9" i="20"/>
  <c r="I163" i="4" l="1"/>
  <c r="L418" i="30"/>
  <c r="M459" i="30"/>
  <c r="L347" i="30"/>
  <c r="L348" i="30"/>
  <c r="L349" i="30"/>
  <c r="L350" i="30"/>
  <c r="L351" i="30"/>
  <c r="L352" i="30"/>
  <c r="L353" i="30"/>
  <c r="L354" i="30"/>
  <c r="L355" i="30"/>
  <c r="L356" i="30"/>
  <c r="L357" i="30"/>
  <c r="L358" i="30"/>
  <c r="L359" i="30"/>
  <c r="L360" i="30"/>
  <c r="L361" i="30"/>
  <c r="L362" i="30"/>
  <c r="L363" i="30"/>
  <c r="L364" i="30"/>
  <c r="M364" i="30"/>
  <c r="L365" i="30"/>
  <c r="L366" i="30"/>
  <c r="L367" i="30"/>
  <c r="N367" i="30"/>
  <c r="L368" i="30"/>
  <c r="L369" i="30"/>
  <c r="L370" i="30"/>
  <c r="L371" i="30"/>
  <c r="L372" i="30"/>
  <c r="O372" i="30"/>
  <c r="L373" i="30"/>
  <c r="O373" i="30"/>
  <c r="L374" i="30"/>
  <c r="O374" i="30"/>
  <c r="L375" i="30"/>
  <c r="O375" i="30"/>
  <c r="L376" i="30"/>
  <c r="O376" i="30"/>
  <c r="L377" i="30"/>
  <c r="O377" i="30"/>
  <c r="L378" i="30"/>
  <c r="O378" i="30"/>
  <c r="L379" i="30"/>
  <c r="O379" i="30"/>
  <c r="L380" i="30"/>
  <c r="O380" i="30"/>
  <c r="L381" i="30"/>
  <c r="L382" i="30"/>
  <c r="O382" i="30"/>
  <c r="L383" i="30"/>
  <c r="O383" i="30"/>
  <c r="L384" i="30"/>
  <c r="O384" i="30"/>
  <c r="L385" i="30"/>
  <c r="O385" i="30"/>
  <c r="L386" i="30"/>
  <c r="O386" i="30"/>
  <c r="L387" i="30"/>
  <c r="O387" i="30"/>
  <c r="L388" i="30"/>
  <c r="L389" i="30"/>
  <c r="O389" i="30"/>
  <c r="L390" i="30"/>
  <c r="L391" i="30"/>
  <c r="L392" i="30"/>
  <c r="O392" i="30"/>
  <c r="L393" i="30"/>
  <c r="O393" i="30"/>
  <c r="L394" i="30"/>
  <c r="O394" i="30"/>
  <c r="L395" i="30"/>
  <c r="O395" i="30"/>
  <c r="L396" i="30"/>
  <c r="O396" i="30"/>
  <c r="L397" i="30"/>
  <c r="O397" i="30"/>
  <c r="L398" i="30"/>
  <c r="O398" i="30"/>
  <c r="L399" i="30"/>
  <c r="O399" i="30"/>
  <c r="L400" i="30"/>
  <c r="O400" i="30"/>
  <c r="L401" i="30"/>
  <c r="O401" i="30"/>
  <c r="L402" i="30"/>
  <c r="O402" i="30"/>
  <c r="L403" i="30"/>
  <c r="O403" i="30"/>
  <c r="L404" i="30"/>
  <c r="O404" i="30"/>
  <c r="L405" i="30"/>
  <c r="O405" i="30"/>
  <c r="L406" i="30"/>
  <c r="O406" i="30"/>
  <c r="L407" i="30"/>
  <c r="O407" i="30"/>
  <c r="L408" i="30"/>
  <c r="O408" i="30"/>
  <c r="L409" i="30"/>
  <c r="O409" i="30"/>
  <c r="L410" i="30"/>
  <c r="O410" i="30"/>
  <c r="L411" i="30"/>
  <c r="O411" i="30"/>
  <c r="L412" i="30"/>
  <c r="O412" i="30"/>
  <c r="L413" i="30"/>
  <c r="O413" i="30"/>
  <c r="L414" i="30"/>
  <c r="O414" i="30"/>
  <c r="L415" i="30"/>
  <c r="O415" i="30"/>
  <c r="L416" i="30"/>
  <c r="O416" i="30"/>
  <c r="L417" i="30"/>
  <c r="O417" i="30"/>
  <c r="O418" i="30"/>
  <c r="L419" i="30"/>
  <c r="O419" i="30"/>
  <c r="L420" i="30"/>
  <c r="O420" i="30"/>
  <c r="L421" i="30"/>
  <c r="O421" i="30"/>
  <c r="L422" i="30"/>
  <c r="O422" i="30"/>
  <c r="L423" i="30"/>
  <c r="O423" i="30"/>
  <c r="L424" i="30"/>
  <c r="O424" i="30"/>
  <c r="L425" i="30"/>
  <c r="O425" i="30"/>
  <c r="L426" i="30"/>
  <c r="O426" i="30"/>
  <c r="L427" i="30"/>
  <c r="O427" i="30"/>
  <c r="L428" i="30"/>
  <c r="O428" i="30"/>
  <c r="L429" i="30"/>
  <c r="O429" i="30"/>
  <c r="L430" i="30"/>
  <c r="O430" i="30"/>
  <c r="L431" i="30"/>
  <c r="O431" i="30"/>
  <c r="L432" i="30"/>
  <c r="O432" i="30"/>
  <c r="L433" i="30"/>
  <c r="L434" i="30"/>
  <c r="O434" i="30"/>
  <c r="L435" i="30"/>
  <c r="O435" i="30"/>
  <c r="L436" i="30"/>
  <c r="O436" i="30"/>
  <c r="L437" i="30"/>
  <c r="O437" i="30"/>
  <c r="L438" i="30"/>
  <c r="O438" i="30"/>
  <c r="L439" i="30"/>
  <c r="O439" i="30"/>
  <c r="L440" i="30"/>
  <c r="L441" i="30"/>
  <c r="O441" i="30"/>
  <c r="L442" i="30"/>
  <c r="L443" i="30"/>
  <c r="L444" i="30"/>
  <c r="L445" i="30"/>
  <c r="L446" i="30"/>
  <c r="L447" i="30"/>
  <c r="L448" i="30"/>
  <c r="L449" i="30"/>
  <c r="O451" i="30"/>
  <c r="N453" i="30"/>
  <c r="M455" i="30"/>
  <c r="N455" i="30"/>
  <c r="L300" i="30"/>
  <c r="L295" i="30"/>
  <c r="K517" i="27"/>
  <c r="K518" i="27"/>
  <c r="K7" i="27"/>
  <c r="K8" i="27"/>
  <c r="K9" i="27"/>
  <c r="K10" i="27"/>
  <c r="K11" i="27"/>
  <c r="K12" i="27"/>
  <c r="K13" i="27"/>
  <c r="K14" i="27"/>
  <c r="K15" i="27"/>
  <c r="K16" i="27"/>
  <c r="K17" i="27"/>
  <c r="K18" i="27"/>
  <c r="K20" i="27"/>
  <c r="K19" i="27"/>
  <c r="K21" i="27"/>
  <c r="K22" i="27"/>
  <c r="K23" i="27"/>
  <c r="K24" i="27"/>
  <c r="K25" i="27"/>
  <c r="K26" i="27"/>
  <c r="K27" i="27"/>
  <c r="K28" i="27"/>
  <c r="K29" i="27"/>
  <c r="K30" i="27"/>
  <c r="K31" i="27"/>
  <c r="K32" i="27"/>
  <c r="K34" i="27"/>
  <c r="K33" i="27"/>
  <c r="K35" i="27"/>
  <c r="K36" i="27"/>
  <c r="K37" i="27"/>
  <c r="K38" i="27"/>
  <c r="K39" i="27"/>
  <c r="K41" i="27"/>
  <c r="K40" i="27"/>
  <c r="K42" i="27"/>
  <c r="K43" i="27"/>
  <c r="K44" i="27"/>
  <c r="K45" i="27"/>
  <c r="K46" i="27"/>
  <c r="K47" i="27"/>
  <c r="K48" i="27"/>
  <c r="K49" i="27"/>
  <c r="K50" i="27"/>
  <c r="K51" i="27"/>
  <c r="K52" i="27"/>
  <c r="K53" i="27"/>
  <c r="K54" i="27"/>
  <c r="K55" i="27"/>
  <c r="K56" i="27"/>
  <c r="K57" i="27"/>
  <c r="K58" i="27"/>
  <c r="K59" i="27"/>
  <c r="K60" i="27"/>
  <c r="K61" i="27"/>
  <c r="K64" i="27"/>
  <c r="K63" i="27"/>
  <c r="K65" i="27"/>
  <c r="K62" i="27"/>
  <c r="K66" i="27"/>
  <c r="K67" i="27"/>
  <c r="K68" i="27"/>
  <c r="K69" i="27"/>
  <c r="K70" i="27"/>
  <c r="K71" i="27"/>
  <c r="K72" i="27"/>
  <c r="K73" i="27"/>
  <c r="K74" i="27"/>
  <c r="K75" i="27"/>
  <c r="K76" i="27"/>
  <c r="K81" i="27"/>
  <c r="K79" i="27"/>
  <c r="K78" i="27"/>
  <c r="K77" i="27"/>
  <c r="K80" i="27"/>
  <c r="K82" i="27"/>
  <c r="K83" i="27"/>
  <c r="K84" i="27"/>
  <c r="K85" i="27"/>
  <c r="K87" i="27"/>
  <c r="K88" i="27"/>
  <c r="K89" i="27"/>
  <c r="K86" i="27"/>
  <c r="K90" i="27"/>
  <c r="K91" i="27"/>
  <c r="K92" i="27"/>
  <c r="K93" i="27"/>
  <c r="K94" i="27"/>
  <c r="K95" i="27"/>
  <c r="K96" i="27"/>
  <c r="K97" i="27"/>
  <c r="K98" i="27"/>
  <c r="K99" i="27"/>
  <c r="K100" i="27"/>
  <c r="K101" i="27"/>
  <c r="K102" i="27"/>
  <c r="K103" i="27"/>
  <c r="K104" i="27"/>
  <c r="K106" i="27"/>
  <c r="K105" i="27"/>
  <c r="K107" i="27"/>
  <c r="K108" i="27"/>
  <c r="K109" i="27"/>
  <c r="K110" i="27"/>
  <c r="K111" i="27"/>
  <c r="K112" i="27"/>
  <c r="K113" i="27"/>
  <c r="K114" i="27"/>
  <c r="K115" i="27"/>
  <c r="K116" i="27"/>
  <c r="K117" i="27"/>
  <c r="K118" i="27"/>
  <c r="K120" i="27"/>
  <c r="K119" i="27"/>
  <c r="K122" i="27"/>
  <c r="K121" i="27"/>
  <c r="K123" i="27"/>
  <c r="K124" i="27"/>
  <c r="K125" i="27"/>
  <c r="K126" i="27"/>
  <c r="K127" i="27"/>
  <c r="K128" i="27"/>
  <c r="K129" i="27"/>
  <c r="K130" i="27"/>
  <c r="K131" i="27"/>
  <c r="K133" i="27"/>
  <c r="K132" i="27"/>
  <c r="K135" i="27"/>
  <c r="K134" i="27"/>
  <c r="K136" i="27"/>
  <c r="K137" i="27"/>
  <c r="K138" i="27"/>
  <c r="K139" i="27"/>
  <c r="K140" i="27"/>
  <c r="K141" i="27"/>
  <c r="K142" i="27"/>
  <c r="K143" i="27"/>
  <c r="K145" i="27"/>
  <c r="K146" i="27"/>
  <c r="K144" i="27"/>
  <c r="K147" i="27"/>
  <c r="K148" i="27"/>
  <c r="K149" i="27"/>
  <c r="K150" i="27"/>
  <c r="K151" i="27"/>
  <c r="K153" i="27"/>
  <c r="K152" i="27"/>
  <c r="K154" i="27"/>
  <c r="K155" i="27"/>
  <c r="K156" i="27"/>
  <c r="K157" i="27"/>
  <c r="K160" i="27"/>
  <c r="K159" i="27"/>
  <c r="K158" i="27"/>
  <c r="K161" i="27"/>
  <c r="K162" i="27"/>
  <c r="K163" i="27"/>
  <c r="K164" i="27"/>
  <c r="K165" i="27"/>
  <c r="K166" i="27"/>
  <c r="K167" i="27"/>
  <c r="K168" i="27"/>
  <c r="K170" i="27"/>
  <c r="K169" i="27"/>
  <c r="K171" i="27"/>
  <c r="K173" i="27"/>
  <c r="K172" i="27"/>
  <c r="K861" i="27"/>
  <c r="K175" i="27"/>
  <c r="K176" i="27"/>
  <c r="K177" i="27"/>
  <c r="K178" i="27"/>
  <c r="K179" i="27"/>
  <c r="K181" i="27"/>
  <c r="K182" i="27"/>
  <c r="K180" i="27"/>
  <c r="K183" i="27"/>
  <c r="K184" i="27"/>
  <c r="K185" i="27"/>
  <c r="K186" i="27"/>
  <c r="K187" i="27"/>
  <c r="K188" i="27"/>
  <c r="K190" i="27"/>
  <c r="K1030" i="27"/>
  <c r="K191" i="27"/>
  <c r="K192" i="27"/>
  <c r="K193" i="27"/>
  <c r="K196" i="27"/>
  <c r="K194" i="27"/>
  <c r="K195" i="27"/>
  <c r="K197" i="27"/>
  <c r="K198" i="27"/>
  <c r="K199" i="27"/>
  <c r="K200" i="27"/>
  <c r="K202" i="27"/>
  <c r="K201" i="27"/>
  <c r="K203" i="27"/>
  <c r="K204" i="27"/>
  <c r="K205" i="27"/>
  <c r="K206" i="27"/>
  <c r="K207" i="27"/>
  <c r="K208" i="27"/>
  <c r="K209" i="27"/>
  <c r="K210" i="27"/>
  <c r="K211" i="27"/>
  <c r="K212" i="27"/>
  <c r="K213" i="27"/>
  <c r="K214" i="27"/>
  <c r="K215" i="27"/>
  <c r="K216" i="27"/>
  <c r="K217" i="27"/>
  <c r="K218" i="27"/>
  <c r="K219" i="27"/>
  <c r="K220" i="27"/>
  <c r="K174" i="27"/>
  <c r="K222" i="27"/>
  <c r="K223" i="27"/>
  <c r="K224" i="27"/>
  <c r="K225" i="27"/>
  <c r="K226" i="27"/>
  <c r="K227" i="27"/>
  <c r="K229" i="27"/>
  <c r="K228" i="27"/>
  <c r="K230" i="27"/>
  <c r="K231" i="27"/>
  <c r="K232" i="27"/>
  <c r="K233" i="27"/>
  <c r="K234" i="27"/>
  <c r="K235" i="27"/>
  <c r="K237" i="27"/>
  <c r="K236" i="27"/>
  <c r="K239" i="27"/>
  <c r="K238" i="27"/>
  <c r="K241" i="27"/>
  <c r="K240" i="27"/>
  <c r="K242" i="27"/>
  <c r="K243" i="27"/>
  <c r="K244" i="27"/>
  <c r="K245" i="27"/>
  <c r="K246" i="27"/>
  <c r="K247" i="27"/>
  <c r="K248" i="27"/>
  <c r="K249" i="27"/>
  <c r="K251" i="27"/>
  <c r="K250" i="27"/>
  <c r="K252" i="27"/>
  <c r="K253" i="27"/>
  <c r="K254" i="27"/>
  <c r="K255" i="27"/>
  <c r="K256" i="27"/>
  <c r="K257" i="27"/>
  <c r="K258" i="27"/>
  <c r="K259" i="27"/>
  <c r="K260" i="27"/>
  <c r="K261" i="27"/>
  <c r="K262" i="27"/>
  <c r="K263" i="27"/>
  <c r="K264" i="27"/>
  <c r="K265" i="27"/>
  <c r="K266" i="27"/>
  <c r="K267" i="27"/>
  <c r="K268" i="27"/>
  <c r="K269" i="27"/>
  <c r="K270" i="27"/>
  <c r="K271" i="27"/>
  <c r="K272" i="27"/>
  <c r="K273" i="27"/>
  <c r="K274" i="27"/>
  <c r="K276" i="27"/>
  <c r="K275" i="27"/>
  <c r="K277" i="27"/>
  <c r="K278" i="27"/>
  <c r="K280" i="27"/>
  <c r="K279" i="27"/>
  <c r="K281" i="27"/>
  <c r="K282" i="27"/>
  <c r="K283" i="27"/>
  <c r="K284" i="27"/>
  <c r="K286" i="27"/>
  <c r="K285" i="27"/>
  <c r="K287" i="27"/>
  <c r="K288" i="27"/>
  <c r="K289" i="27"/>
  <c r="K290" i="27"/>
  <c r="K291" i="27"/>
  <c r="K292" i="27"/>
  <c r="K293" i="27"/>
  <c r="K294" i="27"/>
  <c r="K295" i="27"/>
  <c r="K296" i="27"/>
  <c r="K297" i="27"/>
  <c r="K298" i="27"/>
  <c r="K299" i="27"/>
  <c r="K300" i="27"/>
  <c r="K301" i="27"/>
  <c r="K302" i="27"/>
  <c r="K303" i="27"/>
  <c r="K304" i="27"/>
  <c r="K305" i="27"/>
  <c r="K323" i="27"/>
  <c r="K324" i="27"/>
  <c r="K322" i="27"/>
  <c r="K325" i="27"/>
  <c r="K326" i="27"/>
  <c r="K327" i="27"/>
  <c r="K328" i="27"/>
  <c r="K329" i="27"/>
  <c r="K330" i="27"/>
  <c r="K332" i="27"/>
  <c r="K331" i="27"/>
  <c r="K333" i="27"/>
  <c r="K334" i="27"/>
  <c r="K335" i="27"/>
  <c r="K336" i="27"/>
  <c r="K337" i="27"/>
  <c r="K338" i="27"/>
  <c r="K339" i="27"/>
  <c r="K341" i="27"/>
  <c r="K340" i="27"/>
  <c r="K342" i="27"/>
  <c r="K343" i="27"/>
  <c r="K344" i="27"/>
  <c r="K345" i="27"/>
  <c r="K346" i="27"/>
  <c r="K347" i="27"/>
  <c r="K348" i="27"/>
  <c r="K349" i="27"/>
  <c r="K350" i="27"/>
  <c r="K351" i="27"/>
  <c r="K353" i="27"/>
  <c r="K352" i="27"/>
  <c r="K354" i="27"/>
  <c r="K355" i="27"/>
  <c r="K356" i="27"/>
  <c r="K357" i="27"/>
  <c r="K358" i="27"/>
  <c r="K359" i="27"/>
  <c r="K360" i="27"/>
  <c r="K361" i="27"/>
  <c r="K362" i="27"/>
  <c r="K363" i="27"/>
  <c r="K366" i="27"/>
  <c r="K364" i="27"/>
  <c r="K365" i="27"/>
  <c r="K368" i="27"/>
  <c r="K367" i="27"/>
  <c r="K369" i="27"/>
  <c r="K370" i="27"/>
  <c r="K371" i="27"/>
  <c r="K373" i="27"/>
  <c r="K372" i="27"/>
  <c r="K374" i="27"/>
  <c r="K375" i="27"/>
  <c r="K376" i="27"/>
  <c r="K377" i="27"/>
  <c r="K378" i="27"/>
  <c r="K379" i="27"/>
  <c r="K380" i="27"/>
  <c r="K381" i="27"/>
  <c r="K382" i="27"/>
  <c r="K383" i="27"/>
  <c r="K385" i="27"/>
  <c r="K384" i="27"/>
  <c r="K386" i="27"/>
  <c r="K388" i="27"/>
  <c r="K387" i="27"/>
  <c r="K390" i="27"/>
  <c r="K389" i="27"/>
  <c r="K393" i="27"/>
  <c r="K392" i="27"/>
  <c r="K391" i="27"/>
  <c r="K394" i="27"/>
  <c r="K396" i="27"/>
  <c r="K395" i="27"/>
  <c r="K398" i="27"/>
  <c r="K397" i="27"/>
  <c r="K401" i="27"/>
  <c r="K400" i="27"/>
  <c r="K399" i="27"/>
  <c r="K402" i="27"/>
  <c r="K404" i="27"/>
  <c r="K403" i="27"/>
  <c r="K405" i="27"/>
  <c r="K407" i="27"/>
  <c r="K406" i="27"/>
  <c r="K408" i="27"/>
  <c r="K409" i="27"/>
  <c r="K410" i="27"/>
  <c r="K411" i="27"/>
  <c r="K413" i="27"/>
  <c r="K412" i="27"/>
  <c r="K414" i="27"/>
  <c r="K416" i="27"/>
  <c r="K415" i="27"/>
  <c r="K417" i="27"/>
  <c r="K418" i="27"/>
  <c r="K419" i="27"/>
  <c r="K421" i="27"/>
  <c r="K420" i="27"/>
  <c r="K422" i="27"/>
  <c r="K423" i="27"/>
  <c r="K424" i="27"/>
  <c r="K426" i="27"/>
  <c r="K425" i="27"/>
  <c r="K427" i="27"/>
  <c r="K428" i="27"/>
  <c r="K431" i="27"/>
  <c r="K429" i="27"/>
  <c r="K430" i="27"/>
  <c r="K432" i="27"/>
  <c r="K434" i="27"/>
  <c r="K433" i="27"/>
  <c r="K459" i="27"/>
  <c r="K461" i="27"/>
  <c r="K460" i="27"/>
  <c r="K462" i="27"/>
  <c r="K463" i="27"/>
  <c r="K466" i="27"/>
  <c r="K464" i="27"/>
  <c r="K465" i="27"/>
  <c r="K467" i="27"/>
  <c r="K468" i="27"/>
  <c r="K469" i="27"/>
  <c r="K470" i="27"/>
  <c r="K472" i="27"/>
  <c r="K473" i="27"/>
  <c r="K471" i="27"/>
  <c r="K476" i="27"/>
  <c r="K474" i="27"/>
  <c r="K475" i="27"/>
  <c r="K477" i="27"/>
  <c r="K478" i="27"/>
  <c r="K480" i="27"/>
  <c r="K479" i="27"/>
  <c r="K481" i="27"/>
  <c r="K483" i="27"/>
  <c r="K482" i="27"/>
  <c r="K485" i="27"/>
  <c r="K484" i="27"/>
  <c r="K488" i="27"/>
  <c r="K486" i="27"/>
  <c r="K487" i="27"/>
  <c r="K490" i="27"/>
  <c r="K489" i="27"/>
  <c r="K491" i="27"/>
  <c r="K492" i="27"/>
  <c r="K493" i="27"/>
  <c r="K494" i="27"/>
  <c r="K495" i="27"/>
  <c r="K497" i="27"/>
  <c r="K498" i="27"/>
  <c r="K496" i="27"/>
  <c r="K501" i="27"/>
  <c r="K499" i="27"/>
  <c r="K500" i="27"/>
  <c r="K502" i="27"/>
  <c r="K661" i="27"/>
  <c r="K662" i="27"/>
  <c r="K663" i="27"/>
  <c r="K664" i="27"/>
  <c r="K665" i="27"/>
  <c r="K666" i="27"/>
  <c r="K667" i="27"/>
  <c r="K668" i="27"/>
  <c r="K669" i="27"/>
  <c r="K670" i="27"/>
  <c r="K671" i="27"/>
  <c r="K672" i="27"/>
  <c r="K673" i="27"/>
  <c r="K674" i="27"/>
  <c r="K675" i="27"/>
  <c r="K676" i="27"/>
  <c r="K678" i="27"/>
  <c r="K677" i="27"/>
  <c r="K679" i="27"/>
  <c r="K680" i="27"/>
  <c r="K681" i="27"/>
  <c r="K682" i="27"/>
  <c r="K683" i="27"/>
  <c r="K685" i="27"/>
  <c r="K684" i="27"/>
  <c r="K686" i="27"/>
  <c r="K688" i="27"/>
  <c r="K687" i="27"/>
  <c r="K689" i="27"/>
  <c r="K690" i="27"/>
  <c r="K691" i="27"/>
  <c r="K693" i="27"/>
  <c r="K692" i="27"/>
  <c r="K694" i="27"/>
  <c r="K695" i="27"/>
  <c r="K696" i="27"/>
  <c r="K697" i="27"/>
  <c r="K698" i="27"/>
  <c r="K699" i="27"/>
  <c r="K701" i="27"/>
  <c r="K700" i="27"/>
  <c r="K702" i="27"/>
  <c r="K703" i="27"/>
  <c r="K705" i="27"/>
  <c r="K704" i="27"/>
  <c r="K706" i="27"/>
  <c r="K707" i="27"/>
  <c r="K708" i="27"/>
  <c r="K709" i="27"/>
  <c r="K711" i="27"/>
  <c r="K710" i="27"/>
  <c r="K712" i="27"/>
  <c r="K713" i="27"/>
  <c r="K714" i="27"/>
  <c r="K715" i="27"/>
  <c r="K716" i="27"/>
  <c r="K717" i="27"/>
  <c r="K718" i="27"/>
  <c r="K719" i="27"/>
  <c r="K720" i="27"/>
  <c r="K721" i="27"/>
  <c r="K722" i="27"/>
  <c r="K723" i="27"/>
  <c r="K724" i="27"/>
  <c r="K726" i="27"/>
  <c r="K725" i="27"/>
  <c r="K727" i="27"/>
  <c r="K728" i="27"/>
  <c r="K730" i="27"/>
  <c r="K729" i="27"/>
  <c r="K731" i="27"/>
  <c r="K733" i="27"/>
  <c r="K732" i="27"/>
  <c r="K734" i="27"/>
  <c r="K735" i="27"/>
  <c r="K736" i="27"/>
  <c r="K737" i="27"/>
  <c r="K738" i="27"/>
  <c r="K739" i="27"/>
  <c r="K741" i="27"/>
  <c r="K740" i="27"/>
  <c r="K742" i="27"/>
  <c r="K744" i="27"/>
  <c r="K743" i="27"/>
  <c r="K745" i="27"/>
  <c r="K746" i="27"/>
  <c r="K747" i="27"/>
  <c r="K748" i="27"/>
  <c r="K749" i="27"/>
  <c r="K751" i="27"/>
  <c r="K750" i="27"/>
  <c r="K752" i="27"/>
  <c r="K753" i="27"/>
  <c r="K754" i="27"/>
  <c r="K755" i="27"/>
  <c r="K756" i="27"/>
  <c r="K757" i="27"/>
  <c r="K758" i="27"/>
  <c r="K759" i="27"/>
  <c r="K760" i="27"/>
  <c r="K761" i="27"/>
  <c r="K762" i="27"/>
  <c r="K763" i="27"/>
  <c r="K764" i="27"/>
  <c r="K765" i="27"/>
  <c r="K766" i="27"/>
  <c r="K767" i="27"/>
  <c r="K768" i="27"/>
  <c r="K769" i="27"/>
  <c r="K770" i="27"/>
  <c r="K772" i="27"/>
  <c r="K771" i="27"/>
  <c r="K773" i="27"/>
  <c r="K775" i="27"/>
  <c r="K774" i="27"/>
  <c r="K776" i="27"/>
  <c r="K778" i="27"/>
  <c r="K777" i="27"/>
  <c r="K779" i="27"/>
  <c r="K781" i="27"/>
  <c r="K780" i="27"/>
  <c r="K782" i="27"/>
  <c r="K784" i="27"/>
  <c r="K783" i="27"/>
  <c r="K785" i="27"/>
  <c r="K787" i="27"/>
  <c r="K786" i="27"/>
  <c r="K788" i="27"/>
  <c r="K790" i="27"/>
  <c r="K789" i="27"/>
  <c r="K791" i="27"/>
  <c r="K792" i="27"/>
  <c r="K793" i="27"/>
  <c r="K794" i="27"/>
  <c r="K795" i="27"/>
  <c r="K797" i="27"/>
  <c r="K796" i="27"/>
  <c r="K798" i="27"/>
  <c r="K800" i="27"/>
  <c r="K799" i="27"/>
  <c r="K801" i="27"/>
  <c r="K803" i="27"/>
  <c r="K802" i="27"/>
  <c r="K805" i="27"/>
  <c r="K804" i="27"/>
  <c r="K806" i="27"/>
  <c r="K808" i="27"/>
  <c r="K807" i="27"/>
  <c r="K810" i="27"/>
  <c r="K809" i="27"/>
  <c r="K811" i="27"/>
  <c r="K813" i="27"/>
  <c r="K812" i="27"/>
  <c r="K814" i="27"/>
  <c r="K815" i="27"/>
  <c r="K816" i="27"/>
  <c r="K818" i="27"/>
  <c r="K817" i="27"/>
  <c r="K819" i="27"/>
  <c r="K820" i="27"/>
  <c r="K821" i="27"/>
  <c r="K822" i="27"/>
  <c r="K823" i="27"/>
  <c r="K824" i="27"/>
  <c r="K825" i="27"/>
  <c r="K826" i="27"/>
  <c r="K828" i="27"/>
  <c r="K827" i="27"/>
  <c r="K829" i="27"/>
  <c r="K831" i="27"/>
  <c r="K830" i="27"/>
  <c r="K832" i="27"/>
  <c r="K833" i="27"/>
  <c r="K834" i="27"/>
  <c r="K835" i="27"/>
  <c r="K837" i="27"/>
  <c r="K836" i="27"/>
  <c r="K838" i="27"/>
  <c r="K839" i="27"/>
  <c r="K840" i="27"/>
  <c r="K841" i="27"/>
  <c r="K842" i="27"/>
  <c r="K843" i="27"/>
  <c r="K844" i="27"/>
  <c r="K845" i="27"/>
  <c r="K846" i="27"/>
  <c r="K847" i="27"/>
  <c r="K848" i="27"/>
  <c r="K849" i="27"/>
  <c r="K850" i="27"/>
  <c r="K851" i="27"/>
  <c r="K852" i="27"/>
  <c r="K853" i="27"/>
  <c r="K855" i="27"/>
  <c r="K856" i="27"/>
  <c r="K854" i="27"/>
  <c r="K858" i="27"/>
  <c r="K857" i="27"/>
  <c r="K859" i="27"/>
  <c r="K860" i="27"/>
  <c r="K1243" i="27"/>
  <c r="K862" i="27"/>
  <c r="K864" i="27"/>
  <c r="K865" i="27"/>
  <c r="K863" i="27"/>
  <c r="K868" i="27"/>
  <c r="K867" i="27"/>
  <c r="K866" i="27"/>
  <c r="K870" i="27"/>
  <c r="K871" i="27"/>
  <c r="K869" i="27"/>
  <c r="K874" i="27"/>
  <c r="K873" i="27"/>
  <c r="K872" i="27"/>
  <c r="K875" i="27"/>
  <c r="K876" i="27"/>
  <c r="K877" i="27"/>
  <c r="K878" i="27"/>
  <c r="K880" i="27"/>
  <c r="K879" i="27"/>
  <c r="K881" i="27"/>
  <c r="K882" i="27"/>
  <c r="K884" i="27"/>
  <c r="K883" i="27"/>
  <c r="K886" i="27"/>
  <c r="K885" i="27"/>
  <c r="K888" i="27"/>
  <c r="K887" i="27"/>
  <c r="K889" i="27"/>
  <c r="K890" i="27"/>
  <c r="K891" i="27"/>
  <c r="K892" i="27"/>
  <c r="K893" i="27"/>
  <c r="K895" i="27"/>
  <c r="K894" i="27"/>
  <c r="K896" i="27"/>
  <c r="K897" i="27"/>
  <c r="K898" i="27"/>
  <c r="K899" i="27"/>
  <c r="K900" i="27"/>
  <c r="K901" i="27"/>
  <c r="K902" i="27"/>
  <c r="K903" i="27"/>
  <c r="K904" i="27"/>
  <c r="K905" i="27"/>
  <c r="K906" i="27"/>
  <c r="K908" i="27"/>
  <c r="K907" i="27"/>
  <c r="K909" i="27"/>
  <c r="K911" i="27"/>
  <c r="K910" i="27"/>
  <c r="K912" i="27"/>
  <c r="K913" i="27"/>
  <c r="K915" i="27"/>
  <c r="K914" i="27"/>
  <c r="K916" i="27"/>
  <c r="K917" i="27"/>
  <c r="K918" i="27"/>
  <c r="K919" i="27"/>
  <c r="K920" i="27"/>
  <c r="K921" i="27"/>
  <c r="K922" i="27"/>
  <c r="K923" i="27"/>
  <c r="K924" i="27"/>
  <c r="K925" i="27"/>
  <c r="K926" i="27"/>
  <c r="K927" i="27"/>
  <c r="K929" i="27"/>
  <c r="K928" i="27"/>
  <c r="K930" i="27"/>
  <c r="K931" i="27"/>
  <c r="K932" i="27"/>
  <c r="K933" i="27"/>
  <c r="K934" i="27"/>
  <c r="K935" i="27"/>
  <c r="K936" i="27"/>
  <c r="K937" i="27"/>
  <c r="K938" i="27"/>
  <c r="K941" i="27"/>
  <c r="K939" i="27"/>
  <c r="K940" i="27"/>
  <c r="K942" i="27"/>
  <c r="K943" i="27"/>
  <c r="K945" i="27"/>
  <c r="K944" i="27"/>
  <c r="K946" i="27"/>
  <c r="K949" i="27"/>
  <c r="K947" i="27"/>
  <c r="K948" i="27"/>
  <c r="K950" i="27"/>
  <c r="K951" i="27"/>
  <c r="K952" i="27"/>
  <c r="K953" i="27"/>
  <c r="K954" i="27"/>
  <c r="K1060" i="27"/>
  <c r="K1063" i="27"/>
  <c r="K1061" i="27"/>
  <c r="K1062" i="27"/>
  <c r="K1088" i="27"/>
  <c r="K1087" i="27"/>
  <c r="K1100" i="27"/>
  <c r="K435" i="27"/>
  <c r="K436" i="27"/>
  <c r="K437" i="27"/>
  <c r="K438" i="27"/>
  <c r="K439" i="27"/>
  <c r="K440" i="27"/>
  <c r="K441" i="27"/>
  <c r="K444" i="27"/>
  <c r="K443" i="27"/>
  <c r="K442" i="27"/>
  <c r="K445" i="27"/>
  <c r="K447" i="27"/>
  <c r="K446" i="27"/>
  <c r="K448" i="27"/>
  <c r="K450" i="27"/>
  <c r="K449" i="27"/>
  <c r="K452" i="27"/>
  <c r="K451" i="27"/>
  <c r="K453" i="27"/>
  <c r="K454" i="27"/>
  <c r="K455" i="27"/>
  <c r="K456" i="27"/>
  <c r="K457" i="27"/>
  <c r="K458" i="27"/>
  <c r="K520" i="27"/>
  <c r="K519" i="27"/>
  <c r="K521" i="27"/>
  <c r="K522" i="27"/>
  <c r="K523" i="27"/>
  <c r="K524" i="27"/>
  <c r="K525" i="27"/>
  <c r="K526" i="27"/>
  <c r="K527" i="27"/>
  <c r="K528" i="27"/>
  <c r="K529" i="27"/>
  <c r="K530" i="27"/>
  <c r="K531" i="27"/>
  <c r="K532" i="27"/>
  <c r="K533" i="27"/>
  <c r="K534" i="27"/>
  <c r="K535" i="27"/>
  <c r="K536" i="27"/>
  <c r="K537" i="27"/>
  <c r="K538" i="27"/>
  <c r="K539" i="27"/>
  <c r="K540" i="27"/>
  <c r="K541" i="27"/>
  <c r="K543" i="27"/>
  <c r="K542" i="27"/>
  <c r="K544" i="27"/>
  <c r="K545" i="27"/>
  <c r="K546" i="27"/>
  <c r="K547" i="27"/>
  <c r="K548" i="27"/>
  <c r="K550" i="27"/>
  <c r="K549" i="27"/>
  <c r="K551" i="27"/>
  <c r="K552" i="27"/>
  <c r="K553" i="27"/>
  <c r="K554" i="27"/>
  <c r="K555" i="27"/>
  <c r="K557" i="27"/>
  <c r="K556" i="27"/>
  <c r="K558" i="27"/>
  <c r="K559" i="27"/>
  <c r="K957" i="27"/>
  <c r="K956" i="27"/>
  <c r="K955" i="27"/>
  <c r="K958" i="27"/>
  <c r="K959" i="27"/>
  <c r="K961" i="27"/>
  <c r="K960" i="27"/>
  <c r="K962" i="27"/>
  <c r="K963" i="27"/>
  <c r="K964" i="27"/>
  <c r="K965" i="27"/>
  <c r="K966" i="27"/>
  <c r="K967" i="27"/>
  <c r="K968" i="27"/>
  <c r="K969" i="27"/>
  <c r="K971" i="27"/>
  <c r="K970" i="27"/>
  <c r="K972" i="27"/>
  <c r="K974" i="27"/>
  <c r="K973" i="27"/>
  <c r="K975" i="27"/>
  <c r="K977" i="27"/>
  <c r="K976" i="27"/>
  <c r="K978" i="27"/>
  <c r="K979" i="27"/>
  <c r="K981" i="27"/>
  <c r="K980" i="27"/>
  <c r="K982" i="27"/>
  <c r="K984" i="27"/>
  <c r="K983" i="27"/>
  <c r="K985" i="27"/>
  <c r="K987" i="27"/>
  <c r="K986" i="27"/>
  <c r="K989" i="27"/>
  <c r="K988" i="27"/>
  <c r="K991" i="27"/>
  <c r="K990" i="27"/>
  <c r="K992" i="27"/>
  <c r="K993" i="27"/>
  <c r="K995" i="27"/>
  <c r="K994" i="27"/>
  <c r="K996" i="27"/>
  <c r="K998" i="27"/>
  <c r="K997" i="27"/>
  <c r="K1000" i="27"/>
  <c r="K999" i="27"/>
  <c r="K1001" i="27"/>
  <c r="K1002" i="27"/>
  <c r="K1003" i="27"/>
  <c r="K1005" i="27"/>
  <c r="K1004" i="27"/>
  <c r="K1006" i="27"/>
  <c r="K1007" i="27"/>
  <c r="K1008" i="27"/>
  <c r="K1009" i="27"/>
  <c r="K1011" i="27"/>
  <c r="K1012" i="27"/>
  <c r="K1013" i="27"/>
  <c r="K1014" i="27"/>
  <c r="K1015" i="27"/>
  <c r="K1016" i="27"/>
  <c r="K1017" i="27"/>
  <c r="K1018" i="27"/>
  <c r="K1019" i="27"/>
  <c r="K1020" i="27"/>
  <c r="K1021" i="27"/>
  <c r="K1022" i="27"/>
  <c r="K1023" i="27"/>
  <c r="K1025" i="27"/>
  <c r="K1024" i="27"/>
  <c r="K1026" i="27"/>
  <c r="K1027" i="27"/>
  <c r="K1029" i="27"/>
  <c r="K1028" i="27"/>
  <c r="K1031" i="27"/>
  <c r="K189" i="27"/>
  <c r="K1032" i="27"/>
  <c r="K1033" i="27"/>
  <c r="K1035" i="27"/>
  <c r="K1034" i="27"/>
  <c r="K1037" i="27"/>
  <c r="K1036" i="27"/>
  <c r="K1039" i="27"/>
  <c r="K1038" i="27"/>
  <c r="K1040" i="27"/>
  <c r="K1041" i="27"/>
  <c r="K1043" i="27"/>
  <c r="K1042" i="27"/>
  <c r="K1044" i="27"/>
  <c r="K1045" i="27"/>
  <c r="K1046" i="27"/>
  <c r="K1047" i="27"/>
  <c r="K1049" i="27"/>
  <c r="K1048" i="27"/>
  <c r="K1050" i="27"/>
  <c r="K1052" i="27"/>
  <c r="K1051" i="27"/>
  <c r="K1053" i="27"/>
  <c r="K1054" i="27"/>
  <c r="K1056" i="27"/>
  <c r="K1055" i="27"/>
  <c r="K1057" i="27"/>
  <c r="K1058" i="27"/>
  <c r="K1059" i="27"/>
  <c r="K1064" i="27"/>
  <c r="K1066" i="27"/>
  <c r="K1065" i="27"/>
  <c r="K1068" i="27"/>
  <c r="K1067" i="27"/>
  <c r="K1070" i="27"/>
  <c r="K1069" i="27"/>
  <c r="K1072" i="27"/>
  <c r="K1071" i="27"/>
  <c r="K1073" i="27"/>
  <c r="K1074" i="27"/>
  <c r="K1075" i="27"/>
  <c r="K1076" i="27"/>
  <c r="K1077" i="27"/>
  <c r="K1078" i="27"/>
  <c r="K1080" i="27"/>
  <c r="K1079" i="27"/>
  <c r="K1081" i="27"/>
  <c r="K1082" i="27"/>
  <c r="K1083" i="27"/>
  <c r="K1084" i="27"/>
  <c r="K1085" i="27"/>
  <c r="K1086" i="27"/>
  <c r="K1089" i="27"/>
  <c r="K1090" i="27"/>
  <c r="K1091" i="27"/>
  <c r="K1092" i="27"/>
  <c r="K1093" i="27"/>
  <c r="K1094" i="27"/>
  <c r="K1095" i="27"/>
  <c r="K1096" i="27"/>
  <c r="K1097" i="27"/>
  <c r="K1099" i="27"/>
  <c r="K1098" i="27"/>
  <c r="K306" i="27"/>
  <c r="K308" i="27"/>
  <c r="K307" i="27"/>
  <c r="K309" i="27"/>
  <c r="K310" i="27"/>
  <c r="K312" i="27"/>
  <c r="K311" i="27"/>
  <c r="K313" i="27"/>
  <c r="K314" i="27"/>
  <c r="K316" i="27"/>
  <c r="K315" i="27"/>
  <c r="K317" i="27"/>
  <c r="K318" i="27"/>
  <c r="K320" i="27"/>
  <c r="K319" i="27"/>
  <c r="K321" i="27"/>
  <c r="K503" i="27"/>
  <c r="K504" i="27"/>
  <c r="K505" i="27"/>
  <c r="K506" i="27"/>
  <c r="K507" i="27"/>
  <c r="K508" i="27"/>
  <c r="K509" i="27"/>
  <c r="K510" i="27"/>
  <c r="K512" i="27"/>
  <c r="K511" i="27"/>
  <c r="K514" i="27"/>
  <c r="K513" i="27"/>
  <c r="K515" i="27"/>
  <c r="K560" i="27"/>
  <c r="K561" i="27"/>
  <c r="K562" i="27"/>
  <c r="K563" i="27"/>
  <c r="K564" i="27"/>
  <c r="K565" i="27"/>
  <c r="K566" i="27"/>
  <c r="K567" i="27"/>
  <c r="K568" i="27"/>
  <c r="K569" i="27"/>
  <c r="K570" i="27"/>
  <c r="K571" i="27"/>
  <c r="K572" i="27"/>
  <c r="K573" i="27"/>
  <c r="K574" i="27"/>
  <c r="K575" i="27"/>
  <c r="K578" i="27"/>
  <c r="K576" i="27"/>
  <c r="K577" i="27"/>
  <c r="K579" i="27"/>
  <c r="K580" i="27"/>
  <c r="K581" i="27"/>
  <c r="K582" i="27"/>
  <c r="K583" i="27"/>
  <c r="K584" i="27"/>
  <c r="K585" i="27"/>
  <c r="K586" i="27"/>
  <c r="K587" i="27"/>
  <c r="K588" i="27"/>
  <c r="K589" i="27"/>
  <c r="K590" i="27"/>
  <c r="K591" i="27"/>
  <c r="K592" i="27"/>
  <c r="K593" i="27"/>
  <c r="K594" i="27"/>
  <c r="K595" i="27"/>
  <c r="K596" i="27"/>
  <c r="K597" i="27"/>
  <c r="K598" i="27"/>
  <c r="K599" i="27"/>
  <c r="K600" i="27"/>
  <c r="K601" i="27"/>
  <c r="K602" i="27"/>
  <c r="K605" i="27"/>
  <c r="K603" i="27"/>
  <c r="K604" i="27"/>
  <c r="K606" i="27"/>
  <c r="K607" i="27"/>
  <c r="K608" i="27"/>
  <c r="K609" i="27"/>
  <c r="K610" i="27"/>
  <c r="K613" i="27"/>
  <c r="K611" i="27"/>
  <c r="K612" i="27"/>
  <c r="K614" i="27"/>
  <c r="K615" i="27"/>
  <c r="K616" i="27"/>
  <c r="K617" i="27"/>
  <c r="K618" i="27"/>
  <c r="K619" i="27"/>
  <c r="K620" i="27"/>
  <c r="K621" i="27"/>
  <c r="K622" i="27"/>
  <c r="K623" i="27"/>
  <c r="K624" i="27"/>
  <c r="K626" i="27"/>
  <c r="K625" i="27"/>
  <c r="K627" i="27"/>
  <c r="K628" i="27"/>
  <c r="K629" i="27"/>
  <c r="K630" i="27"/>
  <c r="K631" i="27"/>
  <c r="K633" i="27"/>
  <c r="K632" i="27"/>
  <c r="K635" i="27"/>
  <c r="K634" i="27"/>
  <c r="K637" i="27"/>
  <c r="K636" i="27"/>
  <c r="K638" i="27"/>
  <c r="K639" i="27"/>
  <c r="K641" i="27"/>
  <c r="K640" i="27"/>
  <c r="K642" i="27"/>
  <c r="K643" i="27"/>
  <c r="K644" i="27"/>
  <c r="K645" i="27"/>
  <c r="K646" i="27"/>
  <c r="K647" i="27"/>
  <c r="K648" i="27"/>
  <c r="K649" i="27"/>
  <c r="K650" i="27"/>
  <c r="K651" i="27"/>
  <c r="K652" i="27"/>
  <c r="K653" i="27"/>
  <c r="K654" i="27"/>
  <c r="K655" i="27"/>
  <c r="K656" i="27"/>
  <c r="K657" i="27"/>
  <c r="K658" i="27"/>
  <c r="K659" i="27"/>
  <c r="K660" i="27"/>
  <c r="C112" i="8"/>
  <c r="C96" i="9"/>
  <c r="C97" i="9"/>
  <c r="C113" i="8"/>
  <c r="C94" i="9"/>
  <c r="G65" i="22"/>
  <c r="C65" i="22"/>
  <c r="C257" i="5"/>
  <c r="C163" i="4"/>
  <c r="C111" i="8"/>
  <c r="C258" i="5"/>
  <c r="C95" i="9"/>
  <c r="C110" i="8"/>
  <c r="J110" i="8" l="1"/>
  <c r="K110" i="8" s="1"/>
  <c r="I95" i="9"/>
  <c r="J95" i="9" s="1"/>
  <c r="J111" i="8"/>
  <c r="K111" i="8" s="1"/>
  <c r="F65" i="22"/>
  <c r="J65" i="22"/>
  <c r="I94" i="9"/>
  <c r="J94" i="9" s="1"/>
  <c r="J113" i="8"/>
  <c r="K113" i="8" s="1"/>
  <c r="I97" i="9"/>
  <c r="J97" i="9" s="1"/>
  <c r="I96" i="9"/>
  <c r="J96" i="9" s="1"/>
  <c r="J112" i="8"/>
  <c r="K112" i="8" s="1"/>
  <c r="E65" i="22"/>
  <c r="J163" i="4"/>
  <c r="D163" i="4"/>
  <c r="L163" i="4" s="1"/>
  <c r="E113" i="8"/>
  <c r="E112" i="8"/>
  <c r="E111" i="8"/>
  <c r="E110" i="8"/>
  <c r="H97" i="9"/>
  <c r="H96" i="9"/>
  <c r="H95" i="9"/>
  <c r="H94" i="9"/>
  <c r="E97" i="9"/>
  <c r="E96" i="9"/>
  <c r="E95" i="9"/>
  <c r="E94" i="9"/>
  <c r="D258" i="5"/>
  <c r="O258" i="5" s="1"/>
  <c r="D257" i="5"/>
  <c r="O257" i="5" s="1"/>
  <c r="G53" i="22"/>
  <c r="F53" i="22" l="1"/>
  <c r="J53" i="22"/>
  <c r="H163" i="4"/>
  <c r="I53" i="22"/>
  <c r="C20" i="2"/>
  <c r="D17" i="22" l="1"/>
  <c r="D16" i="22"/>
  <c r="L301" i="30"/>
  <c r="O327" i="30" l="1"/>
  <c r="L304" i="30" l="1"/>
  <c r="M288" i="30" l="1"/>
  <c r="N330" i="30"/>
  <c r="O337" i="30"/>
  <c r="C169" i="4"/>
  <c r="M320" i="30" l="1"/>
  <c r="D169" i="4"/>
  <c r="L169" i="4" s="1"/>
  <c r="H169" i="4" l="1"/>
  <c r="H16" i="22"/>
  <c r="L299" i="30" l="1"/>
  <c r="L296" i="30"/>
  <c r="L289" i="30"/>
  <c r="C91" i="9"/>
  <c r="C132" i="9"/>
  <c r="C92" i="9"/>
  <c r="I92" i="9" l="1"/>
  <c r="J92" i="9" s="1"/>
  <c r="E92" i="9"/>
  <c r="I132" i="9"/>
  <c r="J132" i="9" s="1"/>
  <c r="E132" i="9"/>
  <c r="I91" i="9"/>
  <c r="J91" i="9" s="1"/>
  <c r="E91" i="9"/>
  <c r="G73" i="22" l="1"/>
  <c r="G76" i="22" s="1"/>
  <c r="G78" i="22"/>
  <c r="C78" i="22" l="1"/>
  <c r="H9" i="5" l="1"/>
  <c r="H222" i="5" s="1"/>
  <c r="H47" i="5" l="1"/>
  <c r="H54" i="5"/>
  <c r="AA33" i="12"/>
  <c r="P29" i="12"/>
  <c r="X29" i="12"/>
  <c r="C29" i="12"/>
  <c r="N21" i="12"/>
  <c r="R21" i="12"/>
  <c r="M29" i="12"/>
  <c r="R29" i="12"/>
  <c r="T21" i="12"/>
  <c r="Z29" i="12"/>
  <c r="AE29" i="12"/>
  <c r="V21" i="12"/>
  <c r="L21" i="12"/>
  <c r="I21" i="12"/>
  <c r="E21" i="12"/>
  <c r="X21" i="12"/>
  <c r="F29" i="12"/>
  <c r="F11" i="12"/>
  <c r="S21" i="12"/>
  <c r="Z21" i="12"/>
  <c r="AC29" i="12"/>
  <c r="AE21" i="12"/>
  <c r="P21" i="12"/>
  <c r="W21" i="12"/>
  <c r="F21" i="12"/>
  <c r="V29" i="12"/>
  <c r="T29" i="12"/>
  <c r="E29" i="12"/>
  <c r="K29" i="12"/>
  <c r="AD21" i="12"/>
  <c r="AD29" i="12"/>
  <c r="O21" i="12"/>
  <c r="D29" i="12"/>
  <c r="O29" i="12"/>
  <c r="Q21" i="12"/>
  <c r="N29" i="12"/>
  <c r="I29" i="12"/>
  <c r="L29" i="12"/>
  <c r="S29" i="12"/>
  <c r="U21" i="12"/>
  <c r="M21" i="12"/>
  <c r="Q29" i="12"/>
  <c r="C21" i="12"/>
  <c r="D21" i="12"/>
  <c r="U29" i="12"/>
  <c r="K21" i="12"/>
  <c r="AC21" i="12"/>
  <c r="W29" i="12"/>
  <c r="I33" i="12" l="1"/>
  <c r="W23" i="12"/>
  <c r="W27" i="12" s="1"/>
  <c r="X23" i="12"/>
  <c r="X27" i="12" s="1"/>
  <c r="Z23" i="12"/>
  <c r="Z44" i="12" s="1"/>
  <c r="W36" i="12"/>
  <c r="X36" i="12"/>
  <c r="Z36" i="12"/>
  <c r="U16" i="12"/>
  <c r="T11" i="12"/>
  <c r="AC16" i="12"/>
  <c r="N16" i="12"/>
  <c r="V11" i="12"/>
  <c r="AE16" i="12"/>
  <c r="C11" i="12"/>
  <c r="W11" i="12"/>
  <c r="K11" i="12"/>
  <c r="T16" i="12"/>
  <c r="O16" i="12"/>
  <c r="R16" i="12"/>
  <c r="I16" i="12"/>
  <c r="I11" i="12"/>
  <c r="F16" i="12"/>
  <c r="X16" i="12"/>
  <c r="O11" i="12"/>
  <c r="X11" i="12"/>
  <c r="L16" i="12"/>
  <c r="W16" i="12"/>
  <c r="K16" i="12"/>
  <c r="D16" i="12"/>
  <c r="AE11" i="12"/>
  <c r="AD11" i="12"/>
  <c r="AD16" i="12"/>
  <c r="R11" i="12"/>
  <c r="Q16" i="12"/>
  <c r="M16" i="12"/>
  <c r="AC11" i="12"/>
  <c r="Z11" i="12"/>
  <c r="C16" i="12"/>
  <c r="E16" i="12"/>
  <c r="P16" i="12"/>
  <c r="S16" i="12"/>
  <c r="L11" i="12"/>
  <c r="J11" i="12"/>
  <c r="S11" i="12"/>
  <c r="Z16" i="12"/>
  <c r="V16" i="12"/>
  <c r="E11" i="12"/>
  <c r="P11" i="12"/>
  <c r="U11" i="12"/>
  <c r="N11" i="12"/>
  <c r="M11" i="12"/>
  <c r="Q11" i="12"/>
  <c r="D11" i="12"/>
  <c r="W19" i="12" l="1"/>
  <c r="AE19" i="12"/>
  <c r="AD19" i="12"/>
  <c r="X19" i="12"/>
  <c r="V19" i="12"/>
  <c r="AC19" i="12"/>
  <c r="Z19" i="12"/>
  <c r="K40" i="12"/>
  <c r="Z14" i="12"/>
  <c r="Z40" i="12"/>
  <c r="Z27" i="12"/>
  <c r="Z38" i="12" l="1"/>
  <c r="C388" i="8"/>
  <c r="H43" i="5"/>
  <c r="H221" i="5" s="1"/>
  <c r="H8" i="5"/>
  <c r="H198" i="5" s="1"/>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3"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91" i="9" s="1"/>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132" i="9" s="1"/>
  <c r="H132" i="9" s="1"/>
  <c r="G364" i="9"/>
  <c r="G365" i="9"/>
  <c r="G366" i="9"/>
  <c r="G367" i="9"/>
  <c r="G368" i="9"/>
  <c r="G369" i="9"/>
  <c r="G370" i="9"/>
  <c r="G371" i="9"/>
  <c r="G372" i="9"/>
  <c r="G373" i="9"/>
  <c r="G374" i="9"/>
  <c r="G375" i="9"/>
  <c r="G376" i="9"/>
  <c r="G377" i="9"/>
  <c r="G378" i="9"/>
  <c r="G379" i="9"/>
  <c r="G380" i="9"/>
  <c r="G381" i="9"/>
  <c r="G382" i="9"/>
  <c r="G383" i="9"/>
  <c r="G384" i="9"/>
  <c r="G385" i="9"/>
  <c r="G7" i="9"/>
  <c r="C380" i="8"/>
  <c r="H64" i="5"/>
  <c r="H65" i="5"/>
  <c r="H10" i="5" l="1"/>
  <c r="H11" i="5"/>
  <c r="H12" i="5"/>
  <c r="H158" i="5"/>
  <c r="H121" i="5"/>
  <c r="H165" i="5"/>
  <c r="H179" i="5"/>
  <c r="H194" i="5"/>
  <c r="H185" i="5" s="1"/>
  <c r="H180" i="5"/>
  <c r="I388" i="8" s="1"/>
  <c r="H91" i="9"/>
  <c r="G92" i="9"/>
  <c r="H92" i="9" s="1"/>
  <c r="H127" i="5"/>
  <c r="H68" i="5"/>
  <c r="H28" i="5"/>
  <c r="H119" i="5"/>
  <c r="H30" i="5"/>
  <c r="H51" i="5"/>
  <c r="H123" i="5"/>
  <c r="H53" i="5"/>
  <c r="H128" i="5"/>
  <c r="H34" i="5"/>
  <c r="H129" i="5"/>
  <c r="H131" i="5"/>
  <c r="H16" i="5"/>
  <c r="H36" i="5"/>
  <c r="H57" i="5"/>
  <c r="H135" i="5"/>
  <c r="H17" i="5"/>
  <c r="H37" i="5"/>
  <c r="H58" i="5"/>
  <c r="H136" i="5"/>
  <c r="H18" i="5"/>
  <c r="H38" i="5"/>
  <c r="H59" i="5"/>
  <c r="H137" i="5"/>
  <c r="H19" i="5"/>
  <c r="H39" i="5"/>
  <c r="H60" i="5"/>
  <c r="H138" i="5"/>
  <c r="H24" i="5"/>
  <c r="H67" i="5"/>
  <c r="H29" i="5"/>
  <c r="H61" i="5"/>
  <c r="H140" i="5"/>
  <c r="H25" i="5"/>
  <c r="H49" i="5"/>
  <c r="H45" i="5"/>
  <c r="H46" i="5"/>
  <c r="H66" i="5"/>
  <c r="H26" i="5"/>
  <c r="H27" i="5"/>
  <c r="H48" i="5"/>
  <c r="H118" i="5"/>
  <c r="H50" i="5"/>
  <c r="H122" i="5"/>
  <c r="H31" i="5"/>
  <c r="H52" i="5"/>
  <c r="H32" i="5"/>
  <c r="H33" i="5"/>
  <c r="H14" i="5"/>
  <c r="H55" i="5"/>
  <c r="H15" i="5"/>
  <c r="H35" i="5"/>
  <c r="H56" i="5"/>
  <c r="H20" i="5"/>
  <c r="H40" i="5"/>
  <c r="H21" i="5"/>
  <c r="H41" i="5"/>
  <c r="H62" i="5"/>
  <c r="H156" i="5"/>
  <c r="H22" i="5"/>
  <c r="H42" i="5"/>
  <c r="H63" i="5"/>
  <c r="H23" i="5"/>
  <c r="H44" i="5"/>
  <c r="E13" i="5" l="1"/>
  <c r="C376" i="8"/>
  <c r="E163" i="5" l="1"/>
  <c r="E92" i="5"/>
  <c r="F92" i="5" s="1"/>
  <c r="E14" i="5"/>
  <c r="E257" i="5"/>
  <c r="F257" i="5" s="1"/>
  <c r="E258" i="5"/>
  <c r="F258" i="5" s="1"/>
  <c r="E10" i="4"/>
  <c r="E390" i="9"/>
  <c r="E169" i="4" l="1"/>
  <c r="F169" i="4" s="1"/>
  <c r="E130" i="4"/>
  <c r="E43" i="4"/>
  <c r="E29" i="4"/>
  <c r="I58" i="4" l="1"/>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J97" i="4" s="1"/>
  <c r="I98" i="4"/>
  <c r="I99" i="4"/>
  <c r="I100" i="4"/>
  <c r="I101" i="4"/>
  <c r="I102" i="4"/>
  <c r="I103" i="4"/>
  <c r="I104" i="4"/>
  <c r="I105" i="4"/>
  <c r="I106" i="4"/>
  <c r="I107" i="4"/>
  <c r="I108" i="4"/>
  <c r="I109" i="4"/>
  <c r="I110" i="4"/>
  <c r="I111" i="4"/>
  <c r="I112" i="4"/>
  <c r="I113" i="4"/>
  <c r="I114" i="4"/>
  <c r="I115" i="4"/>
  <c r="I116" i="4"/>
  <c r="I117" i="4"/>
  <c r="I118" i="4"/>
  <c r="J118" i="4" s="1"/>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50" i="4"/>
  <c r="I151" i="4"/>
  <c r="I152" i="4"/>
  <c r="I153" i="4"/>
  <c r="I154" i="4"/>
  <c r="I155" i="4"/>
  <c r="I156" i="4"/>
  <c r="I157" i="4"/>
  <c r="I158" i="4"/>
  <c r="I159" i="4"/>
  <c r="I160" i="4"/>
  <c r="I161" i="4"/>
  <c r="I162" i="4"/>
  <c r="I149" i="4" s="1"/>
  <c r="J149" i="4" s="1"/>
  <c r="I164" i="4"/>
  <c r="I165" i="4"/>
  <c r="I166" i="4"/>
  <c r="I167" i="4"/>
  <c r="I168"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57" i="4"/>
  <c r="I30" i="4"/>
  <c r="I31" i="4"/>
  <c r="I32" i="4"/>
  <c r="I33" i="4"/>
  <c r="I34" i="4"/>
  <c r="I35" i="4"/>
  <c r="I36" i="4"/>
  <c r="I37" i="4"/>
  <c r="I38" i="4"/>
  <c r="I39" i="4"/>
  <c r="I40" i="4"/>
  <c r="I41" i="4"/>
  <c r="I42" i="4"/>
  <c r="I43" i="4"/>
  <c r="I44" i="4"/>
  <c r="I45" i="4"/>
  <c r="I46" i="4"/>
  <c r="I47" i="4"/>
  <c r="I48" i="4"/>
  <c r="I49" i="4"/>
  <c r="I50" i="4"/>
  <c r="I51" i="4"/>
  <c r="I52" i="4"/>
  <c r="I53" i="4"/>
  <c r="I9" i="4"/>
  <c r="I10" i="4"/>
  <c r="I11" i="4"/>
  <c r="I12" i="4"/>
  <c r="I13" i="4"/>
  <c r="I14" i="4"/>
  <c r="I15" i="4"/>
  <c r="I16" i="4"/>
  <c r="I17" i="4"/>
  <c r="I18" i="4"/>
  <c r="I19" i="4"/>
  <c r="I20" i="4"/>
  <c r="I21" i="4"/>
  <c r="I22" i="4"/>
  <c r="I23" i="4"/>
  <c r="I24" i="4"/>
  <c r="I25" i="4"/>
  <c r="I26" i="4"/>
  <c r="I27" i="4"/>
  <c r="I28" i="4"/>
  <c r="I29" i="4"/>
  <c r="I8" i="4"/>
  <c r="E54" i="5"/>
  <c r="I169" i="4" l="1"/>
  <c r="J169" i="4" s="1"/>
  <c r="J43" i="4"/>
  <c r="F29" i="31"/>
  <c r="G29" i="31"/>
  <c r="O287" i="30"/>
  <c r="L288" i="30"/>
  <c r="C11" i="5"/>
  <c r="C12" i="5"/>
  <c r="C196" i="5"/>
  <c r="C29" i="31"/>
  <c r="C54" i="5"/>
  <c r="L29" i="31" l="1"/>
  <c r="M29" i="31" s="1"/>
  <c r="N320" i="30"/>
  <c r="E29" i="31"/>
  <c r="H29" i="31"/>
  <c r="D54" i="5"/>
  <c r="O54" i="5" s="1"/>
  <c r="I54" i="5"/>
  <c r="D196" i="5"/>
  <c r="O196" i="5" s="1"/>
  <c r="D11" i="5"/>
  <c r="O11" i="5" s="1"/>
  <c r="D12" i="5"/>
  <c r="O12" i="5" s="1"/>
  <c r="F54" i="5" l="1"/>
  <c r="K54" i="5"/>
  <c r="L54" i="5" s="1"/>
  <c r="M54" i="5" s="1"/>
  <c r="K196" i="5"/>
  <c r="L196" i="5" s="1"/>
  <c r="M196" i="5" s="1"/>
  <c r="F196" i="5"/>
  <c r="F12" i="5"/>
  <c r="O285" i="30" l="1"/>
  <c r="O286" i="30"/>
  <c r="G158" i="4" l="1"/>
  <c r="O292" i="30" l="1"/>
  <c r="O291" i="30"/>
  <c r="L287" i="30"/>
  <c r="O288" i="30"/>
  <c r="C10" i="32"/>
  <c r="K10" i="32" l="1"/>
  <c r="O317" i="30"/>
  <c r="I10" i="32"/>
  <c r="D396" i="9" l="1"/>
  <c r="G156" i="4"/>
  <c r="C9" i="12"/>
  <c r="J29" i="12"/>
  <c r="E9" i="12"/>
  <c r="J21" i="12"/>
  <c r="J16" i="12"/>
  <c r="F9" i="12"/>
  <c r="D9" i="12"/>
  <c r="R23" i="12" l="1"/>
  <c r="E73" i="5"/>
  <c r="O290" i="30" l="1"/>
  <c r="O293" i="30"/>
  <c r="O294" i="30"/>
  <c r="O295" i="30"/>
  <c r="O296" i="30"/>
  <c r="O297" i="30"/>
  <c r="O298" i="30"/>
  <c r="O299" i="30"/>
  <c r="O300" i="30"/>
  <c r="O301" i="30"/>
  <c r="O302" i="30"/>
  <c r="O303" i="30"/>
  <c r="O304" i="30"/>
  <c r="O305" i="30"/>
  <c r="O306" i="30"/>
  <c r="O307" i="30"/>
  <c r="O308" i="30"/>
  <c r="O309" i="30"/>
  <c r="O310" i="30"/>
  <c r="O311" i="30"/>
  <c r="O312" i="30"/>
  <c r="O313" i="30"/>
  <c r="O314" i="30"/>
  <c r="O315" i="30"/>
  <c r="O318" i="30"/>
  <c r="O319" i="30"/>
  <c r="O320" i="30"/>
  <c r="O321" i="30"/>
  <c r="O322" i="30"/>
  <c r="O323" i="30"/>
  <c r="O324" i="30"/>
  <c r="O325" i="30"/>
  <c r="O326" i="30"/>
  <c r="O328" i="30"/>
  <c r="O329" i="30"/>
  <c r="O331" i="30"/>
  <c r="O332" i="30"/>
  <c r="O334" i="30"/>
  <c r="O289" i="30"/>
  <c r="N458" i="30"/>
  <c r="O458" i="30"/>
  <c r="N459" i="30"/>
  <c r="O459" i="30"/>
  <c r="M460" i="30"/>
  <c r="N460" i="30"/>
  <c r="L290" i="30"/>
  <c r="L291" i="30"/>
  <c r="L292" i="30"/>
  <c r="L293" i="30"/>
  <c r="L294" i="30"/>
  <c r="L297" i="30"/>
  <c r="L298" i="30"/>
  <c r="L302" i="30"/>
  <c r="L303" i="30"/>
  <c r="L305" i="30"/>
  <c r="L306" i="30"/>
  <c r="L307" i="30"/>
  <c r="L308" i="30"/>
  <c r="L309" i="30"/>
  <c r="L310" i="30"/>
  <c r="L311" i="30"/>
  <c r="L312" i="30"/>
  <c r="L313" i="30"/>
  <c r="L314" i="30"/>
  <c r="L315" i="30"/>
  <c r="L316" i="30"/>
  <c r="L317" i="30"/>
  <c r="L318" i="30"/>
  <c r="L319" i="30"/>
  <c r="L320" i="30"/>
  <c r="L321" i="30"/>
  <c r="L322" i="30"/>
  <c r="L323" i="30"/>
  <c r="L324" i="30"/>
  <c r="L325" i="30"/>
  <c r="L326" i="30"/>
  <c r="L327" i="30"/>
  <c r="L328" i="30"/>
  <c r="L329" i="30"/>
  <c r="L330" i="30"/>
  <c r="L331" i="30"/>
  <c r="L332" i="30"/>
  <c r="L333" i="30"/>
  <c r="L334" i="30"/>
  <c r="L335" i="30"/>
  <c r="L338" i="30"/>
  <c r="L339" i="30"/>
  <c r="L340" i="30"/>
  <c r="L341" i="30"/>
  <c r="L342" i="30"/>
  <c r="L343" i="30"/>
  <c r="G55" i="22"/>
  <c r="C362" i="9"/>
  <c r="C55" i="22"/>
  <c r="C11" i="2"/>
  <c r="G56" i="22"/>
  <c r="C363" i="9"/>
  <c r="C56" i="22"/>
  <c r="F56" i="22" l="1"/>
  <c r="I363" i="9"/>
  <c r="J363" i="9" s="1"/>
  <c r="J56" i="22"/>
  <c r="F55" i="22"/>
  <c r="I362" i="9"/>
  <c r="J362" i="9" s="1"/>
  <c r="J55" i="22"/>
  <c r="M451" i="30"/>
  <c r="M458" i="30"/>
  <c r="E363" i="9"/>
  <c r="E362" i="9"/>
  <c r="E56" i="22"/>
  <c r="E55" i="22"/>
  <c r="I55" i="22"/>
  <c r="I56" i="22"/>
  <c r="E11" i="2"/>
  <c r="E115" i="4" l="1"/>
  <c r="C115" i="4"/>
  <c r="J115" i="4" l="1"/>
  <c r="D115" i="4"/>
  <c r="L115" i="4" s="1"/>
  <c r="E294" i="5"/>
  <c r="E13" i="4"/>
  <c r="F13" i="4" s="1"/>
  <c r="F115" i="4" l="1"/>
  <c r="H115" i="4"/>
  <c r="F30" i="31"/>
  <c r="G30" i="31"/>
  <c r="C30" i="31"/>
  <c r="L30" i="31" l="1"/>
  <c r="M30" i="31" s="1"/>
  <c r="E30" i="31"/>
  <c r="H30" i="31"/>
  <c r="D38" i="32" l="1"/>
  <c r="H38" i="32" s="1"/>
  <c r="A89" i="20"/>
  <c r="A88" i="20"/>
  <c r="A83" i="20"/>
  <c r="A82" i="20"/>
  <c r="D57" i="2"/>
  <c r="D56" i="2"/>
  <c r="D48" i="2"/>
  <c r="D12" i="2"/>
  <c r="A67" i="20"/>
  <c r="A66" i="20"/>
  <c r="A65" i="20"/>
  <c r="A64" i="20"/>
  <c r="A63" i="20"/>
  <c r="A62" i="20"/>
  <c r="A61" i="20"/>
  <c r="A60" i="20"/>
  <c r="C8" i="32"/>
  <c r="C130" i="4"/>
  <c r="C9" i="32"/>
  <c r="K9" i="32" l="1"/>
  <c r="K8" i="32"/>
  <c r="C14" i="32"/>
  <c r="C16" i="32" s="1"/>
  <c r="D39" i="32"/>
  <c r="H39" i="32" s="1"/>
  <c r="O335" i="30"/>
  <c r="O333" i="30"/>
  <c r="O330" i="30"/>
  <c r="D130" i="4"/>
  <c r="L130" i="4" s="1"/>
  <c r="D52" i="2"/>
  <c r="D42" i="2"/>
  <c r="D25" i="2"/>
  <c r="D24" i="2"/>
  <c r="C173" i="9"/>
  <c r="I173" i="9" l="1"/>
  <c r="J173" i="9" s="1"/>
  <c r="K14" i="32"/>
  <c r="H130" i="4"/>
  <c r="F130" i="4"/>
  <c r="E173" i="9"/>
  <c r="E129" i="4" l="1"/>
  <c r="J10" i="3"/>
  <c r="I10" i="3"/>
  <c r="M469" i="30" l="1"/>
  <c r="M470" i="30"/>
  <c r="M471" i="30"/>
  <c r="M472" i="30"/>
  <c r="M473" i="30"/>
  <c r="M474" i="30"/>
  <c r="M475" i="30"/>
  <c r="M476" i="30"/>
  <c r="M477" i="30"/>
  <c r="M478" i="30"/>
  <c r="M479" i="30"/>
  <c r="M480" i="30"/>
  <c r="M481" i="30"/>
  <c r="M482" i="30"/>
  <c r="M483" i="30"/>
  <c r="M484" i="30"/>
  <c r="M485" i="30"/>
  <c r="M486" i="30"/>
  <c r="M487" i="30"/>
  <c r="M488" i="30"/>
  <c r="M489" i="30"/>
  <c r="M490" i="30"/>
  <c r="M491" i="30"/>
  <c r="M492" i="30"/>
  <c r="M493" i="30"/>
  <c r="M494" i="30"/>
  <c r="M495" i="30"/>
  <c r="M496" i="30"/>
  <c r="M497" i="30"/>
  <c r="M498" i="30"/>
  <c r="M499" i="30"/>
  <c r="M500" i="30"/>
  <c r="M501" i="30"/>
  <c r="M502" i="30"/>
  <c r="M503" i="30"/>
  <c r="M504" i="30"/>
  <c r="M505" i="30"/>
  <c r="M506" i="30"/>
  <c r="M507" i="30"/>
  <c r="M508" i="30"/>
  <c r="M509" i="30"/>
  <c r="M510" i="30"/>
  <c r="M511" i="30"/>
  <c r="M512" i="30"/>
  <c r="M513" i="30"/>
  <c r="M514" i="30"/>
  <c r="M515" i="30"/>
  <c r="M516" i="30"/>
  <c r="M517" i="30"/>
  <c r="M518" i="30"/>
  <c r="M519" i="30"/>
  <c r="M520" i="30"/>
  <c r="M521" i="30"/>
  <c r="M522" i="30"/>
  <c r="M523" i="30"/>
  <c r="M524" i="30"/>
  <c r="M525" i="30"/>
  <c r="M526" i="30"/>
  <c r="M527" i="30"/>
  <c r="M528" i="30"/>
  <c r="M529" i="30"/>
  <c r="M530" i="30"/>
  <c r="M531" i="30"/>
  <c r="M532" i="30"/>
  <c r="M533" i="30"/>
  <c r="M534" i="30"/>
  <c r="M535" i="30"/>
  <c r="M536" i="30"/>
  <c r="M537" i="30"/>
  <c r="M538" i="30"/>
  <c r="M539" i="30"/>
  <c r="M540" i="30"/>
  <c r="M541" i="30"/>
  <c r="M542" i="30"/>
  <c r="M543" i="30"/>
  <c r="M544" i="30"/>
  <c r="M545" i="30"/>
  <c r="M546" i="30"/>
  <c r="M547" i="30"/>
  <c r="M548" i="30"/>
  <c r="M549" i="30"/>
  <c r="M550" i="30"/>
  <c r="M551" i="30"/>
  <c r="M552" i="30"/>
  <c r="M553" i="30"/>
  <c r="M554" i="30"/>
  <c r="M555" i="30"/>
  <c r="M556" i="30"/>
  <c r="M557" i="30"/>
  <c r="M558" i="30"/>
  <c r="M559" i="30"/>
  <c r="M560" i="30"/>
  <c r="M561" i="30"/>
  <c r="M562" i="30"/>
  <c r="M563" i="30"/>
  <c r="M564" i="30"/>
  <c r="M565" i="30"/>
  <c r="M566" i="30"/>
  <c r="M567" i="30"/>
  <c r="M568" i="30"/>
  <c r="M569" i="30"/>
  <c r="D53" i="2"/>
  <c r="D49" i="2"/>
  <c r="D40" i="2"/>
  <c r="D40" i="32"/>
  <c r="H40" i="32" s="1"/>
  <c r="D41" i="32"/>
  <c r="H41" i="32" s="1"/>
  <c r="D42" i="32"/>
  <c r="H42" i="32" s="1"/>
  <c r="D43" i="32"/>
  <c r="H43" i="32" s="1"/>
  <c r="E43" i="32"/>
  <c r="E42" i="32"/>
  <c r="E41" i="32"/>
  <c r="E39" i="32"/>
  <c r="E38" i="32"/>
  <c r="E11" i="19"/>
  <c r="E15" i="19" s="1"/>
  <c r="F25" i="19"/>
  <c r="E9" i="19"/>
  <c r="E37" i="31"/>
  <c r="E36" i="31"/>
  <c r="F8" i="31"/>
  <c r="F9" i="31"/>
  <c r="F10" i="31"/>
  <c r="F11" i="31"/>
  <c r="F12" i="31"/>
  <c r="F13" i="31"/>
  <c r="F14" i="31"/>
  <c r="F15" i="31"/>
  <c r="F16" i="31"/>
  <c r="F17" i="31"/>
  <c r="F18" i="31"/>
  <c r="F19" i="31"/>
  <c r="F20" i="31"/>
  <c r="F21" i="31"/>
  <c r="F22" i="31"/>
  <c r="F23" i="31"/>
  <c r="F24" i="31"/>
  <c r="F25" i="31"/>
  <c r="F26" i="31"/>
  <c r="F27" i="31"/>
  <c r="F28" i="31"/>
  <c r="F31" i="31"/>
  <c r="F7" i="31"/>
  <c r="E57" i="31"/>
  <c r="E48" i="31"/>
  <c r="G31" i="31"/>
  <c r="G28" i="31"/>
  <c r="G27" i="31"/>
  <c r="G26" i="31"/>
  <c r="G25" i="31"/>
  <c r="G24" i="31"/>
  <c r="G23" i="31"/>
  <c r="G22" i="31"/>
  <c r="G21" i="31"/>
  <c r="G20" i="31"/>
  <c r="G19" i="31"/>
  <c r="G18" i="31"/>
  <c r="G17" i="31"/>
  <c r="G16" i="31"/>
  <c r="G15" i="31"/>
  <c r="G14" i="31"/>
  <c r="G13" i="31"/>
  <c r="G12" i="31"/>
  <c r="G11" i="31"/>
  <c r="G10" i="31"/>
  <c r="G9" i="31"/>
  <c r="G8" i="31"/>
  <c r="G7" i="31"/>
  <c r="C11" i="31"/>
  <c r="C19" i="31"/>
  <c r="C14" i="31"/>
  <c r="C13" i="31"/>
  <c r="C28" i="31"/>
  <c r="C10" i="31"/>
  <c r="C20" i="31"/>
  <c r="C9" i="31"/>
  <c r="C22" i="31"/>
  <c r="C27" i="31"/>
  <c r="C23" i="31"/>
  <c r="C8" i="31"/>
  <c r="C26" i="2"/>
  <c r="C18" i="2"/>
  <c r="C31" i="31"/>
  <c r="C26" i="31"/>
  <c r="C28" i="2"/>
  <c r="C24" i="31"/>
  <c r="C25" i="31"/>
  <c r="C19" i="2"/>
  <c r="C27" i="2"/>
  <c r="C16" i="31"/>
  <c r="C21" i="31"/>
  <c r="C18" i="31"/>
  <c r="C7" i="31"/>
  <c r="C12" i="31"/>
  <c r="C15" i="31"/>
  <c r="C17" i="31"/>
  <c r="L17" i="31" l="1"/>
  <c r="M17" i="31" s="1"/>
  <c r="L15" i="31"/>
  <c r="M15" i="31" s="1"/>
  <c r="L12" i="31"/>
  <c r="M12" i="31" s="1"/>
  <c r="O348" i="30"/>
  <c r="L7" i="31"/>
  <c r="L18" i="31"/>
  <c r="M18" i="31" s="1"/>
  <c r="L21" i="31"/>
  <c r="M21" i="31" s="1"/>
  <c r="L16" i="31"/>
  <c r="M16" i="31" s="1"/>
  <c r="O351" i="30"/>
  <c r="E19" i="2"/>
  <c r="L25" i="31"/>
  <c r="M25" i="31" s="1"/>
  <c r="L24" i="31"/>
  <c r="M24" i="31" s="1"/>
  <c r="L26" i="31"/>
  <c r="L31" i="31"/>
  <c r="M31" i="31" s="1"/>
  <c r="O433" i="30"/>
  <c r="L8" i="31"/>
  <c r="M8" i="31" s="1"/>
  <c r="L23" i="31"/>
  <c r="M23" i="31" s="1"/>
  <c r="L27" i="31"/>
  <c r="M27" i="31" s="1"/>
  <c r="O381" i="30"/>
  <c r="L22" i="31"/>
  <c r="L9" i="31"/>
  <c r="M9" i="31" s="1"/>
  <c r="L20" i="31"/>
  <c r="M20" i="31" s="1"/>
  <c r="L10" i="31"/>
  <c r="M10" i="31" s="1"/>
  <c r="L28" i="31"/>
  <c r="M28" i="31" s="1"/>
  <c r="L13" i="31"/>
  <c r="M13" i="31" s="1"/>
  <c r="O349" i="30"/>
  <c r="L14" i="31"/>
  <c r="O350" i="30"/>
  <c r="L19" i="31"/>
  <c r="M19" i="31" s="1"/>
  <c r="L11" i="31"/>
  <c r="O347" i="30"/>
  <c r="M11" i="31"/>
  <c r="O390" i="30"/>
  <c r="O442" i="30"/>
  <c r="O453" i="30"/>
  <c r="M26" i="31"/>
  <c r="O353" i="30"/>
  <c r="O388" i="30"/>
  <c r="M14" i="31"/>
  <c r="O440" i="30"/>
  <c r="O354" i="30"/>
  <c r="M7" i="31"/>
  <c r="O352" i="30"/>
  <c r="E18" i="2"/>
  <c r="O452" i="30"/>
  <c r="O367" i="30"/>
  <c r="O362" i="30"/>
  <c r="O368" i="30"/>
  <c r="O361" i="30"/>
  <c r="O356" i="30"/>
  <c r="O365" i="30"/>
  <c r="O370" i="30"/>
  <c r="O359" i="30"/>
  <c r="O391" i="30"/>
  <c r="O364" i="30"/>
  <c r="O366" i="30"/>
  <c r="O360" i="30"/>
  <c r="O355" i="30"/>
  <c r="O455" i="30"/>
  <c r="O363" i="30"/>
  <c r="O358" i="30"/>
  <c r="O369" i="30"/>
  <c r="O357" i="30"/>
  <c r="O371" i="30"/>
  <c r="M22" i="31"/>
  <c r="E28" i="2"/>
  <c r="E27" i="2"/>
  <c r="C33" i="31"/>
  <c r="O460" i="30"/>
  <c r="C56" i="2"/>
  <c r="E56" i="2" s="1"/>
  <c r="C57" i="2"/>
  <c r="E57" i="2" s="1"/>
  <c r="D58" i="2"/>
  <c r="C53" i="2"/>
  <c r="D44" i="2"/>
  <c r="D43" i="2"/>
  <c r="D29" i="2"/>
  <c r="D41" i="2"/>
  <c r="E17" i="19"/>
  <c r="E30" i="19"/>
  <c r="E22" i="19"/>
  <c r="I9" i="32"/>
  <c r="I8" i="32"/>
  <c r="E26" i="2"/>
  <c r="C29" i="2"/>
  <c r="E25" i="2"/>
  <c r="E24" i="2"/>
  <c r="F34" i="31"/>
  <c r="E9" i="31"/>
  <c r="E19" i="31"/>
  <c r="H31" i="31"/>
  <c r="E31" i="31"/>
  <c r="E16" i="31"/>
  <c r="E26" i="31"/>
  <c r="E13" i="31"/>
  <c r="E23" i="31"/>
  <c r="E10" i="31"/>
  <c r="E20" i="31"/>
  <c r="E7" i="31"/>
  <c r="E17" i="31"/>
  <c r="E27" i="31"/>
  <c r="E14" i="31"/>
  <c r="E24" i="31"/>
  <c r="E11" i="31"/>
  <c r="E21" i="31"/>
  <c r="E8" i="31"/>
  <c r="E18" i="31"/>
  <c r="E28" i="31"/>
  <c r="E15" i="31"/>
  <c r="E25" i="31"/>
  <c r="E12" i="31"/>
  <c r="H12" i="31"/>
  <c r="E22" i="31"/>
  <c r="H22" i="31"/>
  <c r="H23" i="31"/>
  <c r="H24" i="31"/>
  <c r="H25" i="31"/>
  <c r="H26" i="31"/>
  <c r="H10" i="31"/>
  <c r="H11" i="31"/>
  <c r="H7" i="31"/>
  <c r="H27" i="31"/>
  <c r="H8" i="31"/>
  <c r="H28" i="31"/>
  <c r="H9" i="31"/>
  <c r="H13" i="31"/>
  <c r="H14" i="31"/>
  <c r="H15" i="31"/>
  <c r="H16" i="31"/>
  <c r="H17" i="31"/>
  <c r="H18" i="31"/>
  <c r="H19" i="31"/>
  <c r="H20" i="31"/>
  <c r="H21" i="31"/>
  <c r="C18" i="9"/>
  <c r="C19" i="9"/>
  <c r="C176" i="8"/>
  <c r="J176" i="8" l="1"/>
  <c r="K176" i="8" s="1"/>
  <c r="I19" i="9"/>
  <c r="J19" i="9" s="1"/>
  <c r="I18" i="9"/>
  <c r="J18" i="9" s="1"/>
  <c r="E28" i="19"/>
  <c r="AF21" i="12"/>
  <c r="E37" i="19"/>
  <c r="AF29" i="12"/>
  <c r="E20" i="19"/>
  <c r="E39" i="19" s="1"/>
  <c r="AF16" i="12"/>
  <c r="E38" i="31"/>
  <c r="E40" i="31" s="1"/>
  <c r="E34" i="31"/>
  <c r="M34" i="31"/>
  <c r="I14" i="32"/>
  <c r="I16" i="32" s="1"/>
  <c r="H18" i="9"/>
  <c r="G60" i="20"/>
  <c r="F64" i="20" s="1"/>
  <c r="F60" i="20"/>
  <c r="G64" i="20" s="1"/>
  <c r="G83" i="20"/>
  <c r="F89" i="20" s="1"/>
  <c r="F83" i="20"/>
  <c r="G89" i="20" s="1"/>
  <c r="F61" i="20"/>
  <c r="G66" i="20" s="1"/>
  <c r="G61" i="20"/>
  <c r="F66" i="20" s="1"/>
  <c r="F62" i="20"/>
  <c r="G65" i="20" s="1"/>
  <c r="G62" i="20"/>
  <c r="F65" i="20" s="1"/>
  <c r="F82" i="20"/>
  <c r="G88" i="20" s="1"/>
  <c r="G82" i="20"/>
  <c r="F88" i="20" s="1"/>
  <c r="F63" i="20"/>
  <c r="G67" i="20" s="1"/>
  <c r="G63" i="20"/>
  <c r="F67" i="20" s="1"/>
  <c r="C47" i="31"/>
  <c r="F47" i="31" s="1"/>
  <c r="G47" i="31" s="1"/>
  <c r="C56" i="31"/>
  <c r="C46" i="31"/>
  <c r="C55" i="31"/>
  <c r="F55" i="31" s="1"/>
  <c r="G55" i="31" s="1"/>
  <c r="C54" i="31"/>
  <c r="C45" i="31"/>
  <c r="C53" i="31"/>
  <c r="C44" i="31"/>
  <c r="C52" i="31"/>
  <c r="C43" i="31"/>
  <c r="F43" i="31" s="1"/>
  <c r="F43" i="32"/>
  <c r="F50" i="32" s="1"/>
  <c r="F41" i="32"/>
  <c r="F42" i="32"/>
  <c r="F39" i="32"/>
  <c r="F48" i="32" s="1"/>
  <c r="E29" i="2"/>
  <c r="H34" i="31"/>
  <c r="H36" i="31" s="1"/>
  <c r="E176" i="8"/>
  <c r="E18" i="9"/>
  <c r="E19" i="9"/>
  <c r="H19" i="9"/>
  <c r="E131" i="4"/>
  <c r="C131" i="4"/>
  <c r="AF36" i="12" l="1"/>
  <c r="AF38" i="12" s="1"/>
  <c r="F40" i="32"/>
  <c r="F49" i="32" s="1"/>
  <c r="I48" i="32"/>
  <c r="I51" i="32" s="1"/>
  <c r="F38" i="32"/>
  <c r="D44" i="32"/>
  <c r="D45" i="32" s="1"/>
  <c r="C48" i="31"/>
  <c r="F54" i="31"/>
  <c r="G54" i="31" s="1"/>
  <c r="F45" i="31"/>
  <c r="G45" i="31" s="1"/>
  <c r="F56" i="31"/>
  <c r="G56" i="31" s="1"/>
  <c r="F46" i="31"/>
  <c r="G46" i="31" s="1"/>
  <c r="F53" i="31"/>
  <c r="G53" i="31" s="1"/>
  <c r="F44" i="31"/>
  <c r="G44" i="31" s="1"/>
  <c r="H176" i="8"/>
  <c r="G176" i="8"/>
  <c r="J131" i="4"/>
  <c r="D131" i="4"/>
  <c r="L131" i="4" s="1"/>
  <c r="F44" i="32" l="1"/>
  <c r="F47" i="32"/>
  <c r="D36" i="32"/>
  <c r="E40" i="32"/>
  <c r="C57" i="31"/>
  <c r="F52" i="31"/>
  <c r="G43" i="31"/>
  <c r="F48" i="31"/>
  <c r="G48" i="31" s="1"/>
  <c r="H131" i="4"/>
  <c r="F131" i="4"/>
  <c r="F45" i="32" l="1"/>
  <c r="F51" i="32"/>
  <c r="F57" i="31"/>
  <c r="G52" i="31"/>
  <c r="G57" i="31" s="1"/>
  <c r="G62" i="22"/>
  <c r="J62" i="22" l="1"/>
  <c r="C162" i="5"/>
  <c r="C15" i="8"/>
  <c r="C197" i="5"/>
  <c r="C16" i="8"/>
  <c r="C145" i="4"/>
  <c r="J16" i="8" l="1"/>
  <c r="K16" i="8" s="1"/>
  <c r="J15" i="8"/>
  <c r="K15" i="8" s="1"/>
  <c r="N319" i="30"/>
  <c r="D197" i="5"/>
  <c r="O197" i="5" s="1"/>
  <c r="D162" i="5"/>
  <c r="O162" i="5" s="1"/>
  <c r="E15" i="8"/>
  <c r="E16" i="8"/>
  <c r="J145" i="4"/>
  <c r="D145" i="4"/>
  <c r="L145" i="4" s="1"/>
  <c r="F380" i="8"/>
  <c r="E293" i="5"/>
  <c r="F162" i="5" l="1"/>
  <c r="K197" i="5"/>
  <c r="L197" i="5" s="1"/>
  <c r="M197" i="5" s="1"/>
  <c r="F197" i="5"/>
  <c r="F145" i="4"/>
  <c r="H23" i="22" l="1"/>
  <c r="E43" i="5"/>
  <c r="C260" i="8"/>
  <c r="C190" i="5"/>
  <c r="C29" i="4"/>
  <c r="C257" i="9"/>
  <c r="C43" i="5"/>
  <c r="I257" i="9" l="1"/>
  <c r="J257" i="9" s="1"/>
  <c r="J260" i="8"/>
  <c r="K260" i="8" s="1"/>
  <c r="D29" i="4"/>
  <c r="L29" i="4" s="1"/>
  <c r="E260" i="8"/>
  <c r="I260" i="8" s="1"/>
  <c r="E257" i="9"/>
  <c r="H257" i="9"/>
  <c r="D190" i="5"/>
  <c r="O190" i="5" s="1"/>
  <c r="D43" i="5"/>
  <c r="O43" i="5" s="1"/>
  <c r="D293" i="5" l="1"/>
  <c r="F293" i="5" s="1"/>
  <c r="F29" i="4"/>
  <c r="H293" i="5"/>
  <c r="I293" i="5" s="1"/>
  <c r="K190" i="5"/>
  <c r="L190" i="5" s="1"/>
  <c r="M190" i="5" s="1"/>
  <c r="F190" i="5"/>
  <c r="F43" i="5"/>
  <c r="K43" i="5"/>
  <c r="L43" i="5" s="1"/>
  <c r="M43" i="5" s="1"/>
  <c r="H29" i="4"/>
  <c r="E76" i="5" l="1"/>
  <c r="E75" i="5"/>
  <c r="E74" i="5"/>
  <c r="E154" i="4" l="1"/>
  <c r="C154" i="4"/>
  <c r="J154" i="4" l="1"/>
  <c r="D154" i="4"/>
  <c r="L154" i="4" s="1"/>
  <c r="H154" i="4" l="1"/>
  <c r="F154" i="4"/>
  <c r="K17" i="20" l="1"/>
  <c r="O6" i="20" l="1"/>
  <c r="E234" i="5" l="1"/>
  <c r="E185" i="4"/>
  <c r="E57" i="5"/>
  <c r="E104" i="4"/>
  <c r="C57" i="5"/>
  <c r="C234" i="5"/>
  <c r="C104" i="4"/>
  <c r="C337" i="8"/>
  <c r="C104" i="9"/>
  <c r="C328" i="9"/>
  <c r="C136" i="9"/>
  <c r="C185" i="4"/>
  <c r="I136" i="9" l="1"/>
  <c r="J136" i="9" s="1"/>
  <c r="I328" i="9"/>
  <c r="J328" i="9" s="1"/>
  <c r="I104" i="9"/>
  <c r="J104" i="9" s="1"/>
  <c r="J337" i="8"/>
  <c r="K337" i="8" s="1"/>
  <c r="N318" i="30"/>
  <c r="N310" i="30"/>
  <c r="D185" i="4"/>
  <c r="L185" i="4" s="1"/>
  <c r="D57" i="5"/>
  <c r="O57" i="5" s="1"/>
  <c r="E337" i="8"/>
  <c r="E328" i="9"/>
  <c r="F328" i="9" s="1"/>
  <c r="E136" i="9"/>
  <c r="H136" i="9"/>
  <c r="E104" i="9"/>
  <c r="H104" i="9"/>
  <c r="D234" i="5"/>
  <c r="O234" i="5" s="1"/>
  <c r="J185" i="4"/>
  <c r="J104" i="4"/>
  <c r="D104" i="4"/>
  <c r="L104" i="4" s="1"/>
  <c r="G337" i="8" l="1"/>
  <c r="F337" i="8"/>
  <c r="K57" i="5"/>
  <c r="L57" i="5" s="1"/>
  <c r="M57" i="5" s="1"/>
  <c r="F234" i="5"/>
  <c r="H185" i="4"/>
  <c r="F185" i="4"/>
  <c r="F57" i="5"/>
  <c r="H104" i="4"/>
  <c r="F104" i="4"/>
  <c r="I12" i="5" l="1"/>
  <c r="G388" i="8"/>
  <c r="D397" i="9" l="1"/>
  <c r="G122" i="4"/>
  <c r="G106" i="4"/>
  <c r="G108" i="4" s="1"/>
  <c r="G102" i="4"/>
  <c r="G87" i="4"/>
  <c r="H173" i="9"/>
  <c r="H328" i="9"/>
  <c r="H362" i="9" l="1"/>
  <c r="H363" i="9"/>
  <c r="I43" i="5"/>
  <c r="H13" i="5"/>
  <c r="G135" i="4"/>
  <c r="J130" i="4"/>
  <c r="I57" i="5" l="1"/>
  <c r="J29" i="4"/>
  <c r="K516" i="27"/>
  <c r="C360" i="9"/>
  <c r="C361" i="9"/>
  <c r="I361" i="9" l="1"/>
  <c r="J361" i="9" s="1"/>
  <c r="I360" i="9"/>
  <c r="J360" i="9" s="1"/>
  <c r="H361" i="9"/>
  <c r="E360" i="9"/>
  <c r="H360" i="9"/>
  <c r="E361" i="9"/>
  <c r="E55" i="5"/>
  <c r="E102" i="4"/>
  <c r="C102" i="4"/>
  <c r="C334" i="8"/>
  <c r="C55" i="5"/>
  <c r="C148" i="9"/>
  <c r="C198" i="5"/>
  <c r="I198" i="5" l="1"/>
  <c r="I148" i="9"/>
  <c r="J148" i="9" s="1"/>
  <c r="J334" i="8"/>
  <c r="K334" i="8" s="1"/>
  <c r="E334" i="8"/>
  <c r="D55" i="5"/>
  <c r="O55" i="5" s="1"/>
  <c r="E148" i="9"/>
  <c r="F148" i="9" s="1"/>
  <c r="D198" i="5"/>
  <c r="O198" i="5" s="1"/>
  <c r="D102" i="4"/>
  <c r="L102" i="4" s="1"/>
  <c r="G334" i="8" l="1"/>
  <c r="F334" i="8"/>
  <c r="F11" i="5"/>
  <c r="K55" i="5"/>
  <c r="L55" i="5" s="1"/>
  <c r="M55" i="5" s="1"/>
  <c r="F55" i="5"/>
  <c r="K198" i="5"/>
  <c r="L198" i="5" s="1"/>
  <c r="M198" i="5" s="1"/>
  <c r="F198" i="5"/>
  <c r="H102" i="4"/>
  <c r="F102" i="4"/>
  <c r="I468" i="30" l="1"/>
  <c r="I469" i="30"/>
  <c r="J469" i="30"/>
  <c r="I470" i="30"/>
  <c r="J470" i="30"/>
  <c r="I471" i="30"/>
  <c r="J471" i="30"/>
  <c r="I472" i="30"/>
  <c r="J472" i="30"/>
  <c r="I473" i="30"/>
  <c r="J473" i="30"/>
  <c r="I474" i="30"/>
  <c r="J474" i="30"/>
  <c r="I475" i="30"/>
  <c r="J475" i="30"/>
  <c r="I476" i="30"/>
  <c r="J476" i="30"/>
  <c r="I477" i="30"/>
  <c r="J477" i="30"/>
  <c r="I478" i="30"/>
  <c r="J478" i="30"/>
  <c r="I479" i="30"/>
  <c r="J479" i="30"/>
  <c r="I480" i="30"/>
  <c r="J480" i="30"/>
  <c r="I481" i="30"/>
  <c r="J481" i="30"/>
  <c r="I482" i="30"/>
  <c r="J482" i="30"/>
  <c r="I483" i="30"/>
  <c r="J483" i="30"/>
  <c r="I484" i="30"/>
  <c r="J484" i="30"/>
  <c r="I485" i="30"/>
  <c r="J485" i="30"/>
  <c r="I486" i="30"/>
  <c r="J486" i="30"/>
  <c r="I487" i="30"/>
  <c r="J487" i="30"/>
  <c r="I488" i="30"/>
  <c r="J488" i="30"/>
  <c r="I489" i="30"/>
  <c r="J489" i="30"/>
  <c r="I490" i="30"/>
  <c r="J490" i="30"/>
  <c r="I491" i="30"/>
  <c r="J491" i="30"/>
  <c r="I492" i="30"/>
  <c r="J492" i="30"/>
  <c r="I493" i="30"/>
  <c r="J493" i="30"/>
  <c r="I494" i="30"/>
  <c r="J494" i="30"/>
  <c r="I495" i="30"/>
  <c r="J495" i="30"/>
  <c r="I496" i="30"/>
  <c r="J496" i="30"/>
  <c r="I497" i="30"/>
  <c r="J497" i="30"/>
  <c r="I498" i="30"/>
  <c r="J498" i="30"/>
  <c r="I499" i="30"/>
  <c r="J499" i="30"/>
  <c r="I500" i="30"/>
  <c r="J500" i="30"/>
  <c r="I501" i="30"/>
  <c r="J501" i="30"/>
  <c r="I502" i="30"/>
  <c r="J502" i="30"/>
  <c r="I503" i="30"/>
  <c r="J503" i="30"/>
  <c r="I504" i="30"/>
  <c r="J504" i="30"/>
  <c r="I505" i="30"/>
  <c r="J505" i="30"/>
  <c r="I506" i="30"/>
  <c r="J506" i="30"/>
  <c r="I507" i="30"/>
  <c r="J507" i="30"/>
  <c r="I508" i="30"/>
  <c r="J508" i="30"/>
  <c r="I509" i="30"/>
  <c r="J509" i="30"/>
  <c r="I510" i="30"/>
  <c r="J510" i="30"/>
  <c r="I511" i="30"/>
  <c r="J511" i="30"/>
  <c r="I512" i="30"/>
  <c r="J512" i="30"/>
  <c r="I513" i="30"/>
  <c r="J513" i="30"/>
  <c r="I514" i="30"/>
  <c r="J514" i="30"/>
  <c r="I515" i="30"/>
  <c r="J515" i="30"/>
  <c r="I516" i="30"/>
  <c r="J516" i="30"/>
  <c r="I517" i="30"/>
  <c r="J517" i="30"/>
  <c r="I518" i="30"/>
  <c r="J518" i="30"/>
  <c r="I519" i="30"/>
  <c r="J519" i="30"/>
  <c r="I520" i="30"/>
  <c r="J520" i="30"/>
  <c r="I521" i="30"/>
  <c r="J521" i="30"/>
  <c r="I522" i="30"/>
  <c r="J522" i="30"/>
  <c r="I523" i="30"/>
  <c r="J523" i="30"/>
  <c r="I524" i="30"/>
  <c r="J524" i="30"/>
  <c r="I525" i="30"/>
  <c r="J525" i="30"/>
  <c r="I526" i="30"/>
  <c r="J526" i="30"/>
  <c r="I527" i="30"/>
  <c r="J527" i="30"/>
  <c r="I528" i="30"/>
  <c r="J528" i="30"/>
  <c r="I529" i="30"/>
  <c r="J529" i="30"/>
  <c r="I530" i="30"/>
  <c r="J530" i="30"/>
  <c r="I531" i="30"/>
  <c r="J531" i="30"/>
  <c r="I532" i="30"/>
  <c r="J532" i="30"/>
  <c r="I533" i="30"/>
  <c r="J533" i="30"/>
  <c r="I534" i="30"/>
  <c r="J534" i="30"/>
  <c r="I535" i="30"/>
  <c r="J535" i="30"/>
  <c r="I536" i="30"/>
  <c r="J536" i="30"/>
  <c r="I537" i="30"/>
  <c r="J537" i="30"/>
  <c r="I538" i="30"/>
  <c r="J538" i="30"/>
  <c r="I539" i="30"/>
  <c r="J539" i="30"/>
  <c r="I540" i="30"/>
  <c r="J540" i="30"/>
  <c r="I541" i="30"/>
  <c r="J541" i="30"/>
  <c r="I542" i="30"/>
  <c r="J542" i="30"/>
  <c r="I543" i="30"/>
  <c r="J543" i="30"/>
  <c r="I544" i="30"/>
  <c r="J544" i="30"/>
  <c r="I545" i="30"/>
  <c r="J545" i="30"/>
  <c r="I546" i="30"/>
  <c r="J546" i="30"/>
  <c r="I547" i="30"/>
  <c r="J547" i="30"/>
  <c r="I548" i="30"/>
  <c r="J548" i="30"/>
  <c r="I549" i="30"/>
  <c r="J549" i="30"/>
  <c r="I550" i="30"/>
  <c r="J550" i="30"/>
  <c r="I551" i="30"/>
  <c r="J551" i="30"/>
  <c r="I552" i="30"/>
  <c r="J552" i="30"/>
  <c r="I553" i="30"/>
  <c r="J553" i="30"/>
  <c r="I554" i="30"/>
  <c r="J554" i="30"/>
  <c r="I555" i="30"/>
  <c r="J555" i="30"/>
  <c r="I556" i="30"/>
  <c r="J556" i="30"/>
  <c r="I557" i="30"/>
  <c r="J557" i="30"/>
  <c r="I558" i="30"/>
  <c r="J558" i="30"/>
  <c r="I559" i="30"/>
  <c r="J559" i="30"/>
  <c r="I560" i="30"/>
  <c r="J560" i="30"/>
  <c r="I561" i="30"/>
  <c r="J561" i="30"/>
  <c r="I562" i="30"/>
  <c r="J562" i="30"/>
  <c r="I563" i="30"/>
  <c r="J563" i="30"/>
  <c r="I564" i="30"/>
  <c r="J564" i="30"/>
  <c r="I565" i="30"/>
  <c r="J565" i="30"/>
  <c r="I566" i="30"/>
  <c r="J566" i="30"/>
  <c r="I567" i="30"/>
  <c r="J567" i="30"/>
  <c r="I568" i="30"/>
  <c r="J568" i="30"/>
  <c r="I569" i="30"/>
  <c r="J569" i="30"/>
  <c r="AD36" i="12" l="1"/>
  <c r="AD23" i="12"/>
  <c r="AD27" i="12" s="1"/>
  <c r="E145" i="5"/>
  <c r="C145" i="5"/>
  <c r="D145" i="5" l="1"/>
  <c r="O145" i="5" s="1"/>
  <c r="F145" i="5" l="1"/>
  <c r="C168" i="9"/>
  <c r="C20" i="4"/>
  <c r="C170" i="8"/>
  <c r="J170" i="8" l="1"/>
  <c r="K170" i="8" s="1"/>
  <c r="I168" i="9"/>
  <c r="J168" i="9" s="1"/>
  <c r="H168" i="9"/>
  <c r="E170" i="8"/>
  <c r="E168" i="9"/>
  <c r="J20" i="4"/>
  <c r="D20" i="4"/>
  <c r="L20" i="4" s="1"/>
  <c r="C61" i="22"/>
  <c r="G60" i="22"/>
  <c r="C60" i="22"/>
  <c r="F60" i="22" l="1"/>
  <c r="J60" i="22"/>
  <c r="F61" i="22"/>
  <c r="G170" i="8"/>
  <c r="H170" i="8"/>
  <c r="H20" i="4"/>
  <c r="F20" i="4"/>
  <c r="E60" i="22"/>
  <c r="I60" i="22"/>
  <c r="E61" i="22"/>
  <c r="G61" i="22"/>
  <c r="J61" i="22" l="1"/>
  <c r="I61" i="22"/>
  <c r="D406" i="9" l="1"/>
  <c r="E47" i="4"/>
  <c r="D158" i="8"/>
  <c r="C158" i="8"/>
  <c r="C47" i="4"/>
  <c r="C13" i="4"/>
  <c r="J158" i="8" l="1"/>
  <c r="K158" i="8" s="1"/>
  <c r="M292" i="30"/>
  <c r="J13" i="4"/>
  <c r="D13" i="4"/>
  <c r="L13" i="4" s="1"/>
  <c r="D47" i="4"/>
  <c r="L47" i="4" s="1"/>
  <c r="E158" i="8"/>
  <c r="G36" i="29"/>
  <c r="G17" i="29"/>
  <c r="H13" i="4" l="1"/>
  <c r="H47" i="4"/>
  <c r="F47" i="4"/>
  <c r="H158" i="8"/>
  <c r="G158" i="8"/>
  <c r="F158" i="8"/>
  <c r="F35" i="29"/>
  <c r="D408" i="9" l="1"/>
  <c r="J102" i="4"/>
  <c r="D407" i="9"/>
  <c r="D405" i="9"/>
  <c r="J47" i="4"/>
  <c r="I11" i="5" l="1"/>
  <c r="I55" i="5"/>
  <c r="G6" i="29"/>
  <c r="F3" i="29"/>
  <c r="A14" i="20"/>
  <c r="G203" i="4"/>
  <c r="G201" i="4"/>
  <c r="G179" i="4"/>
  <c r="G186" i="4"/>
  <c r="G189" i="4"/>
  <c r="G10" i="4"/>
  <c r="C58" i="22"/>
  <c r="G59" i="22"/>
  <c r="C63" i="22"/>
  <c r="G63" i="22"/>
  <c r="C62" i="22"/>
  <c r="C59" i="22"/>
  <c r="G58" i="22"/>
  <c r="J58" i="22" l="1"/>
  <c r="F59" i="22"/>
  <c r="F62" i="22"/>
  <c r="J63" i="22"/>
  <c r="F63" i="22"/>
  <c r="J59" i="22"/>
  <c r="F58" i="22"/>
  <c r="I196" i="5"/>
  <c r="F16" i="29"/>
  <c r="E58" i="22"/>
  <c r="I58" i="22"/>
  <c r="E59" i="22"/>
  <c r="I59" i="22"/>
  <c r="I62" i="22"/>
  <c r="E62" i="22"/>
  <c r="I63" i="22"/>
  <c r="E63" i="22"/>
  <c r="D370" i="8" l="1"/>
  <c r="C390" i="8" s="1"/>
  <c r="D369" i="8"/>
  <c r="C119" i="5"/>
  <c r="C369" i="8"/>
  <c r="J369" i="8" l="1"/>
  <c r="K369" i="8" s="1"/>
  <c r="D119" i="5"/>
  <c r="O119" i="5" s="1"/>
  <c r="E369" i="8"/>
  <c r="F119" i="5" l="1"/>
  <c r="F369" i="8"/>
  <c r="G369" i="8"/>
  <c r="E151" i="4" l="1"/>
  <c r="C171" i="5"/>
  <c r="C151" i="4"/>
  <c r="AC23" i="12" l="1"/>
  <c r="AC27" i="12" s="1"/>
  <c r="AC36" i="12"/>
  <c r="J151" i="4"/>
  <c r="D151" i="4"/>
  <c r="L151" i="4" s="1"/>
  <c r="D171" i="5"/>
  <c r="O171" i="5" s="1"/>
  <c r="F171" i="5" l="1"/>
  <c r="H151" i="4"/>
  <c r="F151" i="4"/>
  <c r="E201" i="4" l="1"/>
  <c r="E89" i="5"/>
  <c r="C325" i="9"/>
  <c r="C89" i="5"/>
  <c r="C167" i="5"/>
  <c r="C162" i="4"/>
  <c r="C136" i="5"/>
  <c r="C132" i="4"/>
  <c r="C14" i="4"/>
  <c r="C222" i="5"/>
  <c r="C201" i="4"/>
  <c r="C185" i="5"/>
  <c r="C10" i="5"/>
  <c r="I325" i="9" l="1"/>
  <c r="J325" i="9" s="1"/>
  <c r="N321" i="30"/>
  <c r="N323" i="30"/>
  <c r="M319" i="30"/>
  <c r="J162" i="4"/>
  <c r="J201" i="4"/>
  <c r="D222" i="5"/>
  <c r="D185" i="5"/>
  <c r="D167" i="5"/>
  <c r="O167" i="5" s="1"/>
  <c r="D132" i="4"/>
  <c r="L132" i="4" s="1"/>
  <c r="D162" i="4"/>
  <c r="L162" i="4" s="1"/>
  <c r="D201" i="4"/>
  <c r="L201" i="4" s="1"/>
  <c r="E325" i="9"/>
  <c r="F325" i="9" s="1"/>
  <c r="H325" i="9"/>
  <c r="D10" i="5"/>
  <c r="O10" i="5" s="1"/>
  <c r="D136" i="5"/>
  <c r="O136" i="5" s="1"/>
  <c r="D89" i="5"/>
  <c r="O89" i="5" s="1"/>
  <c r="J14" i="4"/>
  <c r="D14" i="4"/>
  <c r="L14" i="4" s="1"/>
  <c r="O222" i="5" l="1"/>
  <c r="I222" i="5"/>
  <c r="I185" i="5"/>
  <c r="O185" i="5"/>
  <c r="H132" i="4"/>
  <c r="H162" i="4"/>
  <c r="F185" i="5"/>
  <c r="F89" i="5"/>
  <c r="F167" i="5"/>
  <c r="F10" i="5"/>
  <c r="F222" i="5"/>
  <c r="I136" i="5"/>
  <c r="F136" i="5"/>
  <c r="I10" i="5"/>
  <c r="H201" i="4"/>
  <c r="F201" i="4"/>
  <c r="H14" i="4"/>
  <c r="F14" i="4"/>
  <c r="E19" i="4" l="1"/>
  <c r="E119" i="4" l="1"/>
  <c r="C119" i="4"/>
  <c r="J119" i="4" l="1"/>
  <c r="T40" i="12"/>
  <c r="T23" i="12"/>
  <c r="T27" i="12" s="1"/>
  <c r="T19" i="12"/>
  <c r="D119" i="4"/>
  <c r="L119" i="4" s="1"/>
  <c r="F119" i="4" l="1"/>
  <c r="E103" i="4" l="1"/>
  <c r="C103" i="4"/>
  <c r="C31" i="9"/>
  <c r="I31" i="9" l="1"/>
  <c r="J31" i="9" s="1"/>
  <c r="J103" i="4"/>
  <c r="D103" i="4"/>
  <c r="L103" i="4" s="1"/>
  <c r="E31" i="9"/>
  <c r="H31" i="9"/>
  <c r="E203" i="4"/>
  <c r="E87" i="5"/>
  <c r="E174" i="5"/>
  <c r="C203" i="4"/>
  <c r="C174" i="5"/>
  <c r="C148" i="4"/>
  <c r="C87" i="5"/>
  <c r="N337" i="30" l="1"/>
  <c r="N333" i="30"/>
  <c r="J203" i="4"/>
  <c r="J148" i="4"/>
  <c r="F103" i="4"/>
  <c r="H103" i="4"/>
  <c r="V23" i="12"/>
  <c r="V27" i="12" s="1"/>
  <c r="M19" i="12"/>
  <c r="D203" i="4"/>
  <c r="L203" i="4" s="1"/>
  <c r="D148" i="4"/>
  <c r="L148" i="4" s="1"/>
  <c r="D87" i="5"/>
  <c r="O87" i="5" s="1"/>
  <c r="D174" i="5"/>
  <c r="O174" i="5" s="1"/>
  <c r="E77" i="5"/>
  <c r="C75" i="5"/>
  <c r="C76" i="5"/>
  <c r="C74" i="5"/>
  <c r="C73" i="5"/>
  <c r="N281" i="30" l="1"/>
  <c r="N282" i="30"/>
  <c r="N284" i="30"/>
  <c r="N283" i="30"/>
  <c r="F174" i="5"/>
  <c r="F87" i="5"/>
  <c r="H203" i="4"/>
  <c r="F203" i="4"/>
  <c r="H148" i="4"/>
  <c r="F148" i="4"/>
  <c r="D73" i="5"/>
  <c r="D75" i="5"/>
  <c r="O75" i="5" s="1"/>
  <c r="D74" i="5"/>
  <c r="O74" i="5" s="1"/>
  <c r="D76" i="5"/>
  <c r="O76" i="5" s="1"/>
  <c r="O73" i="5" l="1"/>
  <c r="F73" i="5"/>
  <c r="F74" i="5"/>
  <c r="F75" i="5"/>
  <c r="F76" i="5"/>
  <c r="J44" i="12"/>
  <c r="U23" i="12" l="1"/>
  <c r="H148" i="9"/>
  <c r="G124" i="4" l="1"/>
  <c r="G199" i="4"/>
  <c r="G200" i="4"/>
  <c r="G119" i="4" l="1"/>
  <c r="H119" i="4" s="1"/>
  <c r="G118" i="4"/>
  <c r="G111" i="4"/>
  <c r="G7" i="4"/>
  <c r="H8" i="22" l="1"/>
  <c r="C35" i="8"/>
  <c r="G57" i="22"/>
  <c r="C58" i="4"/>
  <c r="C59" i="4"/>
  <c r="C64" i="22"/>
  <c r="C57" i="22"/>
  <c r="G64" i="22"/>
  <c r="H44" i="22" l="1"/>
  <c r="H24" i="22"/>
  <c r="J64" i="22"/>
  <c r="F64" i="22"/>
  <c r="J57" i="22"/>
  <c r="J35" i="8"/>
  <c r="K35" i="8" s="1"/>
  <c r="E64" i="22"/>
  <c r="I57" i="22"/>
  <c r="I64" i="22"/>
  <c r="E35" i="8"/>
  <c r="J59" i="4"/>
  <c r="J58" i="4"/>
  <c r="D58" i="4"/>
  <c r="L58" i="4" s="1"/>
  <c r="D59" i="4"/>
  <c r="L59" i="4" s="1"/>
  <c r="E46" i="4"/>
  <c r="E90" i="5"/>
  <c r="E60" i="4"/>
  <c r="C179" i="5"/>
  <c r="C90" i="5"/>
  <c r="C60" i="4"/>
  <c r="C46" i="4"/>
  <c r="H59" i="4" l="1"/>
  <c r="J46" i="4"/>
  <c r="J60" i="4"/>
  <c r="F58" i="4"/>
  <c r="H58" i="4"/>
  <c r="D60" i="4"/>
  <c r="L60" i="4" s="1"/>
  <c r="D46" i="4"/>
  <c r="L46" i="4" s="1"/>
  <c r="D179" i="5"/>
  <c r="O179" i="5" s="1"/>
  <c r="D90" i="5"/>
  <c r="O90" i="5" s="1"/>
  <c r="I179" i="5" l="1"/>
  <c r="F90" i="5"/>
  <c r="F179" i="5"/>
  <c r="F60" i="4"/>
  <c r="H60" i="4"/>
  <c r="H46" i="4"/>
  <c r="F46" i="4"/>
  <c r="E111" i="4" l="1"/>
  <c r="C219" i="8"/>
  <c r="C111" i="4"/>
  <c r="C179" i="4"/>
  <c r="J219" i="8" l="1"/>
  <c r="K219" i="8" s="1"/>
  <c r="J179" i="4"/>
  <c r="J111" i="4"/>
  <c r="D111" i="4"/>
  <c r="L111" i="4" s="1"/>
  <c r="E219" i="8"/>
  <c r="I219" i="8" s="1"/>
  <c r="C22" i="9"/>
  <c r="C17" i="22"/>
  <c r="F17" i="22" l="1"/>
  <c r="I22" i="9"/>
  <c r="J22" i="9" s="1"/>
  <c r="H111" i="4"/>
  <c r="F111" i="4"/>
  <c r="H22" i="9"/>
  <c r="E22" i="9"/>
  <c r="K28" i="20"/>
  <c r="P23" i="12" l="1"/>
  <c r="P27" i="12" s="1"/>
  <c r="P19" i="12"/>
  <c r="P40" i="12"/>
  <c r="P14" i="12"/>
  <c r="E27" i="5"/>
  <c r="C27" i="5"/>
  <c r="C28" i="5"/>
  <c r="D27" i="5" l="1"/>
  <c r="O27" i="5" s="1"/>
  <c r="D28" i="5"/>
  <c r="O28" i="5" s="1"/>
  <c r="E28" i="5"/>
  <c r="C9" i="4"/>
  <c r="F27" i="5" l="1"/>
  <c r="D9" i="4"/>
  <c r="L9" i="4" s="1"/>
  <c r="F28" i="5"/>
  <c r="J9" i="4"/>
  <c r="H9" i="4" l="1"/>
  <c r="F9" i="4"/>
  <c r="E124" i="4"/>
  <c r="C124" i="4"/>
  <c r="C208" i="8"/>
  <c r="C285" i="9"/>
  <c r="C325" i="8"/>
  <c r="C180" i="5"/>
  <c r="N306" i="30" l="1"/>
  <c r="J325" i="8"/>
  <c r="K325" i="8" s="1"/>
  <c r="I285" i="9"/>
  <c r="J285" i="9" s="1"/>
  <c r="J208" i="8"/>
  <c r="K208" i="8" s="1"/>
  <c r="J124" i="4"/>
  <c r="E325" i="8"/>
  <c r="E285" i="9"/>
  <c r="H285" i="9"/>
  <c r="E208" i="8"/>
  <c r="H208" i="8" s="1"/>
  <c r="D180" i="5"/>
  <c r="O180" i="5" s="1"/>
  <c r="D124" i="4"/>
  <c r="L124" i="4" s="1"/>
  <c r="F292" i="5" l="1"/>
  <c r="E292" i="5"/>
  <c r="H292" i="5"/>
  <c r="I292" i="5" s="1"/>
  <c r="I180" i="5"/>
  <c r="F180" i="5"/>
  <c r="G325" i="8"/>
  <c r="F325" i="8"/>
  <c r="H124" i="4"/>
  <c r="F124" i="4"/>
  <c r="C43" i="4"/>
  <c r="C14" i="5"/>
  <c r="C15" i="5"/>
  <c r="C195" i="5"/>
  <c r="C21" i="9"/>
  <c r="I21" i="9" l="1"/>
  <c r="J21" i="9" s="1"/>
  <c r="D195" i="5"/>
  <c r="O195" i="5" s="1"/>
  <c r="E21" i="9"/>
  <c r="H21" i="9"/>
  <c r="D15" i="5"/>
  <c r="O15" i="5" s="1"/>
  <c r="D43" i="4"/>
  <c r="D14" i="5"/>
  <c r="O14" i="5" s="1"/>
  <c r="E196" i="4"/>
  <c r="E131" i="5"/>
  <c r="E118" i="5"/>
  <c r="E81" i="4"/>
  <c r="C196" i="4"/>
  <c r="C19" i="4"/>
  <c r="C127" i="4"/>
  <c r="C118" i="5"/>
  <c r="C165" i="5"/>
  <c r="C32" i="9"/>
  <c r="C81" i="4"/>
  <c r="C146" i="8"/>
  <c r="C131" i="5"/>
  <c r="C317" i="9"/>
  <c r="I317" i="9" l="1"/>
  <c r="J317" i="9" s="1"/>
  <c r="J146" i="8"/>
  <c r="K146" i="8" s="1"/>
  <c r="I32" i="9"/>
  <c r="J32" i="9" s="1"/>
  <c r="L43" i="4"/>
  <c r="F43" i="4"/>
  <c r="K195" i="5"/>
  <c r="L195" i="5" s="1"/>
  <c r="M195" i="5" s="1"/>
  <c r="H43" i="4"/>
  <c r="D19" i="4"/>
  <c r="L19" i="4" s="1"/>
  <c r="F14" i="5"/>
  <c r="F15" i="5"/>
  <c r="J127" i="4"/>
  <c r="J81" i="4"/>
  <c r="J196" i="4"/>
  <c r="F195" i="5"/>
  <c r="I15" i="5"/>
  <c r="D127" i="4"/>
  <c r="L127" i="4" s="1"/>
  <c r="AE36" i="12"/>
  <c r="AE40" i="12"/>
  <c r="AE14" i="12"/>
  <c r="AE23" i="12"/>
  <c r="AE44" i="12" s="1"/>
  <c r="E317" i="9"/>
  <c r="H317" i="9"/>
  <c r="E146" i="8"/>
  <c r="G146" i="8" s="1"/>
  <c r="E32" i="9"/>
  <c r="H32" i="9"/>
  <c r="D196" i="4"/>
  <c r="L196" i="4" s="1"/>
  <c r="D165" i="5"/>
  <c r="D131" i="5"/>
  <c r="O131" i="5" s="1"/>
  <c r="J19" i="4"/>
  <c r="D118" i="5"/>
  <c r="O118" i="5" s="1"/>
  <c r="D81" i="4"/>
  <c r="L81" i="4" s="1"/>
  <c r="O165" i="5" l="1"/>
  <c r="I165" i="5"/>
  <c r="F127" i="4"/>
  <c r="F19" i="4"/>
  <c r="F165" i="5"/>
  <c r="F118" i="5"/>
  <c r="AE27" i="12"/>
  <c r="AE38" i="12" s="1"/>
  <c r="F317" i="9"/>
  <c r="H196" i="4"/>
  <c r="F196" i="4"/>
  <c r="F131" i="5"/>
  <c r="H127" i="4"/>
  <c r="H19" i="4"/>
  <c r="H81" i="4"/>
  <c r="F81" i="4"/>
  <c r="E20" i="2"/>
  <c r="N22" i="12" l="1"/>
  <c r="F54" i="20"/>
  <c r="G54" i="20"/>
  <c r="D220" i="9"/>
  <c r="E86" i="5" l="1"/>
  <c r="E51" i="2"/>
  <c r="E50" i="2"/>
  <c r="C86" i="5"/>
  <c r="C352" i="8"/>
  <c r="C341" i="9"/>
  <c r="C49" i="9"/>
  <c r="C220" i="9"/>
  <c r="I220" i="9" l="1"/>
  <c r="J220" i="9" s="1"/>
  <c r="I49" i="9"/>
  <c r="J49" i="9" s="1"/>
  <c r="I341" i="9"/>
  <c r="J341" i="9" s="1"/>
  <c r="J352" i="8"/>
  <c r="K352" i="8" s="1"/>
  <c r="E341" i="9"/>
  <c r="H341" i="9"/>
  <c r="E49" i="9"/>
  <c r="E352" i="8"/>
  <c r="E220" i="9"/>
  <c r="F220" i="9" s="1"/>
  <c r="D86" i="5"/>
  <c r="O86" i="5" s="1"/>
  <c r="F86" i="5" l="1"/>
  <c r="F49" i="9"/>
  <c r="AA32" i="12"/>
  <c r="D19" i="19"/>
  <c r="C19" i="19"/>
  <c r="C34" i="19"/>
  <c r="D34" i="19"/>
  <c r="I32" i="12" l="1"/>
  <c r="AH32" i="12"/>
  <c r="F19" i="19"/>
  <c r="G33" i="12"/>
  <c r="F34" i="19"/>
  <c r="L19" i="12"/>
  <c r="L40" i="12"/>
  <c r="D40" i="12"/>
  <c r="D19" i="12"/>
  <c r="C33" i="12" l="1"/>
  <c r="AH33" i="12"/>
  <c r="D26" i="19"/>
  <c r="AA24" i="12" s="1"/>
  <c r="D18" i="19"/>
  <c r="I18" i="12" s="1"/>
  <c r="D13" i="19"/>
  <c r="AA13" i="12" l="1"/>
  <c r="C149" i="4"/>
  <c r="C353" i="9"/>
  <c r="C169" i="9"/>
  <c r="C48" i="8"/>
  <c r="C83" i="4"/>
  <c r="J48" i="8" l="1"/>
  <c r="K48" i="8" s="1"/>
  <c r="I169" i="9"/>
  <c r="J169" i="9" s="1"/>
  <c r="I353" i="9"/>
  <c r="J353" i="9" s="1"/>
  <c r="D83" i="4"/>
  <c r="L83" i="4" s="1"/>
  <c r="J83" i="4"/>
  <c r="D149" i="4"/>
  <c r="L149" i="4" s="1"/>
  <c r="H169" i="9"/>
  <c r="E169" i="9"/>
  <c r="E48" i="8"/>
  <c r="F48" i="8" s="1"/>
  <c r="E353" i="9"/>
  <c r="F353" i="9" s="1"/>
  <c r="H353" i="9"/>
  <c r="C171" i="8"/>
  <c r="C344" i="8"/>
  <c r="C170" i="9"/>
  <c r="C248" i="9"/>
  <c r="C94" i="4"/>
  <c r="C308" i="8"/>
  <c r="C299" i="9"/>
  <c r="I299" i="9" l="1"/>
  <c r="J299" i="9" s="1"/>
  <c r="J308" i="8"/>
  <c r="K308" i="8" s="1"/>
  <c r="I248" i="9"/>
  <c r="J248" i="9" s="1"/>
  <c r="I170" i="9"/>
  <c r="J170" i="9" s="1"/>
  <c r="J344" i="8"/>
  <c r="K344" i="8" s="1"/>
  <c r="J171" i="8"/>
  <c r="K171" i="8" s="1"/>
  <c r="F83" i="4"/>
  <c r="H83" i="4"/>
  <c r="H149" i="4"/>
  <c r="F149" i="4"/>
  <c r="J94" i="4"/>
  <c r="E344" i="8"/>
  <c r="H248" i="9"/>
  <c r="E248" i="9"/>
  <c r="E171" i="8"/>
  <c r="E170" i="9"/>
  <c r="H170" i="9"/>
  <c r="E299" i="9"/>
  <c r="H299" i="9"/>
  <c r="E308" i="8"/>
  <c r="G308" i="8" s="1"/>
  <c r="D94" i="4"/>
  <c r="L94" i="4" s="1"/>
  <c r="D271" i="9"/>
  <c r="E154" i="5"/>
  <c r="C154" i="5"/>
  <c r="C178" i="5"/>
  <c r="C271" i="9"/>
  <c r="I271" i="9" l="1"/>
  <c r="J271" i="9" s="1"/>
  <c r="N329" i="30"/>
  <c r="H94" i="4"/>
  <c r="F94" i="4"/>
  <c r="H271" i="9"/>
  <c r="E271" i="9"/>
  <c r="D178" i="5"/>
  <c r="O178" i="5" s="1"/>
  <c r="D154" i="5"/>
  <c r="O154" i="5" s="1"/>
  <c r="F178" i="5" l="1"/>
  <c r="F154" i="5"/>
  <c r="F271" i="9"/>
  <c r="E88" i="5"/>
  <c r="E85" i="5"/>
  <c r="C88" i="5"/>
  <c r="C36" i="8"/>
  <c r="C33" i="9"/>
  <c r="C28" i="8"/>
  <c r="C141" i="5"/>
  <c r="C29" i="8"/>
  <c r="C30" i="8"/>
  <c r="C85" i="5"/>
  <c r="C216" i="9"/>
  <c r="I216" i="9" l="1"/>
  <c r="J216" i="9" s="1"/>
  <c r="J30" i="8"/>
  <c r="K30" i="8" s="1"/>
  <c r="J29" i="8"/>
  <c r="K29" i="8" s="1"/>
  <c r="J28" i="8"/>
  <c r="K28" i="8" s="1"/>
  <c r="I33" i="9"/>
  <c r="J33" i="9" s="1"/>
  <c r="J36" i="8"/>
  <c r="K36" i="8" s="1"/>
  <c r="H33" i="9"/>
  <c r="H216" i="9"/>
  <c r="E216" i="9"/>
  <c r="E33" i="9"/>
  <c r="F33" i="9" s="1"/>
  <c r="E36" i="8"/>
  <c r="F36" i="8" s="1"/>
  <c r="E30" i="8"/>
  <c r="E29" i="8"/>
  <c r="E28" i="8"/>
  <c r="D141" i="5"/>
  <c r="O141" i="5" s="1"/>
  <c r="D88" i="5"/>
  <c r="O88" i="5" s="1"/>
  <c r="D85" i="5"/>
  <c r="O85" i="5" s="1"/>
  <c r="D284" i="8"/>
  <c r="E197" i="4"/>
  <c r="C197" i="4"/>
  <c r="C284" i="8"/>
  <c r="C220" i="8"/>
  <c r="J220" i="8" l="1"/>
  <c r="K220" i="8" s="1"/>
  <c r="J284" i="8"/>
  <c r="K284" i="8" s="1"/>
  <c r="F141" i="5"/>
  <c r="F88" i="5"/>
  <c r="F85" i="5"/>
  <c r="J197" i="4"/>
  <c r="E220" i="8"/>
  <c r="I220" i="8" s="1"/>
  <c r="E284" i="8"/>
  <c r="F284" i="8" s="1"/>
  <c r="D197" i="4"/>
  <c r="L197" i="4" s="1"/>
  <c r="H197" i="4" l="1"/>
  <c r="F197" i="4"/>
  <c r="C135" i="5"/>
  <c r="D135" i="5" l="1"/>
  <c r="O135" i="5" s="1"/>
  <c r="I135" i="5" l="1"/>
  <c r="F135" i="5"/>
  <c r="K6" i="20"/>
  <c r="G54" i="22"/>
  <c r="C54" i="22"/>
  <c r="F54" i="22" l="1"/>
  <c r="J54" i="22"/>
  <c r="F382" i="8"/>
  <c r="Q6" i="20"/>
  <c r="I54" i="22"/>
  <c r="E54" i="22" l="1"/>
  <c r="E84" i="5" l="1"/>
  <c r="E83" i="5"/>
  <c r="E156" i="4"/>
  <c r="E229" i="5"/>
  <c r="E241" i="5"/>
  <c r="D106" i="8"/>
  <c r="D155" i="8"/>
  <c r="C83" i="5"/>
  <c r="C156" i="4"/>
  <c r="C241" i="5"/>
  <c r="C155" i="8"/>
  <c r="C229" i="5"/>
  <c r="C215" i="9"/>
  <c r="C84" i="5"/>
  <c r="C106" i="8"/>
  <c r="J106" i="8" l="1"/>
  <c r="K106" i="8" s="1"/>
  <c r="I215" i="9"/>
  <c r="J215" i="9" s="1"/>
  <c r="J155" i="8"/>
  <c r="K155" i="8" s="1"/>
  <c r="J156" i="4"/>
  <c r="H215" i="9"/>
  <c r="D84" i="5"/>
  <c r="O84" i="5" s="1"/>
  <c r="D83" i="5"/>
  <c r="O83" i="5" s="1"/>
  <c r="D156" i="4"/>
  <c r="L156" i="4" s="1"/>
  <c r="D229" i="5"/>
  <c r="O229" i="5" s="1"/>
  <c r="D241" i="5"/>
  <c r="O241" i="5" s="1"/>
  <c r="E106" i="8"/>
  <c r="E155" i="8"/>
  <c r="G155" i="8" s="1"/>
  <c r="E215" i="9"/>
  <c r="C25" i="8"/>
  <c r="C27" i="8"/>
  <c r="C26" i="8"/>
  <c r="C28" i="4"/>
  <c r="J26" i="8" l="1"/>
  <c r="K26" i="8" s="1"/>
  <c r="J27" i="8"/>
  <c r="K27" i="8" s="1"/>
  <c r="J25" i="8"/>
  <c r="K25" i="8" s="1"/>
  <c r="F83" i="5"/>
  <c r="F241" i="5"/>
  <c r="F84" i="5"/>
  <c r="F229" i="5"/>
  <c r="J28" i="4"/>
  <c r="F106" i="8"/>
  <c r="F155" i="8"/>
  <c r="H156" i="4"/>
  <c r="F156" i="4"/>
  <c r="E25" i="8"/>
  <c r="E26" i="8"/>
  <c r="E27" i="8"/>
  <c r="D28" i="4"/>
  <c r="L28" i="4" s="1"/>
  <c r="F28" i="4" l="1"/>
  <c r="H28" i="4"/>
  <c r="E380" i="8" l="1"/>
  <c r="C25" i="22"/>
  <c r="C319" i="8"/>
  <c r="C161" i="4"/>
  <c r="C312" i="9"/>
  <c r="G25" i="22"/>
  <c r="C120" i="4"/>
  <c r="C177" i="8"/>
  <c r="C35" i="22"/>
  <c r="G35" i="22"/>
  <c r="J35" i="22" l="1"/>
  <c r="F35" i="22"/>
  <c r="J177" i="8"/>
  <c r="K177" i="8" s="1"/>
  <c r="J25" i="22"/>
  <c r="I312" i="9"/>
  <c r="J312" i="9" s="1"/>
  <c r="J319" i="8"/>
  <c r="K319" i="8" s="1"/>
  <c r="F25" i="22"/>
  <c r="M310" i="30"/>
  <c r="J161" i="4"/>
  <c r="J120" i="4"/>
  <c r="D161" i="4"/>
  <c r="L161" i="4" s="1"/>
  <c r="I35" i="22"/>
  <c r="D120" i="4"/>
  <c r="L120" i="4" s="1"/>
  <c r="E312" i="9"/>
  <c r="H312" i="9"/>
  <c r="E177" i="8"/>
  <c r="F177" i="8" s="1"/>
  <c r="E319" i="8"/>
  <c r="G319" i="8" s="1"/>
  <c r="E35" i="22"/>
  <c r="E25" i="22"/>
  <c r="I25" i="22"/>
  <c r="E19" i="12"/>
  <c r="H120" i="4" l="1"/>
  <c r="H161" i="4"/>
  <c r="F120" i="4"/>
  <c r="H177" i="8"/>
  <c r="F161" i="4"/>
  <c r="D68" i="22"/>
  <c r="D67" i="22"/>
  <c r="A3" i="22"/>
  <c r="G50" i="22"/>
  <c r="C50" i="22"/>
  <c r="F50" i="22" l="1"/>
  <c r="J50" i="22"/>
  <c r="A3" i="31"/>
  <c r="A3" i="32"/>
  <c r="D74" i="22"/>
  <c r="H74" i="22"/>
  <c r="H75" i="22"/>
  <c r="D75" i="22"/>
  <c r="E50" i="22"/>
  <c r="I50" i="22"/>
  <c r="C150" i="4"/>
  <c r="C134" i="5"/>
  <c r="D9" i="32" l="1"/>
  <c r="D8" i="32"/>
  <c r="J150" i="4"/>
  <c r="D134" i="5"/>
  <c r="O134" i="5" s="1"/>
  <c r="D150" i="4"/>
  <c r="L150" i="4" s="1"/>
  <c r="H150" i="4" l="1"/>
  <c r="I134" i="5"/>
  <c r="F134" i="5"/>
  <c r="F150" i="4"/>
  <c r="E191" i="4" l="1"/>
  <c r="E178" i="4"/>
  <c r="E168" i="4"/>
  <c r="E167" i="4"/>
  <c r="E61" i="4"/>
  <c r="E114" i="5"/>
  <c r="E91" i="5"/>
  <c r="E80" i="5"/>
  <c r="E79" i="5"/>
  <c r="E78" i="5"/>
  <c r="C191" i="4"/>
  <c r="C223" i="5"/>
  <c r="C79" i="5"/>
  <c r="C343" i="8"/>
  <c r="C178" i="4"/>
  <c r="C125" i="9"/>
  <c r="C61" i="4"/>
  <c r="C335" i="9"/>
  <c r="C21" i="8"/>
  <c r="C167" i="4"/>
  <c r="C91" i="5"/>
  <c r="C204" i="9"/>
  <c r="C114" i="5"/>
  <c r="C168" i="4"/>
  <c r="C78" i="5"/>
  <c r="C80" i="5"/>
  <c r="I204" i="9" l="1"/>
  <c r="J204" i="9" s="1"/>
  <c r="J21" i="8"/>
  <c r="K21" i="8" s="1"/>
  <c r="I335" i="9"/>
  <c r="J335" i="9" s="1"/>
  <c r="I125" i="9"/>
  <c r="J125" i="9" s="1"/>
  <c r="J343" i="8"/>
  <c r="K343" i="8" s="1"/>
  <c r="J168" i="4"/>
  <c r="J167" i="4"/>
  <c r="J178" i="4"/>
  <c r="J61" i="4"/>
  <c r="J191" i="4"/>
  <c r="D61" i="4"/>
  <c r="L61" i="4" s="1"/>
  <c r="H125" i="9"/>
  <c r="H335" i="9"/>
  <c r="H204" i="9"/>
  <c r="E125" i="9"/>
  <c r="E335" i="9"/>
  <c r="E343" i="8"/>
  <c r="E204" i="9"/>
  <c r="E21" i="8"/>
  <c r="D191" i="4"/>
  <c r="L191" i="4" s="1"/>
  <c r="D178" i="4"/>
  <c r="L178" i="4" s="1"/>
  <c r="D167" i="4"/>
  <c r="L167" i="4" s="1"/>
  <c r="D168" i="4"/>
  <c r="L168" i="4" s="1"/>
  <c r="D223" i="5"/>
  <c r="O223" i="5" s="1"/>
  <c r="D114" i="5"/>
  <c r="O114" i="5" s="1"/>
  <c r="D79" i="5"/>
  <c r="O79" i="5" s="1"/>
  <c r="D78" i="5"/>
  <c r="O78" i="5" s="1"/>
  <c r="D91" i="5"/>
  <c r="O91" i="5" s="1"/>
  <c r="D80" i="5"/>
  <c r="O80" i="5" s="1"/>
  <c r="F80" i="5" l="1"/>
  <c r="F91" i="5"/>
  <c r="F114" i="5"/>
  <c r="F78" i="5"/>
  <c r="F79" i="5"/>
  <c r="F223" i="5"/>
  <c r="F61" i="4"/>
  <c r="H61" i="4"/>
  <c r="F204" i="9"/>
  <c r="F125" i="9"/>
  <c r="F191" i="4"/>
  <c r="H191" i="4"/>
  <c r="H178" i="4"/>
  <c r="F178" i="4"/>
  <c r="F168" i="4"/>
  <c r="H168" i="4"/>
  <c r="H167" i="4"/>
  <c r="F167" i="4"/>
  <c r="C13" i="19" l="1"/>
  <c r="F13" i="19" s="1"/>
  <c r="C35" i="19"/>
  <c r="F35" i="19" s="1"/>
  <c r="C51" i="22"/>
  <c r="G51" i="22"/>
  <c r="C89" i="9"/>
  <c r="C45" i="22"/>
  <c r="G45" i="22"/>
  <c r="J45" i="22" l="1"/>
  <c r="F45" i="22"/>
  <c r="I89" i="9"/>
  <c r="J89" i="9" s="1"/>
  <c r="J51" i="22"/>
  <c r="F51" i="22"/>
  <c r="I45" i="22"/>
  <c r="H89" i="9"/>
  <c r="E89" i="9"/>
  <c r="F89" i="9" s="1"/>
  <c r="I51" i="22"/>
  <c r="E45" i="22"/>
  <c r="E51" i="22"/>
  <c r="D197" i="9"/>
  <c r="D83" i="9"/>
  <c r="D196" i="9"/>
  <c r="D218" i="8"/>
  <c r="D99" i="8"/>
  <c r="D93" i="8"/>
  <c r="D22" i="8"/>
  <c r="D23" i="8"/>
  <c r="D24" i="8"/>
  <c r="C218" i="8"/>
  <c r="C29" i="9"/>
  <c r="C83" i="9"/>
  <c r="C30" i="9"/>
  <c r="C197" i="9"/>
  <c r="C141" i="8"/>
  <c r="C281" i="8"/>
  <c r="C93" i="8"/>
  <c r="C23" i="8"/>
  <c r="C196" i="9"/>
  <c r="C269" i="8"/>
  <c r="C206" i="9"/>
  <c r="C24" i="8"/>
  <c r="C99" i="8"/>
  <c r="C270" i="8"/>
  <c r="C82" i="9"/>
  <c r="C28" i="9"/>
  <c r="C22" i="8"/>
  <c r="J22" i="8" l="1"/>
  <c r="I28" i="9"/>
  <c r="J28" i="9" s="1"/>
  <c r="I82" i="9"/>
  <c r="J82" i="9" s="1"/>
  <c r="J270" i="8"/>
  <c r="K270" i="8" s="1"/>
  <c r="J99" i="8"/>
  <c r="K99" i="8" s="1"/>
  <c r="J24" i="8"/>
  <c r="K24" i="8" s="1"/>
  <c r="I206" i="9"/>
  <c r="J206" i="9" s="1"/>
  <c r="J269" i="8"/>
  <c r="K269" i="8" s="1"/>
  <c r="I196" i="9"/>
  <c r="J196" i="9" s="1"/>
  <c r="J23" i="8"/>
  <c r="J93" i="8"/>
  <c r="K93" i="8" s="1"/>
  <c r="J281" i="8"/>
  <c r="K281" i="8" s="1"/>
  <c r="J141" i="8"/>
  <c r="K141" i="8" s="1"/>
  <c r="I197" i="9"/>
  <c r="J197" i="9" s="1"/>
  <c r="I30" i="9"/>
  <c r="J30" i="9" s="1"/>
  <c r="I83" i="9"/>
  <c r="J83" i="9" s="1"/>
  <c r="I29" i="9"/>
  <c r="J29" i="9" s="1"/>
  <c r="J218" i="8"/>
  <c r="K218" i="8" s="1"/>
  <c r="K22" i="8"/>
  <c r="K23" i="8"/>
  <c r="H28" i="9"/>
  <c r="H206" i="9"/>
  <c r="H197" i="9"/>
  <c r="H30" i="9"/>
  <c r="H196" i="9"/>
  <c r="H82" i="9"/>
  <c r="H29" i="9"/>
  <c r="H83" i="9"/>
  <c r="E197" i="9"/>
  <c r="E83" i="9"/>
  <c r="E82" i="9"/>
  <c r="E206" i="9"/>
  <c r="E196" i="9"/>
  <c r="E30" i="9"/>
  <c r="E29" i="9"/>
  <c r="E28" i="9"/>
  <c r="E141" i="8"/>
  <c r="E281" i="8"/>
  <c r="E270" i="8"/>
  <c r="E269" i="8"/>
  <c r="E218" i="8"/>
  <c r="E99" i="8"/>
  <c r="E93" i="8"/>
  <c r="E24" i="8"/>
  <c r="E23" i="8"/>
  <c r="E22" i="8"/>
  <c r="F82" i="9" l="1"/>
  <c r="F83" i="9"/>
  <c r="F197" i="9"/>
  <c r="F206" i="9"/>
  <c r="F281" i="8"/>
  <c r="G141" i="8"/>
  <c r="F141" i="8"/>
  <c r="E61" i="5"/>
  <c r="E41" i="4"/>
  <c r="G18" i="22"/>
  <c r="C61" i="5"/>
  <c r="C193" i="5"/>
  <c r="C41" i="4"/>
  <c r="C211" i="5"/>
  <c r="C18" i="22"/>
  <c r="C176" i="4"/>
  <c r="C13" i="22"/>
  <c r="C49" i="22"/>
  <c r="G49" i="22"/>
  <c r="G13" i="22"/>
  <c r="J13" i="22" l="1"/>
  <c r="J49" i="22"/>
  <c r="F49" i="22"/>
  <c r="F13" i="22"/>
  <c r="F18" i="22"/>
  <c r="J18" i="22"/>
  <c r="M312" i="30"/>
  <c r="J176" i="4"/>
  <c r="J41" i="4"/>
  <c r="D61" i="5"/>
  <c r="O61" i="5" s="1"/>
  <c r="D211" i="5"/>
  <c r="O211" i="5" s="1"/>
  <c r="D193" i="5"/>
  <c r="O193" i="5" s="1"/>
  <c r="I193" i="5"/>
  <c r="D41" i="4"/>
  <c r="L41" i="4" s="1"/>
  <c r="D176" i="4"/>
  <c r="L176" i="4" s="1"/>
  <c r="I49" i="22"/>
  <c r="E49" i="22"/>
  <c r="I18" i="22"/>
  <c r="E18" i="22"/>
  <c r="E13" i="22"/>
  <c r="I13" i="22"/>
  <c r="H176" i="4" l="1"/>
  <c r="F193" i="5"/>
  <c r="F211" i="5"/>
  <c r="F61" i="5"/>
  <c r="K61" i="5"/>
  <c r="L61" i="5" s="1"/>
  <c r="M61" i="5" s="1"/>
  <c r="I61" i="5"/>
  <c r="K211" i="5"/>
  <c r="L211" i="5" s="1"/>
  <c r="M211" i="5" s="1"/>
  <c r="K193" i="5"/>
  <c r="L193" i="5" s="1"/>
  <c r="M193" i="5" s="1"/>
  <c r="F41" i="4"/>
  <c r="H41" i="4"/>
  <c r="F176" i="4"/>
  <c r="E82" i="5" l="1"/>
  <c r="E81" i="5"/>
  <c r="E62" i="4"/>
  <c r="E59" i="4"/>
  <c r="F59" i="4" s="1"/>
  <c r="C82" i="5"/>
  <c r="C62" i="4"/>
  <c r="C81" i="5"/>
  <c r="C129" i="5"/>
  <c r="C177" i="5"/>
  <c r="C79" i="4"/>
  <c r="C158" i="5"/>
  <c r="N305" i="30" l="1"/>
  <c r="N303" i="30"/>
  <c r="N299" i="30"/>
  <c r="J79" i="4"/>
  <c r="J62" i="4"/>
  <c r="D62" i="4"/>
  <c r="L62" i="4" s="1"/>
  <c r="D129" i="5"/>
  <c r="D82" i="5"/>
  <c r="O82" i="5" s="1"/>
  <c r="D81" i="5"/>
  <c r="O81" i="5" s="1"/>
  <c r="D158" i="5"/>
  <c r="D177" i="5"/>
  <c r="O177" i="5" s="1"/>
  <c r="D79" i="4"/>
  <c r="L79" i="4" s="1"/>
  <c r="O158" i="5" l="1"/>
  <c r="I158" i="5"/>
  <c r="I129" i="5"/>
  <c r="O129" i="5"/>
  <c r="F129" i="5"/>
  <c r="F177" i="5"/>
  <c r="F158" i="5"/>
  <c r="F62" i="4"/>
  <c r="F81" i="5"/>
  <c r="F82" i="5"/>
  <c r="H62" i="4"/>
  <c r="H79" i="4"/>
  <c r="F79" i="4"/>
  <c r="C26" i="19" l="1"/>
  <c r="G24" i="12" l="1"/>
  <c r="AH24" i="12" s="1"/>
  <c r="F26" i="19"/>
  <c r="C18" i="19"/>
  <c r="F18" i="19" s="1"/>
  <c r="K8" i="20"/>
  <c r="K10" i="20"/>
  <c r="K11" i="20"/>
  <c r="K14" i="20"/>
  <c r="K15" i="20"/>
  <c r="K18" i="20"/>
  <c r="K19" i="20"/>
  <c r="K20" i="20"/>
  <c r="K21" i="20"/>
  <c r="K22" i="20"/>
  <c r="K23" i="20"/>
  <c r="K24" i="20"/>
  <c r="K25" i="20"/>
  <c r="K26" i="20"/>
  <c r="K27" i="20"/>
  <c r="K30" i="20"/>
  <c r="O30" i="20" s="1"/>
  <c r="K31" i="20"/>
  <c r="K32" i="20"/>
  <c r="K33" i="20"/>
  <c r="K5" i="20"/>
  <c r="E16" i="2"/>
  <c r="O9" i="20" l="1"/>
  <c r="D13" i="2"/>
  <c r="D21" i="2"/>
  <c r="D201" i="8" l="1"/>
  <c r="D101" i="8"/>
  <c r="D100" i="8"/>
  <c r="D143" i="8"/>
  <c r="D203" i="8"/>
  <c r="D202" i="8"/>
  <c r="C143" i="8"/>
  <c r="C203" i="8"/>
  <c r="C100" i="8"/>
  <c r="C101" i="8"/>
  <c r="C202" i="8"/>
  <c r="C33" i="8"/>
  <c r="C90" i="4"/>
  <c r="C32" i="8"/>
  <c r="C31" i="8"/>
  <c r="C34" i="8"/>
  <c r="C297" i="8"/>
  <c r="C201" i="8"/>
  <c r="J201" i="8" l="1"/>
  <c r="K201" i="8" s="1"/>
  <c r="J297" i="8"/>
  <c r="K297" i="8" s="1"/>
  <c r="J34" i="8"/>
  <c r="K34" i="8" s="1"/>
  <c r="J31" i="8"/>
  <c r="J32" i="8"/>
  <c r="K32" i="8" s="1"/>
  <c r="J33" i="8"/>
  <c r="K33" i="8" s="1"/>
  <c r="J202" i="8"/>
  <c r="K202" i="8" s="1"/>
  <c r="J101" i="8"/>
  <c r="K101" i="8" s="1"/>
  <c r="J100" i="8"/>
  <c r="K100" i="8" s="1"/>
  <c r="J203" i="8"/>
  <c r="K203" i="8" s="1"/>
  <c r="J143" i="8"/>
  <c r="K143" i="8" s="1"/>
  <c r="K31" i="8"/>
  <c r="N422" i="30"/>
  <c r="J90" i="4"/>
  <c r="D90" i="4"/>
  <c r="L90" i="4" s="1"/>
  <c r="E34" i="8"/>
  <c r="E32" i="8"/>
  <c r="E33" i="8"/>
  <c r="E31" i="8"/>
  <c r="E201" i="8"/>
  <c r="E297" i="8"/>
  <c r="E101" i="8"/>
  <c r="E100" i="8"/>
  <c r="E143" i="8"/>
  <c r="E203" i="8"/>
  <c r="E202" i="8"/>
  <c r="H90" i="4" l="1"/>
  <c r="F90" i="4"/>
  <c r="F100" i="8"/>
  <c r="F202" i="8"/>
  <c r="F101" i="8"/>
  <c r="F203" i="8"/>
  <c r="H201" i="8"/>
  <c r="F143" i="8"/>
  <c r="G143" i="8" s="1"/>
  <c r="A87" i="20" l="1"/>
  <c r="A86" i="20"/>
  <c r="A85" i="20"/>
  <c r="A84" i="20"/>
  <c r="AA17" i="12"/>
  <c r="G17" i="12"/>
  <c r="C17" i="12" s="1"/>
  <c r="J36" i="12"/>
  <c r="J27" i="12"/>
  <c r="A81" i="20"/>
  <c r="A80" i="20"/>
  <c r="A79" i="20"/>
  <c r="A78" i="20"/>
  <c r="E141" i="4"/>
  <c r="E66" i="4"/>
  <c r="D338" i="8"/>
  <c r="E183" i="4"/>
  <c r="D153" i="8"/>
  <c r="E42" i="5"/>
  <c r="A120" i="20"/>
  <c r="A55" i="20"/>
  <c r="K210" i="4"/>
  <c r="B289" i="5" s="1"/>
  <c r="K211" i="4"/>
  <c r="B280" i="5" s="1"/>
  <c r="B281" i="5" s="1"/>
  <c r="J385" i="8"/>
  <c r="O32" i="20"/>
  <c r="O33" i="20"/>
  <c r="E409" i="9"/>
  <c r="E182" i="4"/>
  <c r="E38" i="4"/>
  <c r="E33" i="4"/>
  <c r="E123" i="5"/>
  <c r="E122" i="5"/>
  <c r="E27" i="4"/>
  <c r="E40" i="5"/>
  <c r="E38" i="5"/>
  <c r="E36" i="5"/>
  <c r="E172" i="5"/>
  <c r="E175" i="5"/>
  <c r="E215" i="5"/>
  <c r="E219" i="5"/>
  <c r="C33" i="19"/>
  <c r="D33" i="19"/>
  <c r="E35" i="5"/>
  <c r="E37" i="5"/>
  <c r="E39" i="5"/>
  <c r="E41" i="5"/>
  <c r="E140" i="4"/>
  <c r="J40" i="12"/>
  <c r="H40" i="12"/>
  <c r="E40" i="12"/>
  <c r="O31" i="20"/>
  <c r="E227" i="5"/>
  <c r="E233" i="5"/>
  <c r="E8" i="32" s="1"/>
  <c r="D313" i="8"/>
  <c r="D215" i="8"/>
  <c r="D90" i="9"/>
  <c r="E146" i="5"/>
  <c r="E260" i="5"/>
  <c r="F260" i="5" s="1"/>
  <c r="E261" i="5"/>
  <c r="F261" i="5" s="1"/>
  <c r="E262" i="5"/>
  <c r="E225" i="5"/>
  <c r="E180" i="4"/>
  <c r="E96" i="4"/>
  <c r="D92" i="8"/>
  <c r="D90" i="8"/>
  <c r="D233" i="9"/>
  <c r="D71" i="9"/>
  <c r="D72" i="9"/>
  <c r="D73" i="9"/>
  <c r="D74" i="9"/>
  <c r="D44" i="9"/>
  <c r="E111" i="5"/>
  <c r="F111" i="5" s="1"/>
  <c r="E70" i="4"/>
  <c r="A3" i="4"/>
  <c r="A3" i="12" s="1"/>
  <c r="A3" i="5"/>
  <c r="A3" i="2" s="1"/>
  <c r="A3" i="9"/>
  <c r="A3" i="8"/>
  <c r="D251" i="8"/>
  <c r="D91" i="8"/>
  <c r="D76" i="9"/>
  <c r="E209" i="5"/>
  <c r="E207" i="5"/>
  <c r="E191" i="5"/>
  <c r="E157" i="5"/>
  <c r="E143" i="5"/>
  <c r="E115" i="5"/>
  <c r="E113" i="5"/>
  <c r="E110" i="5"/>
  <c r="E95" i="5"/>
  <c r="E93" i="5"/>
  <c r="E177" i="4"/>
  <c r="E109" i="4"/>
  <c r="D96" i="8"/>
  <c r="D211" i="8"/>
  <c r="D212" i="8"/>
  <c r="D250" i="8"/>
  <c r="D271" i="8"/>
  <c r="D272" i="8"/>
  <c r="D273" i="8"/>
  <c r="D268" i="8"/>
  <c r="D267" i="8"/>
  <c r="D266" i="8"/>
  <c r="D289" i="8"/>
  <c r="D314" i="8"/>
  <c r="D315" i="8"/>
  <c r="D367" i="8"/>
  <c r="D368" i="8"/>
  <c r="D109" i="8"/>
  <c r="D87" i="8"/>
  <c r="D49" i="8"/>
  <c r="D50" i="8"/>
  <c r="D51" i="8"/>
  <c r="D52" i="8"/>
  <c r="D53" i="8"/>
  <c r="E202" i="5"/>
  <c r="E203" i="5"/>
  <c r="E204" i="5"/>
  <c r="E205" i="5"/>
  <c r="E206" i="5"/>
  <c r="E201" i="5"/>
  <c r="E181" i="5"/>
  <c r="E182" i="5"/>
  <c r="E183" i="5"/>
  <c r="E184" i="5"/>
  <c r="E186" i="5"/>
  <c r="E140" i="5"/>
  <c r="E112" i="5"/>
  <c r="E107" i="5"/>
  <c r="E94" i="5"/>
  <c r="E96" i="5"/>
  <c r="E97" i="5"/>
  <c r="AB40" i="12"/>
  <c r="J19" i="12"/>
  <c r="J14" i="12"/>
  <c r="E250" i="5"/>
  <c r="E106" i="5"/>
  <c r="E102" i="5"/>
  <c r="E184" i="4"/>
  <c r="E112" i="4"/>
  <c r="A133" i="20"/>
  <c r="A131" i="20"/>
  <c r="A130" i="20"/>
  <c r="A129" i="20"/>
  <c r="A122" i="20"/>
  <c r="A121" i="20"/>
  <c r="A119" i="20"/>
  <c r="A118" i="20"/>
  <c r="A117" i="20"/>
  <c r="A116" i="20"/>
  <c r="A115" i="20"/>
  <c r="A114" i="20"/>
  <c r="A113" i="20"/>
  <c r="A112" i="20"/>
  <c r="A106" i="20"/>
  <c r="A105" i="20"/>
  <c r="A104" i="20"/>
  <c r="A103" i="20"/>
  <c r="A102" i="20"/>
  <c r="A101" i="20"/>
  <c r="A100" i="20"/>
  <c r="A99" i="20"/>
  <c r="A98" i="20"/>
  <c r="A97" i="20"/>
  <c r="A96" i="20"/>
  <c r="A58" i="20"/>
  <c r="A57" i="20"/>
  <c r="A56" i="20"/>
  <c r="A54" i="20"/>
  <c r="A53" i="20"/>
  <c r="A52" i="20"/>
  <c r="A51" i="20"/>
  <c r="A50" i="20"/>
  <c r="A49" i="20"/>
  <c r="A48" i="20"/>
  <c r="A47" i="20"/>
  <c r="A46" i="20"/>
  <c r="A45" i="20"/>
  <c r="A44" i="20"/>
  <c r="A43" i="20"/>
  <c r="A42" i="20"/>
  <c r="A41" i="20"/>
  <c r="A40" i="20"/>
  <c r="A34" i="20"/>
  <c r="A33" i="20"/>
  <c r="A32" i="20"/>
  <c r="A31" i="20"/>
  <c r="A25" i="20"/>
  <c r="A24" i="20"/>
  <c r="A23" i="20"/>
  <c r="A22" i="20"/>
  <c r="A21" i="20"/>
  <c r="A5" i="20"/>
  <c r="A6" i="20"/>
  <c r="A7" i="20"/>
  <c r="A8" i="20"/>
  <c r="A9" i="20"/>
  <c r="A10" i="20"/>
  <c r="A11" i="20"/>
  <c r="A12" i="20"/>
  <c r="A13" i="20"/>
  <c r="A15" i="20"/>
  <c r="A4" i="20"/>
  <c r="E259" i="5"/>
  <c r="F259" i="5" s="1"/>
  <c r="E256" i="5"/>
  <c r="E255" i="5"/>
  <c r="E254" i="5"/>
  <c r="E253" i="5"/>
  <c r="E252" i="5"/>
  <c r="E251" i="5"/>
  <c r="E249" i="5"/>
  <c r="E248" i="5"/>
  <c r="E247" i="5"/>
  <c r="E246" i="5"/>
  <c r="F246" i="5" s="1"/>
  <c r="E245" i="5"/>
  <c r="E244" i="5"/>
  <c r="E243" i="5"/>
  <c r="E242" i="5"/>
  <c r="E240" i="5"/>
  <c r="E239" i="5"/>
  <c r="E238" i="5"/>
  <c r="E237" i="5"/>
  <c r="E236" i="5"/>
  <c r="E235" i="5"/>
  <c r="E232" i="5"/>
  <c r="E231" i="5"/>
  <c r="E230" i="5"/>
  <c r="E228" i="5"/>
  <c r="E226" i="5"/>
  <c r="E224" i="5"/>
  <c r="E220" i="5"/>
  <c r="E218" i="5"/>
  <c r="E213" i="5"/>
  <c r="E212" i="5"/>
  <c r="E210" i="5"/>
  <c r="E208" i="5"/>
  <c r="E160" i="5"/>
  <c r="E159" i="5"/>
  <c r="E109" i="5"/>
  <c r="E108" i="5"/>
  <c r="E105" i="5"/>
  <c r="E104" i="5"/>
  <c r="E103" i="5"/>
  <c r="E101" i="5"/>
  <c r="E100" i="5"/>
  <c r="E99" i="5"/>
  <c r="E98" i="5"/>
  <c r="I11" i="3"/>
  <c r="J11" i="3"/>
  <c r="I12" i="3"/>
  <c r="J12" i="3"/>
  <c r="C9" i="6"/>
  <c r="C10" i="6"/>
  <c r="C11" i="6"/>
  <c r="B9" i="6"/>
  <c r="B10" i="6"/>
  <c r="B11" i="6"/>
  <c r="E57" i="4"/>
  <c r="E63" i="4"/>
  <c r="E64" i="4"/>
  <c r="E65" i="4"/>
  <c r="E67" i="4"/>
  <c r="E68" i="4"/>
  <c r="E69" i="4"/>
  <c r="E71" i="4"/>
  <c r="E72" i="4"/>
  <c r="E73" i="4"/>
  <c r="E74" i="4"/>
  <c r="E75" i="4"/>
  <c r="E76" i="4"/>
  <c r="E77" i="4"/>
  <c r="E78" i="4"/>
  <c r="E82" i="4"/>
  <c r="E87" i="4"/>
  <c r="E88" i="4"/>
  <c r="E93" i="4"/>
  <c r="E95" i="4"/>
  <c r="E99" i="4"/>
  <c r="E100" i="4"/>
  <c r="E101" i="4"/>
  <c r="E98" i="4"/>
  <c r="E105" i="4"/>
  <c r="E106" i="4"/>
  <c r="E107" i="4"/>
  <c r="E108" i="4"/>
  <c r="E110" i="4"/>
  <c r="E113" i="4"/>
  <c r="E114" i="4"/>
  <c r="E116" i="4"/>
  <c r="E117" i="4"/>
  <c r="E118" i="4"/>
  <c r="E122" i="4"/>
  <c r="E123" i="4"/>
  <c r="E125" i="4"/>
  <c r="E126" i="4"/>
  <c r="E133" i="4"/>
  <c r="E134" i="4"/>
  <c r="E135" i="4"/>
  <c r="E136" i="4"/>
  <c r="E137" i="4"/>
  <c r="E139" i="4"/>
  <c r="E142" i="4"/>
  <c r="E144" i="4"/>
  <c r="E147" i="4"/>
  <c r="E152" i="4"/>
  <c r="E153" i="4"/>
  <c r="E158" i="4"/>
  <c r="E159" i="4"/>
  <c r="E164" i="4"/>
  <c r="E165" i="4"/>
  <c r="E166" i="4"/>
  <c r="E171" i="4"/>
  <c r="E172" i="4"/>
  <c r="E173" i="4"/>
  <c r="E174" i="4"/>
  <c r="E175" i="4"/>
  <c r="E179" i="4"/>
  <c r="E181" i="4"/>
  <c r="E186" i="4"/>
  <c r="E187" i="4"/>
  <c r="E188" i="4"/>
  <c r="E189" i="4"/>
  <c r="E190" i="4"/>
  <c r="E192" i="4"/>
  <c r="E193" i="4"/>
  <c r="E194" i="4"/>
  <c r="E195" i="4"/>
  <c r="E198" i="4"/>
  <c r="E199" i="4"/>
  <c r="E200" i="4"/>
  <c r="E202" i="4"/>
  <c r="E204" i="4"/>
  <c r="E205" i="4"/>
  <c r="E206" i="4"/>
  <c r="E11" i="4"/>
  <c r="E12" i="4"/>
  <c r="E15" i="4"/>
  <c r="E16" i="4"/>
  <c r="E21" i="4"/>
  <c r="E22" i="4"/>
  <c r="E23" i="4"/>
  <c r="E24" i="4"/>
  <c r="E25" i="4"/>
  <c r="E30" i="4"/>
  <c r="E31" i="4"/>
  <c r="E32" i="4"/>
  <c r="E34" i="4"/>
  <c r="E36" i="4"/>
  <c r="E37" i="4"/>
  <c r="E39" i="4"/>
  <c r="E40" i="4"/>
  <c r="E42" i="4"/>
  <c r="E44" i="4"/>
  <c r="E45" i="4"/>
  <c r="E48" i="4"/>
  <c r="E49" i="4"/>
  <c r="E50" i="4"/>
  <c r="E51" i="4"/>
  <c r="E52" i="4"/>
  <c r="E53" i="4"/>
  <c r="E24" i="5"/>
  <c r="E25" i="5"/>
  <c r="E26" i="5"/>
  <c r="E30" i="5"/>
  <c r="E31" i="5"/>
  <c r="E32" i="5"/>
  <c r="E33" i="5"/>
  <c r="E44" i="5"/>
  <c r="E45" i="5"/>
  <c r="E46" i="5"/>
  <c r="E47" i="5"/>
  <c r="E48" i="5"/>
  <c r="E49" i="5"/>
  <c r="E50" i="5"/>
  <c r="E51" i="5"/>
  <c r="E52" i="5"/>
  <c r="E53" i="5"/>
  <c r="E56" i="5"/>
  <c r="E58" i="5"/>
  <c r="E59" i="5"/>
  <c r="E60" i="5"/>
  <c r="E62" i="5"/>
  <c r="E63" i="5"/>
  <c r="E64" i="5"/>
  <c r="E65" i="5"/>
  <c r="E66" i="5"/>
  <c r="F66" i="5" s="1"/>
  <c r="E67" i="5"/>
  <c r="F67" i="5" s="1"/>
  <c r="E68" i="5"/>
  <c r="F68" i="5" s="1"/>
  <c r="E16" i="5"/>
  <c r="E17" i="5"/>
  <c r="E18" i="5"/>
  <c r="E19" i="5"/>
  <c r="E20" i="5"/>
  <c r="C25" i="12"/>
  <c r="C24" i="12"/>
  <c r="D88" i="8"/>
  <c r="D89" i="8"/>
  <c r="D398" i="9"/>
  <c r="E116" i="5"/>
  <c r="E128" i="5"/>
  <c r="E130" i="5"/>
  <c r="E132" i="5"/>
  <c r="E137" i="5"/>
  <c r="E138" i="5"/>
  <c r="E139" i="5"/>
  <c r="E142" i="5"/>
  <c r="E144" i="5"/>
  <c r="E147" i="5"/>
  <c r="E148" i="5"/>
  <c r="E149" i="5"/>
  <c r="E150" i="5"/>
  <c r="F150" i="5" s="1"/>
  <c r="E151" i="5"/>
  <c r="E152" i="5"/>
  <c r="E153" i="5"/>
  <c r="E155" i="5"/>
  <c r="E156" i="5"/>
  <c r="E166" i="5"/>
  <c r="E168" i="5"/>
  <c r="E169" i="5"/>
  <c r="E173" i="5"/>
  <c r="E187" i="5"/>
  <c r="E188" i="5"/>
  <c r="E189" i="5"/>
  <c r="E194" i="5"/>
  <c r="E199" i="5"/>
  <c r="E200" i="5"/>
  <c r="D399" i="9"/>
  <c r="D84" i="9"/>
  <c r="D79" i="9"/>
  <c r="D75" i="9"/>
  <c r="D102" i="8"/>
  <c r="D97" i="8"/>
  <c r="D95" i="8"/>
  <c r="D94" i="8"/>
  <c r="J265" i="5"/>
  <c r="J270" i="5" s="1"/>
  <c r="J268" i="5"/>
  <c r="J269" i="5"/>
  <c r="G13" i="12"/>
  <c r="I25" i="12"/>
  <c r="M64" i="5"/>
  <c r="D9" i="19"/>
  <c r="AH10" i="12"/>
  <c r="G18" i="12"/>
  <c r="C18" i="12" s="1"/>
  <c r="AH20" i="12"/>
  <c r="AH28" i="12"/>
  <c r="G34" i="12"/>
  <c r="C34" i="12" s="1"/>
  <c r="AA34" i="12"/>
  <c r="AH37" i="12"/>
  <c r="G15" i="3"/>
  <c r="G17" i="3"/>
  <c r="G18" i="3"/>
  <c r="B19" i="3"/>
  <c r="B23" i="3" s="1"/>
  <c r="C19" i="3"/>
  <c r="C23" i="3" s="1"/>
  <c r="D19" i="3"/>
  <c r="D23" i="3" s="1"/>
  <c r="E19" i="3"/>
  <c r="E23" i="3" s="1"/>
  <c r="F19" i="3"/>
  <c r="G25" i="3"/>
  <c r="G32" i="3" s="1"/>
  <c r="H204" i="4"/>
  <c r="J38" i="3"/>
  <c r="J42" i="3" s="1"/>
  <c r="C39" i="6"/>
  <c r="J39" i="3"/>
  <c r="J40" i="3"/>
  <c r="J41" i="3"/>
  <c r="C38" i="6"/>
  <c r="C37" i="6"/>
  <c r="C41" i="6" s="1"/>
  <c r="C40" i="6"/>
  <c r="I17" i="12" l="1"/>
  <c r="AH17" i="12"/>
  <c r="C13" i="12"/>
  <c r="AH13" i="12"/>
  <c r="AH34" i="12"/>
  <c r="B283" i="5"/>
  <c r="B282" i="5"/>
  <c r="B284" i="5" s="1"/>
  <c r="B285" i="5" s="1"/>
  <c r="E9" i="32"/>
  <c r="C54" i="32" s="1"/>
  <c r="F8" i="32"/>
  <c r="F33" i="19"/>
  <c r="B38" i="32"/>
  <c r="F42" i="31"/>
  <c r="F51" i="31" s="1"/>
  <c r="E42" i="31"/>
  <c r="E51" i="31" s="1"/>
  <c r="B29" i="32"/>
  <c r="F262" i="5"/>
  <c r="I119" i="5"/>
  <c r="H388" i="8"/>
  <c r="I27" i="5"/>
  <c r="I28" i="5"/>
  <c r="I14" i="5"/>
  <c r="I118" i="5"/>
  <c r="I131" i="5"/>
  <c r="AA9" i="12"/>
  <c r="I9" i="12" s="1"/>
  <c r="M6" i="20"/>
  <c r="L6" i="20"/>
  <c r="J38" i="12"/>
  <c r="G19" i="3"/>
  <c r="G23" i="3" s="1"/>
  <c r="G27" i="3" s="1"/>
  <c r="G28" i="3" s="1"/>
  <c r="A3" i="6"/>
  <c r="A3" i="19"/>
  <c r="H3" i="3"/>
  <c r="F395" i="9"/>
  <c r="F404" i="9" s="1"/>
  <c r="K6" i="5"/>
  <c r="L30" i="20"/>
  <c r="M9" i="20"/>
  <c r="M32" i="20"/>
  <c r="L33" i="20"/>
  <c r="M30" i="20"/>
  <c r="M33" i="20"/>
  <c r="L31" i="20"/>
  <c r="L32" i="20"/>
  <c r="M31" i="20"/>
  <c r="L9" i="20"/>
  <c r="B382" i="8"/>
  <c r="K384" i="8" s="1"/>
  <c r="A3" i="3"/>
  <c r="Q9" i="20"/>
  <c r="B381" i="8"/>
  <c r="E395" i="9"/>
  <c r="E10" i="32" l="1"/>
  <c r="E11" i="32" s="1"/>
  <c r="F11" i="32" s="1"/>
  <c r="F9" i="32"/>
  <c r="H47" i="32"/>
  <c r="B30" i="32"/>
  <c r="H48" i="32"/>
  <c r="B39" i="32"/>
  <c r="N9" i="20"/>
  <c r="P9" i="20" s="1"/>
  <c r="N32" i="20"/>
  <c r="P32" i="20" s="1"/>
  <c r="N31" i="20"/>
  <c r="P31" i="20" s="1"/>
  <c r="N30" i="20"/>
  <c r="P30" i="20" s="1"/>
  <c r="N6" i="20"/>
  <c r="P6" i="20" s="1"/>
  <c r="N33" i="20"/>
  <c r="P33" i="20" s="1"/>
  <c r="J375" i="8"/>
  <c r="D45" i="2"/>
  <c r="H299" i="5"/>
  <c r="B290" i="5"/>
  <c r="E404" i="9"/>
  <c r="H298" i="5"/>
  <c r="J6" i="5"/>
  <c r="K385" i="8"/>
  <c r="B392" i="8"/>
  <c r="F390" i="8" s="1"/>
  <c r="J376" i="8"/>
  <c r="F10" i="32" l="1"/>
  <c r="B40" i="32"/>
  <c r="B42" i="32" s="1"/>
  <c r="B43" i="32" s="1"/>
  <c r="B41" i="32"/>
  <c r="B32" i="32"/>
  <c r="B31" i="32"/>
  <c r="B33" i="32" s="1"/>
  <c r="B34" i="32" s="1"/>
  <c r="B291" i="5"/>
  <c r="B293" i="5" s="1"/>
  <c r="B294" i="5" s="1"/>
  <c r="B292" i="5"/>
  <c r="F14" i="32" l="1"/>
  <c r="F16" i="32" s="1"/>
  <c r="E53" i="2"/>
  <c r="D30" i="19"/>
  <c r="O25" i="20" l="1"/>
  <c r="AA29" i="12"/>
  <c r="G81" i="20"/>
  <c r="F87" i="20" s="1"/>
  <c r="F81" i="20"/>
  <c r="G87" i="20" s="1"/>
  <c r="R27" i="12"/>
  <c r="D36" i="19"/>
  <c r="AA35" i="12" s="1"/>
  <c r="Y34" i="12" l="1"/>
  <c r="K34" i="12"/>
  <c r="S34" i="12"/>
  <c r="L23" i="20"/>
  <c r="M23" i="20"/>
  <c r="O23" i="20"/>
  <c r="Q23" i="20" s="1"/>
  <c r="I35" i="12"/>
  <c r="E17" i="22"/>
  <c r="D179" i="4"/>
  <c r="L179" i="4" s="1"/>
  <c r="Q25" i="20"/>
  <c r="I34" i="12" l="1"/>
  <c r="N23" i="20"/>
  <c r="P23" i="20" s="1"/>
  <c r="U27" i="12"/>
  <c r="F179" i="4"/>
  <c r="H179" i="4"/>
  <c r="G58" i="20"/>
  <c r="F58" i="20"/>
  <c r="AA18" i="12" l="1"/>
  <c r="AH18" i="12" s="1"/>
  <c r="C48" i="2" l="1"/>
  <c r="E48" i="2" s="1"/>
  <c r="C43" i="2"/>
  <c r="E43" i="2" s="1"/>
  <c r="U19" i="12"/>
  <c r="Q23" i="12"/>
  <c r="Q27" i="12" s="1"/>
  <c r="N40" i="12"/>
  <c r="N19" i="12"/>
  <c r="C22" i="19"/>
  <c r="C52" i="2"/>
  <c r="E52" i="2" s="1"/>
  <c r="G80" i="20" s="1"/>
  <c r="D22" i="19"/>
  <c r="O15" i="20" s="1"/>
  <c r="R40" i="12"/>
  <c r="R14" i="12"/>
  <c r="Q19" i="12"/>
  <c r="F19" i="12"/>
  <c r="D17" i="19"/>
  <c r="O13" i="20" s="1"/>
  <c r="S19" i="12"/>
  <c r="K19" i="12"/>
  <c r="R19" i="12"/>
  <c r="Q14" i="12"/>
  <c r="Q40" i="12"/>
  <c r="U40" i="12"/>
  <c r="S40" i="12"/>
  <c r="F40" i="12"/>
  <c r="M327" i="30" l="1"/>
  <c r="M439" i="30"/>
  <c r="N327" i="30"/>
  <c r="N429" i="30"/>
  <c r="M304" i="30"/>
  <c r="N304" i="30"/>
  <c r="M436" i="30"/>
  <c r="M441" i="30"/>
  <c r="M415" i="30"/>
  <c r="N411" i="30"/>
  <c r="N369" i="30"/>
  <c r="N302" i="30"/>
  <c r="M432" i="30"/>
  <c r="M295" i="30"/>
  <c r="N325" i="30"/>
  <c r="N316" i="30"/>
  <c r="N377" i="30"/>
  <c r="N296" i="30"/>
  <c r="M311" i="30"/>
  <c r="N394" i="30"/>
  <c r="N379" i="30"/>
  <c r="N331" i="30"/>
  <c r="N412" i="30"/>
  <c r="F75" i="20"/>
  <c r="G75" i="20"/>
  <c r="M337" i="30"/>
  <c r="N401" i="30"/>
  <c r="N419" i="30"/>
  <c r="N415" i="30"/>
  <c r="N402" i="30"/>
  <c r="N388" i="30"/>
  <c r="N436" i="30"/>
  <c r="N408" i="30"/>
  <c r="N413" i="30"/>
  <c r="N433" i="30"/>
  <c r="N386" i="30"/>
  <c r="N437" i="30"/>
  <c r="N381" i="30"/>
  <c r="N424" i="30"/>
  <c r="N375" i="30"/>
  <c r="N384" i="30"/>
  <c r="M405" i="30"/>
  <c r="M438" i="30"/>
  <c r="M388" i="30"/>
  <c r="M410" i="30"/>
  <c r="M379" i="30"/>
  <c r="M437" i="30"/>
  <c r="M440" i="30"/>
  <c r="M431" i="30"/>
  <c r="M433" i="30"/>
  <c r="M381" i="30"/>
  <c r="M426" i="30"/>
  <c r="M372" i="30"/>
  <c r="M402" i="30"/>
  <c r="M401" i="30"/>
  <c r="M429" i="30"/>
  <c r="M384" i="30"/>
  <c r="M413" i="30"/>
  <c r="M386" i="30"/>
  <c r="M387" i="30"/>
  <c r="M422" i="30"/>
  <c r="N300" i="30"/>
  <c r="N314" i="30"/>
  <c r="N315" i="30"/>
  <c r="N309" i="30"/>
  <c r="N328" i="30"/>
  <c r="M296" i="30"/>
  <c r="M302" i="30"/>
  <c r="M313" i="30"/>
  <c r="N289" i="30"/>
  <c r="N297" i="30"/>
  <c r="N311" i="30"/>
  <c r="M331" i="30"/>
  <c r="M286" i="30"/>
  <c r="N286" i="30"/>
  <c r="N292" i="30"/>
  <c r="M303" i="30"/>
  <c r="N307" i="30"/>
  <c r="M291" i="30"/>
  <c r="N326" i="30"/>
  <c r="M315" i="30"/>
  <c r="M287" i="30"/>
  <c r="N287" i="30"/>
  <c r="M328" i="30"/>
  <c r="N298" i="30"/>
  <c r="N313" i="30"/>
  <c r="N288" i="30"/>
  <c r="N324" i="30"/>
  <c r="M307" i="30"/>
  <c r="M326" i="30"/>
  <c r="M316" i="30"/>
  <c r="M293" i="30"/>
  <c r="M297" i="30"/>
  <c r="M317" i="30"/>
  <c r="M299" i="30"/>
  <c r="M305" i="30"/>
  <c r="M330" i="30"/>
  <c r="M289" i="30"/>
  <c r="M309" i="30"/>
  <c r="F381" i="8"/>
  <c r="D11" i="19"/>
  <c r="C21" i="2"/>
  <c r="F51" i="20"/>
  <c r="G55" i="20" s="1"/>
  <c r="G52" i="20"/>
  <c r="F52" i="20"/>
  <c r="G43" i="20"/>
  <c r="F45" i="20" s="1"/>
  <c r="F43" i="20"/>
  <c r="G45" i="20" s="1"/>
  <c r="F53" i="20"/>
  <c r="G53" i="20"/>
  <c r="F56" i="20" s="1"/>
  <c r="G78" i="20"/>
  <c r="F84" i="20" s="1"/>
  <c r="M20" i="20" s="1"/>
  <c r="O14" i="20"/>
  <c r="F22" i="19"/>
  <c r="AA16" i="12"/>
  <c r="Q13" i="20"/>
  <c r="D20" i="19"/>
  <c r="D27" i="19"/>
  <c r="F80" i="20"/>
  <c r="G86" i="20" s="1"/>
  <c r="C27" i="19"/>
  <c r="F78" i="20"/>
  <c r="AA21" i="12"/>
  <c r="G21" i="12"/>
  <c r="M21" i="20"/>
  <c r="F86" i="20"/>
  <c r="C159" i="5"/>
  <c r="C185" i="8"/>
  <c r="C214" i="8"/>
  <c r="C76" i="8"/>
  <c r="C221" i="5"/>
  <c r="C51" i="9"/>
  <c r="C206" i="8"/>
  <c r="C230" i="9"/>
  <c r="C64" i="8"/>
  <c r="C8" i="9"/>
  <c r="C121" i="5"/>
  <c r="C240" i="9"/>
  <c r="C36" i="4"/>
  <c r="C112" i="9"/>
  <c r="G29" i="22"/>
  <c r="C164" i="4"/>
  <c r="C48" i="5"/>
  <c r="C348" i="9"/>
  <c r="C67" i="8"/>
  <c r="C207" i="9"/>
  <c r="C77" i="8"/>
  <c r="C342" i="9"/>
  <c r="C115" i="5"/>
  <c r="C331" i="9"/>
  <c r="C71" i="4"/>
  <c r="C254" i="9"/>
  <c r="C137" i="5"/>
  <c r="C228" i="5"/>
  <c r="C22" i="22"/>
  <c r="C267" i="8"/>
  <c r="C135" i="9"/>
  <c r="C164" i="8"/>
  <c r="C68" i="4"/>
  <c r="C105" i="9"/>
  <c r="C249" i="8"/>
  <c r="C192" i="9"/>
  <c r="C157" i="8"/>
  <c r="C129" i="9"/>
  <c r="C238" i="8"/>
  <c r="C178" i="9"/>
  <c r="C155" i="4"/>
  <c r="C358" i="9"/>
  <c r="C23" i="4"/>
  <c r="C375" i="9"/>
  <c r="G38" i="22"/>
  <c r="C172" i="9"/>
  <c r="C95" i="5"/>
  <c r="C85" i="9"/>
  <c r="C36" i="5"/>
  <c r="C145" i="9"/>
  <c r="C99" i="4"/>
  <c r="C87" i="8"/>
  <c r="C204" i="4"/>
  <c r="C120" i="5"/>
  <c r="C39" i="5"/>
  <c r="C198" i="4"/>
  <c r="C33" i="4"/>
  <c r="C331" i="8"/>
  <c r="C159" i="8"/>
  <c r="C152" i="8"/>
  <c r="C301" i="8"/>
  <c r="C152" i="4"/>
  <c r="C113" i="4"/>
  <c r="G17" i="22"/>
  <c r="C52" i="4"/>
  <c r="C233" i="9"/>
  <c r="C108" i="8"/>
  <c r="C109" i="8"/>
  <c r="C160" i="8"/>
  <c r="C68" i="8"/>
  <c r="C96" i="5"/>
  <c r="C116" i="4"/>
  <c r="C258" i="8"/>
  <c r="C313" i="8"/>
  <c r="C96" i="4"/>
  <c r="C206" i="5"/>
  <c r="C164" i="9"/>
  <c r="C235" i="8"/>
  <c r="C139" i="9"/>
  <c r="C184" i="8"/>
  <c r="C189" i="9"/>
  <c r="C175" i="4"/>
  <c r="C239" i="5"/>
  <c r="C82" i="4"/>
  <c r="C142" i="8"/>
  <c r="C128" i="8"/>
  <c r="C225" i="5"/>
  <c r="C51" i="4"/>
  <c r="C247" i="8"/>
  <c r="C332" i="8"/>
  <c r="C184" i="4"/>
  <c r="C241" i="9"/>
  <c r="C110" i="4"/>
  <c r="C354" i="9"/>
  <c r="C24" i="5"/>
  <c r="C15" i="22"/>
  <c r="C232" i="5"/>
  <c r="G15" i="22"/>
  <c r="C166" i="4"/>
  <c r="C11" i="9"/>
  <c r="G30" i="22"/>
  <c r="C75" i="9"/>
  <c r="C166" i="5"/>
  <c r="C108" i="9"/>
  <c r="C178" i="8"/>
  <c r="C367" i="9"/>
  <c r="C228" i="8"/>
  <c r="C266" i="9"/>
  <c r="C365" i="9"/>
  <c r="C33" i="5"/>
  <c r="C119" i="8"/>
  <c r="C134" i="4"/>
  <c r="C254" i="5"/>
  <c r="C65" i="9"/>
  <c r="C77" i="5"/>
  <c r="C13" i="9"/>
  <c r="C194" i="5"/>
  <c r="C165" i="9"/>
  <c r="C188" i="4"/>
  <c r="C226" i="9"/>
  <c r="C68" i="5"/>
  <c r="C278" i="9"/>
  <c r="C23" i="5"/>
  <c r="C237" i="9"/>
  <c r="C156" i="8"/>
  <c r="C202" i="9"/>
  <c r="C125" i="5"/>
  <c r="C107" i="9"/>
  <c r="C357" i="8"/>
  <c r="C86" i="9"/>
  <c r="C84" i="8"/>
  <c r="C243" i="9"/>
  <c r="C170" i="4"/>
  <c r="C287" i="9"/>
  <c r="C260" i="5"/>
  <c r="C200" i="9"/>
  <c r="C25" i="5"/>
  <c r="C308" i="9"/>
  <c r="C65" i="4"/>
  <c r="C8" i="4"/>
  <c r="C235" i="5"/>
  <c r="C115" i="8"/>
  <c r="C12" i="8"/>
  <c r="C274" i="9"/>
  <c r="C45" i="9"/>
  <c r="C109" i="4"/>
  <c r="C94" i="5"/>
  <c r="C62" i="9"/>
  <c r="C82" i="8"/>
  <c r="C103" i="5"/>
  <c r="C260" i="9"/>
  <c r="C154" i="8"/>
  <c r="C303" i="9"/>
  <c r="C126" i="8"/>
  <c r="C190" i="9"/>
  <c r="C21" i="4"/>
  <c r="C155" i="9"/>
  <c r="C174" i="4"/>
  <c r="C255" i="9"/>
  <c r="C283" i="8"/>
  <c r="C205" i="8"/>
  <c r="C290" i="8"/>
  <c r="C93" i="5"/>
  <c r="C294" i="9"/>
  <c r="C126" i="9"/>
  <c r="C265" i="8"/>
  <c r="C313" i="9"/>
  <c r="C35" i="4"/>
  <c r="C259" i="8"/>
  <c r="C56" i="5"/>
  <c r="C363" i="8"/>
  <c r="C303" i="8"/>
  <c r="C153" i="8"/>
  <c r="C20" i="8"/>
  <c r="C124" i="8"/>
  <c r="C65" i="5"/>
  <c r="C91" i="8"/>
  <c r="C226" i="5"/>
  <c r="G32" i="22"/>
  <c r="C122" i="5"/>
  <c r="C79" i="8"/>
  <c r="C213" i="5"/>
  <c r="C153" i="9"/>
  <c r="C41" i="8"/>
  <c r="C286" i="9"/>
  <c r="C42" i="8"/>
  <c r="C322" i="9"/>
  <c r="C53" i="4"/>
  <c r="C137" i="8"/>
  <c r="C305" i="8"/>
  <c r="C106" i="4"/>
  <c r="C60" i="5"/>
  <c r="C37" i="4"/>
  <c r="C102" i="5"/>
  <c r="C366" i="9"/>
  <c r="C187" i="9"/>
  <c r="C195" i="8"/>
  <c r="C44" i="8"/>
  <c r="C147" i="8"/>
  <c r="C285" i="8"/>
  <c r="G31" i="22"/>
  <c r="C40" i="22"/>
  <c r="C113" i="5"/>
  <c r="C64" i="9"/>
  <c r="C83" i="8"/>
  <c r="C369" i="9"/>
  <c r="C34" i="4"/>
  <c r="C23" i="9"/>
  <c r="C105" i="8"/>
  <c r="C292" i="9"/>
  <c r="C171" i="9"/>
  <c r="C218" i="9"/>
  <c r="C289" i="8"/>
  <c r="C38" i="22"/>
  <c r="C134" i="8"/>
  <c r="G48" i="22"/>
  <c r="C133" i="4"/>
  <c r="C114" i="9"/>
  <c r="C288" i="8"/>
  <c r="C384" i="9"/>
  <c r="C200" i="8"/>
  <c r="C174" i="9"/>
  <c r="C44" i="22"/>
  <c r="C98" i="9"/>
  <c r="C126" i="5"/>
  <c r="C261" i="9"/>
  <c r="C270" i="9"/>
  <c r="C44" i="5"/>
  <c r="C108" i="5"/>
  <c r="C9" i="5"/>
  <c r="C18" i="5"/>
  <c r="C71" i="8"/>
  <c r="C177" i="9"/>
  <c r="C100" i="5"/>
  <c r="C307" i="9"/>
  <c r="G26" i="22"/>
  <c r="C15" i="9"/>
  <c r="C98" i="4"/>
  <c r="C101" i="9"/>
  <c r="C150" i="8"/>
  <c r="C277" i="9"/>
  <c r="C356" i="9"/>
  <c r="C192" i="5"/>
  <c r="C307" i="8"/>
  <c r="C229" i="9"/>
  <c r="C188" i="8"/>
  <c r="C355" i="9"/>
  <c r="C62" i="8"/>
  <c r="C334" i="9"/>
  <c r="C252" i="5"/>
  <c r="C73" i="9"/>
  <c r="C52" i="8"/>
  <c r="C259" i="9"/>
  <c r="C38" i="4"/>
  <c r="C246" i="9"/>
  <c r="C29" i="5"/>
  <c r="C120" i="8"/>
  <c r="C24" i="22"/>
  <c r="C58" i="9"/>
  <c r="C235" i="9"/>
  <c r="C106" i="5"/>
  <c r="C153" i="5"/>
  <c r="C150" i="9"/>
  <c r="C360" i="8"/>
  <c r="C189" i="8"/>
  <c r="C55" i="8"/>
  <c r="C66" i="5"/>
  <c r="C50" i="5"/>
  <c r="C355" i="8"/>
  <c r="C255" i="5"/>
  <c r="C23" i="22"/>
  <c r="C86" i="4"/>
  <c r="C95" i="4"/>
  <c r="C296" i="9"/>
  <c r="C183" i="8"/>
  <c r="C110" i="5"/>
  <c r="C374" i="9"/>
  <c r="C256" i="5"/>
  <c r="C70" i="9"/>
  <c r="C158" i="4"/>
  <c r="C329" i="8"/>
  <c r="C49" i="4"/>
  <c r="C216" i="8"/>
  <c r="C75" i="8"/>
  <c r="C18" i="8"/>
  <c r="C117" i="5"/>
  <c r="C156" i="5"/>
  <c r="C114" i="8"/>
  <c r="C128" i="4"/>
  <c r="C300" i="8"/>
  <c r="C7" i="9"/>
  <c r="C231" i="5"/>
  <c r="C184" i="5"/>
  <c r="C204" i="8"/>
  <c r="C207" i="5"/>
  <c r="C183" i="4"/>
  <c r="C280" i="8"/>
  <c r="C36" i="9"/>
  <c r="C351" i="8"/>
  <c r="C280" i="9"/>
  <c r="C367" i="8"/>
  <c r="C304" i="9"/>
  <c r="C17" i="4"/>
  <c r="C225" i="9"/>
  <c r="C142" i="5"/>
  <c r="C26" i="9"/>
  <c r="C199" i="9"/>
  <c r="C383" i="9"/>
  <c r="C223" i="8"/>
  <c r="C197" i="8"/>
  <c r="C242" i="5"/>
  <c r="C72" i="8"/>
  <c r="C131" i="8"/>
  <c r="C40" i="9"/>
  <c r="C116" i="8"/>
  <c r="C158" i="9"/>
  <c r="C209" i="8"/>
  <c r="C133" i="9"/>
  <c r="C74" i="8"/>
  <c r="C53" i="9"/>
  <c r="C253" i="5"/>
  <c r="C102" i="9"/>
  <c r="C36" i="22"/>
  <c r="C176" i="5"/>
  <c r="C48" i="22"/>
  <c r="C163" i="5"/>
  <c r="C37" i="22"/>
  <c r="C144" i="5"/>
  <c r="C344" i="9"/>
  <c r="C231" i="8"/>
  <c r="C370" i="8"/>
  <c r="C109" i="9"/>
  <c r="C144" i="8"/>
  <c r="C121" i="8"/>
  <c r="C180" i="8"/>
  <c r="C121" i="4"/>
  <c r="C159" i="4"/>
  <c r="C216" i="5"/>
  <c r="C87" i="4"/>
  <c r="C139" i="4"/>
  <c r="C199" i="8"/>
  <c r="C248" i="5"/>
  <c r="C306" i="8"/>
  <c r="C323" i="9"/>
  <c r="C256" i="8"/>
  <c r="C219" i="5"/>
  <c r="C164" i="5"/>
  <c r="C21" i="5"/>
  <c r="C298" i="8"/>
  <c r="C130" i="8"/>
  <c r="C240" i="8"/>
  <c r="C259" i="5"/>
  <c r="C278" i="8"/>
  <c r="C37" i="5"/>
  <c r="C10" i="2"/>
  <c r="C15" i="4"/>
  <c r="C238" i="9"/>
  <c r="C245" i="8"/>
  <c r="C81" i="9"/>
  <c r="C66" i="9"/>
  <c r="C330" i="9"/>
  <c r="C271" i="8"/>
  <c r="C163" i="8"/>
  <c r="C239" i="9"/>
  <c r="C74" i="4"/>
  <c r="C191" i="5"/>
  <c r="C145" i="8"/>
  <c r="C31" i="4"/>
  <c r="C42" i="5"/>
  <c r="C39" i="8"/>
  <c r="C368" i="8"/>
  <c r="C245" i="5"/>
  <c r="C254" i="8"/>
  <c r="C59" i="5"/>
  <c r="C99" i="9"/>
  <c r="C237" i="5"/>
  <c r="C198" i="9"/>
  <c r="C322" i="8"/>
  <c r="C39" i="4"/>
  <c r="C212" i="8"/>
  <c r="C247" i="5"/>
  <c r="C240" i="5"/>
  <c r="C119" i="9"/>
  <c r="C95" i="8"/>
  <c r="C143" i="9"/>
  <c r="C67" i="4"/>
  <c r="C338" i="9"/>
  <c r="C324" i="8"/>
  <c r="C351" i="9"/>
  <c r="C46" i="8"/>
  <c r="C175" i="9"/>
  <c r="C353" i="8"/>
  <c r="C327" i="8"/>
  <c r="C32" i="22"/>
  <c r="C121" i="9"/>
  <c r="G14" i="22"/>
  <c r="C373" i="9"/>
  <c r="C287" i="8"/>
  <c r="C263" i="9"/>
  <c r="C205" i="4"/>
  <c r="C258" i="9"/>
  <c r="C149" i="8"/>
  <c r="C127" i="9"/>
  <c r="C217" i="8"/>
  <c r="C182" i="9"/>
  <c r="C262" i="5"/>
  <c r="C27" i="22"/>
  <c r="C63" i="5"/>
  <c r="C114" i="4"/>
  <c r="C201" i="9"/>
  <c r="C177" i="4"/>
  <c r="C161" i="9"/>
  <c r="C118" i="8"/>
  <c r="C267" i="9"/>
  <c r="C350" i="8"/>
  <c r="C146" i="9"/>
  <c r="C255" i="8"/>
  <c r="C326" i="9"/>
  <c r="G42" i="22"/>
  <c r="C136" i="4"/>
  <c r="C73" i="8"/>
  <c r="C92" i="4"/>
  <c r="C118" i="9"/>
  <c r="C377" i="9"/>
  <c r="C146" i="5"/>
  <c r="C138" i="9"/>
  <c r="C172" i="8"/>
  <c r="C211" i="8"/>
  <c r="C236" i="9"/>
  <c r="C143" i="4"/>
  <c r="C151" i="5"/>
  <c r="C26" i="5"/>
  <c r="C291" i="8"/>
  <c r="C45" i="4"/>
  <c r="C187" i="5"/>
  <c r="C362" i="8"/>
  <c r="C47" i="5"/>
  <c r="C243" i="5"/>
  <c r="C56" i="8"/>
  <c r="C345" i="9"/>
  <c r="C126" i="4"/>
  <c r="C122" i="8"/>
  <c r="C70" i="8"/>
  <c r="C304" i="8"/>
  <c r="C64" i="4"/>
  <c r="C341" i="8"/>
  <c r="C105" i="4"/>
  <c r="C186" i="9"/>
  <c r="C234" i="8"/>
  <c r="C219" i="9"/>
  <c r="C225" i="8"/>
  <c r="C185" i="9"/>
  <c r="C204" i="5"/>
  <c r="C106" i="9"/>
  <c r="C47" i="22"/>
  <c r="C203" i="9"/>
  <c r="C116" i="9"/>
  <c r="C46" i="5"/>
  <c r="C249" i="5"/>
  <c r="C12" i="4"/>
  <c r="C117" i="8"/>
  <c r="C38" i="8"/>
  <c r="C107" i="8"/>
  <c r="C207" i="8"/>
  <c r="C253" i="8"/>
  <c r="C21" i="22"/>
  <c r="C61" i="8"/>
  <c r="C337" i="9"/>
  <c r="C157" i="4"/>
  <c r="C279" i="9"/>
  <c r="G34" i="22"/>
  <c r="C93" i="9"/>
  <c r="C123" i="9"/>
  <c r="C281" i="9"/>
  <c r="C111" i="5"/>
  <c r="C80" i="9"/>
  <c r="C42" i="4"/>
  <c r="C103" i="9"/>
  <c r="C230" i="8"/>
  <c r="C181" i="9"/>
  <c r="C40" i="5"/>
  <c r="C329" i="9"/>
  <c r="C182" i="8"/>
  <c r="C115" i="9"/>
  <c r="C98" i="5"/>
  <c r="C67" i="9"/>
  <c r="G23" i="22"/>
  <c r="C57" i="9"/>
  <c r="C49" i="8"/>
  <c r="C364" i="9"/>
  <c r="C20" i="22"/>
  <c r="C224" i="9"/>
  <c r="C39" i="22"/>
  <c r="C25" i="9"/>
  <c r="C251" i="5"/>
  <c r="C245" i="9"/>
  <c r="C210" i="5"/>
  <c r="C14" i="9"/>
  <c r="C58" i="8"/>
  <c r="C48" i="9"/>
  <c r="C86" i="8"/>
  <c r="C97" i="4"/>
  <c r="C312" i="8"/>
  <c r="C53" i="5"/>
  <c r="C284" i="9"/>
  <c r="C81" i="8"/>
  <c r="C252" i="9"/>
  <c r="C348" i="8"/>
  <c r="C378" i="9"/>
  <c r="C141" i="4"/>
  <c r="C370" i="9"/>
  <c r="C169" i="5"/>
  <c r="C43" i="9"/>
  <c r="C94" i="8"/>
  <c r="C63" i="9"/>
  <c r="C328" i="8"/>
  <c r="C221" i="8"/>
  <c r="C123" i="5"/>
  <c r="C263" i="8"/>
  <c r="C324" i="9"/>
  <c r="G28" i="22"/>
  <c r="C43" i="22"/>
  <c r="C333" i="9"/>
  <c r="C340" i="8"/>
  <c r="C48" i="4"/>
  <c r="C138" i="4"/>
  <c r="C108" i="4"/>
  <c r="C186" i="5"/>
  <c r="C196" i="8"/>
  <c r="C294" i="8"/>
  <c r="C266" i="8"/>
  <c r="C364" i="8"/>
  <c r="C125" i="4"/>
  <c r="C282" i="9"/>
  <c r="C161" i="8"/>
  <c r="C227" i="8"/>
  <c r="C34" i="22"/>
  <c r="C182" i="4"/>
  <c r="C20" i="9"/>
  <c r="C250" i="8"/>
  <c r="C320" i="8"/>
  <c r="C218" i="5"/>
  <c r="C305" i="9"/>
  <c r="C372" i="9"/>
  <c r="C265" i="9"/>
  <c r="C231" i="9"/>
  <c r="C262" i="8"/>
  <c r="C246" i="8"/>
  <c r="C111" i="9"/>
  <c r="C78" i="4"/>
  <c r="C332" i="9"/>
  <c r="C221" i="9"/>
  <c r="C142" i="4"/>
  <c r="C63" i="4"/>
  <c r="C138" i="5"/>
  <c r="C19" i="5"/>
  <c r="C326" i="8"/>
  <c r="C22" i="4"/>
  <c r="C172" i="4"/>
  <c r="C42" i="22"/>
  <c r="C139" i="5"/>
  <c r="C252" i="8"/>
  <c r="C25" i="4"/>
  <c r="C8" i="2"/>
  <c r="G20" i="22"/>
  <c r="C188" i="9"/>
  <c r="C302" i="9"/>
  <c r="C214" i="9"/>
  <c r="C11" i="22"/>
  <c r="C173" i="8"/>
  <c r="C34" i="5"/>
  <c r="C16" i="5"/>
  <c r="C127" i="8"/>
  <c r="C385" i="9"/>
  <c r="C179" i="8"/>
  <c r="C321" i="9"/>
  <c r="C272" i="8"/>
  <c r="C152" i="9"/>
  <c r="C226" i="8"/>
  <c r="C87" i="9"/>
  <c r="G44" i="22"/>
  <c r="C193" i="9"/>
  <c r="C202" i="5"/>
  <c r="C181" i="8"/>
  <c r="C52" i="22"/>
  <c r="C132" i="5"/>
  <c r="C104" i="5"/>
  <c r="C212" i="5"/>
  <c r="G33" i="22"/>
  <c r="C74" i="9"/>
  <c r="C233" i="8"/>
  <c r="C179" i="9"/>
  <c r="C192" i="4"/>
  <c r="C381" i="9"/>
  <c r="C122" i="4"/>
  <c r="C84" i="9"/>
  <c r="C296" i="8"/>
  <c r="C38" i="9"/>
  <c r="C232" i="9"/>
  <c r="C141" i="9"/>
  <c r="C210" i="8"/>
  <c r="C275" i="9"/>
  <c r="C244" i="8"/>
  <c r="C194" i="9"/>
  <c r="C7" i="8"/>
  <c r="C39" i="9"/>
  <c r="C160" i="5"/>
  <c r="C12" i="9"/>
  <c r="C268" i="8"/>
  <c r="C309" i="9"/>
  <c r="C133" i="8"/>
  <c r="G46" i="22"/>
  <c r="C365" i="8"/>
  <c r="C33" i="22"/>
  <c r="C166" i="9"/>
  <c r="C330" i="8"/>
  <c r="C191" i="8"/>
  <c r="C78" i="9"/>
  <c r="C190" i="8"/>
  <c r="C131" i="9"/>
  <c r="C16" i="22"/>
  <c r="C239" i="8"/>
  <c r="C215" i="5"/>
  <c r="C172" i="5"/>
  <c r="C9" i="8"/>
  <c r="C127" i="5"/>
  <c r="C302" i="8"/>
  <c r="C229" i="8"/>
  <c r="C201" i="5"/>
  <c r="C349" i="9"/>
  <c r="C272" i="9"/>
  <c r="C232" i="8"/>
  <c r="C77" i="9"/>
  <c r="C53" i="8"/>
  <c r="C223" i="9"/>
  <c r="C32" i="4"/>
  <c r="C129" i="8"/>
  <c r="C16" i="4"/>
  <c r="C136" i="8"/>
  <c r="C132" i="8"/>
  <c r="C135" i="8"/>
  <c r="C144" i="4"/>
  <c r="C30" i="22"/>
  <c r="C193" i="8"/>
  <c r="C311" i="9"/>
  <c r="C187" i="4"/>
  <c r="C149" i="9"/>
  <c r="G43" i="22"/>
  <c r="C288" i="9"/>
  <c r="C28" i="22"/>
  <c r="C8" i="8"/>
  <c r="C37" i="8"/>
  <c r="C153" i="4"/>
  <c r="C78" i="8"/>
  <c r="C236" i="5"/>
  <c r="C150" i="5"/>
  <c r="C88" i="8"/>
  <c r="C112" i="4"/>
  <c r="C188" i="5"/>
  <c r="C273" i="9"/>
  <c r="C40" i="4"/>
  <c r="C16" i="9"/>
  <c r="C44" i="4"/>
  <c r="C214" i="5"/>
  <c r="C319" i="9"/>
  <c r="C227" i="9"/>
  <c r="C274" i="8"/>
  <c r="C19" i="8"/>
  <c r="C46" i="9"/>
  <c r="C160" i="9"/>
  <c r="G19" i="22"/>
  <c r="C91" i="4"/>
  <c r="C345" i="8"/>
  <c r="C152" i="5"/>
  <c r="C104" i="8"/>
  <c r="C165" i="4"/>
  <c r="C69" i="8"/>
  <c r="C316" i="9"/>
  <c r="C349" i="8"/>
  <c r="C343" i="9"/>
  <c r="C148" i="8"/>
  <c r="C124" i="9"/>
  <c r="C90" i="8"/>
  <c r="C327" i="9"/>
  <c r="C14" i="8"/>
  <c r="C306" i="9"/>
  <c r="C9" i="9"/>
  <c r="C147" i="5"/>
  <c r="C175" i="8"/>
  <c r="C120" i="9"/>
  <c r="C10" i="4"/>
  <c r="C314" i="9"/>
  <c r="C97" i="5"/>
  <c r="C44" i="9"/>
  <c r="C20" i="5"/>
  <c r="C297" i="9"/>
  <c r="C22" i="5"/>
  <c r="C228" i="9"/>
  <c r="C65" i="8"/>
  <c r="C191" i="9"/>
  <c r="C180" i="4"/>
  <c r="C41" i="9"/>
  <c r="C286" i="8"/>
  <c r="C34" i="9"/>
  <c r="C72" i="4"/>
  <c r="C103" i="8"/>
  <c r="C276" i="8"/>
  <c r="C93" i="4"/>
  <c r="C8" i="22"/>
  <c r="C52" i="9"/>
  <c r="C292" i="8"/>
  <c r="C350" i="9"/>
  <c r="C13" i="5"/>
  <c r="C147" i="9"/>
  <c r="C323" i="8"/>
  <c r="C217" i="9"/>
  <c r="C175" i="5"/>
  <c r="C290" i="9"/>
  <c r="C102" i="8"/>
  <c r="C199" i="4"/>
  <c r="C80" i="8"/>
  <c r="C134" i="9"/>
  <c r="C198" i="8"/>
  <c r="C61" i="9"/>
  <c r="C148" i="5"/>
  <c r="C129" i="4"/>
  <c r="C200" i="4"/>
  <c r="C35" i="5"/>
  <c r="C97" i="8"/>
  <c r="C246" i="5"/>
  <c r="C187" i="8"/>
  <c r="C339" i="8"/>
  <c r="C89" i="8"/>
  <c r="C37" i="9"/>
  <c r="C35" i="9"/>
  <c r="C251" i="9"/>
  <c r="C356" i="8"/>
  <c r="C368" i="9"/>
  <c r="C84" i="4"/>
  <c r="C181" i="5"/>
  <c r="C140" i="8"/>
  <c r="C30" i="5"/>
  <c r="C261" i="8"/>
  <c r="C161" i="5"/>
  <c r="C64" i="5"/>
  <c r="C147" i="4"/>
  <c r="C46" i="22"/>
  <c r="C49" i="5"/>
  <c r="C9" i="2"/>
  <c r="C68" i="9"/>
  <c r="C133" i="5"/>
  <c r="G21" i="22"/>
  <c r="C256" i="9"/>
  <c r="C73" i="4"/>
  <c r="C31" i="22"/>
  <c r="C273" i="8"/>
  <c r="C317" i="8"/>
  <c r="C125" i="8"/>
  <c r="C27" i="4"/>
  <c r="C19" i="22"/>
  <c r="C162" i="8"/>
  <c r="C130" i="5"/>
  <c r="C17" i="8"/>
  <c r="C262" i="9"/>
  <c r="C45" i="5"/>
  <c r="C67" i="5"/>
  <c r="C18" i="4"/>
  <c r="C167" i="8"/>
  <c r="C54" i="8"/>
  <c r="C8" i="5"/>
  <c r="C295" i="8"/>
  <c r="C347" i="9"/>
  <c r="C107" i="5"/>
  <c r="C244" i="9"/>
  <c r="G11" i="22"/>
  <c r="C10" i="9"/>
  <c r="C203" i="5"/>
  <c r="C130" i="9"/>
  <c r="C117" i="4"/>
  <c r="C69" i="9"/>
  <c r="C47" i="9"/>
  <c r="C209" i="9"/>
  <c r="C110" i="9"/>
  <c r="C282" i="8"/>
  <c r="C144" i="9"/>
  <c r="C167" i="9"/>
  <c r="C17" i="5"/>
  <c r="C283" i="9"/>
  <c r="C194" i="4"/>
  <c r="C32" i="5"/>
  <c r="C295" i="9"/>
  <c r="C234" i="9"/>
  <c r="C257" i="8"/>
  <c r="C47" i="8"/>
  <c r="C277" i="8"/>
  <c r="C50" i="4"/>
  <c r="C146" i="4"/>
  <c r="C13" i="8"/>
  <c r="C10" i="8"/>
  <c r="C151" i="9"/>
  <c r="C11" i="8"/>
  <c r="C92" i="8"/>
  <c r="C123" i="8"/>
  <c r="C248" i="8"/>
  <c r="C89" i="4"/>
  <c r="C26" i="22"/>
  <c r="G12" i="22"/>
  <c r="C268" i="9"/>
  <c r="C181" i="4"/>
  <c r="C189" i="4"/>
  <c r="C217" i="5"/>
  <c r="G47" i="22"/>
  <c r="C230" i="5"/>
  <c r="C69" i="4"/>
  <c r="C250" i="9"/>
  <c r="C118" i="4"/>
  <c r="C236" i="8"/>
  <c r="C261" i="5"/>
  <c r="C382" i="9"/>
  <c r="G22" i="22"/>
  <c r="C137" i="4"/>
  <c r="C184" i="9"/>
  <c r="C210" i="9"/>
  <c r="C162" i="9"/>
  <c r="C96" i="8"/>
  <c r="C202" i="4"/>
  <c r="C31" i="5"/>
  <c r="C227" i="5"/>
  <c r="C316" i="8"/>
  <c r="C352" i="9"/>
  <c r="C211" i="9"/>
  <c r="C371" i="9"/>
  <c r="C339" i="9"/>
  <c r="C55" i="9"/>
  <c r="C309" i="8"/>
  <c r="C60" i="8"/>
  <c r="C300" i="9"/>
  <c r="C310" i="8"/>
  <c r="C346" i="8"/>
  <c r="C174" i="8"/>
  <c r="C346" i="9"/>
  <c r="C342" i="8"/>
  <c r="C54" i="9"/>
  <c r="C194" i="8"/>
  <c r="G27" i="22"/>
  <c r="C224" i="5"/>
  <c r="C314" i="8"/>
  <c r="C57" i="8"/>
  <c r="C264" i="8"/>
  <c r="C112" i="5"/>
  <c r="C14" i="22"/>
  <c r="C135" i="4"/>
  <c r="C56" i="9"/>
  <c r="C59" i="8"/>
  <c r="C173" i="5"/>
  <c r="C318" i="8"/>
  <c r="G40" i="22"/>
  <c r="C143" i="5"/>
  <c r="C128" i="9"/>
  <c r="C151" i="8"/>
  <c r="C52" i="5"/>
  <c r="C66" i="4"/>
  <c r="C62" i="5"/>
  <c r="C85" i="8"/>
  <c r="C338" i="8"/>
  <c r="C213" i="9"/>
  <c r="C182" i="5"/>
  <c r="C379" i="9"/>
  <c r="G24" i="22"/>
  <c r="C168" i="8"/>
  <c r="C63" i="8"/>
  <c r="C215" i="8"/>
  <c r="C247" i="9"/>
  <c r="C183" i="9"/>
  <c r="C291" i="9"/>
  <c r="C17" i="9"/>
  <c r="C70" i="4"/>
  <c r="C160" i="4"/>
  <c r="C30" i="4"/>
  <c r="C168" i="5"/>
  <c r="C80" i="4"/>
  <c r="C100" i="4"/>
  <c r="C298" i="9"/>
  <c r="C166" i="8"/>
  <c r="G8" i="22"/>
  <c r="G36" i="22"/>
  <c r="C321" i="8"/>
  <c r="C186" i="8"/>
  <c r="C380" i="9"/>
  <c r="C208" i="9"/>
  <c r="C101" i="4"/>
  <c r="C72" i="9"/>
  <c r="C199" i="5"/>
  <c r="G52" i="22"/>
  <c r="C42" i="9"/>
  <c r="C99" i="5"/>
  <c r="C101" i="5"/>
  <c r="C105" i="5"/>
  <c r="C173" i="4"/>
  <c r="C315" i="9"/>
  <c r="C113" i="9"/>
  <c r="C276" i="9"/>
  <c r="C117" i="9"/>
  <c r="C165" i="8"/>
  <c r="C237" i="8"/>
  <c r="C138" i="8"/>
  <c r="C140" i="5"/>
  <c r="C41" i="5"/>
  <c r="C76" i="9"/>
  <c r="C200" i="5"/>
  <c r="C176" i="9"/>
  <c r="C90" i="9"/>
  <c r="C220" i="5"/>
  <c r="C359" i="9"/>
  <c r="C269" i="9"/>
  <c r="C57" i="4"/>
  <c r="C251" i="8"/>
  <c r="C140" i="9"/>
  <c r="C59" i="9"/>
  <c r="C159" i="9"/>
  <c r="C310" i="9"/>
  <c r="C289" i="9"/>
  <c r="C242" i="8"/>
  <c r="C109" i="5"/>
  <c r="C51" i="8"/>
  <c r="C75" i="4"/>
  <c r="C77" i="4"/>
  <c r="C358" i="8"/>
  <c r="C222" i="8"/>
  <c r="C71" i="9"/>
  <c r="C190" i="4"/>
  <c r="C58" i="5"/>
  <c r="C137" i="9"/>
  <c r="C318" i="9"/>
  <c r="C157" i="9"/>
  <c r="C293" i="8"/>
  <c r="C222" i="9"/>
  <c r="C311" i="8"/>
  <c r="G16" i="22"/>
  <c r="C192" i="8"/>
  <c r="C224" i="8"/>
  <c r="C79" i="9"/>
  <c r="C347" i="8"/>
  <c r="C24" i="4"/>
  <c r="C209" i="5"/>
  <c r="C169" i="8"/>
  <c r="C157" i="5"/>
  <c r="C213" i="8"/>
  <c r="C299" i="8"/>
  <c r="C149" i="5"/>
  <c r="C335" i="8"/>
  <c r="C205" i="5"/>
  <c r="C336" i="8"/>
  <c r="C193" i="4"/>
  <c r="C376" i="9"/>
  <c r="C189" i="5"/>
  <c r="C333" i="8"/>
  <c r="C243" i="8"/>
  <c r="C50" i="8"/>
  <c r="C340" i="9"/>
  <c r="C301" i="9"/>
  <c r="C163" i="9"/>
  <c r="C60" i="9"/>
  <c r="C139" i="8"/>
  <c r="C186" i="4"/>
  <c r="C244" i="5"/>
  <c r="C253" i="9"/>
  <c r="C293" i="9"/>
  <c r="C43" i="8"/>
  <c r="C107" i="4"/>
  <c r="C250" i="5"/>
  <c r="C51" i="5"/>
  <c r="C212" i="9"/>
  <c r="C156" i="9"/>
  <c r="C76" i="4"/>
  <c r="C66" i="8"/>
  <c r="C171" i="4"/>
  <c r="C354" i="8"/>
  <c r="C275" i="8"/>
  <c r="C41" i="22"/>
  <c r="C122" i="9"/>
  <c r="C116" i="5"/>
  <c r="C315" i="8"/>
  <c r="C320" i="9"/>
  <c r="G41" i="22"/>
  <c r="C29" i="22"/>
  <c r="C180" i="9"/>
  <c r="C45" i="8"/>
  <c r="C154" i="9"/>
  <c r="C38" i="5"/>
  <c r="C233" i="5"/>
  <c r="C155" i="5"/>
  <c r="C24" i="9"/>
  <c r="C100" i="9"/>
  <c r="C238" i="5"/>
  <c r="C208" i="5"/>
  <c r="C366" i="8"/>
  <c r="C195" i="4"/>
  <c r="C27" i="9"/>
  <c r="C26" i="4"/>
  <c r="C50" i="9"/>
  <c r="C142" i="9"/>
  <c r="C357" i="9"/>
  <c r="C40" i="8"/>
  <c r="C279" i="8"/>
  <c r="G39" i="22"/>
  <c r="C12" i="22"/>
  <c r="C124" i="5"/>
  <c r="C128" i="5"/>
  <c r="C140" i="4"/>
  <c r="C241" i="8"/>
  <c r="C361" i="8"/>
  <c r="G37" i="22"/>
  <c r="C123" i="4"/>
  <c r="C359" i="8"/>
  <c r="C85" i="4"/>
  <c r="C98" i="8"/>
  <c r="C336" i="9"/>
  <c r="C206" i="4"/>
  <c r="C170" i="5"/>
  <c r="C183" i="5"/>
  <c r="C88" i="9"/>
  <c r="C249" i="9"/>
  <c r="C88" i="4"/>
  <c r="C264" i="9"/>
  <c r="C12" i="2"/>
  <c r="C242" i="9"/>
  <c r="C195" i="9"/>
  <c r="C11" i="4"/>
  <c r="C70" i="5" l="1"/>
  <c r="C265" i="5"/>
  <c r="D11" i="4"/>
  <c r="L11" i="4" s="1"/>
  <c r="J11" i="4"/>
  <c r="I195" i="9"/>
  <c r="J195" i="9" s="1"/>
  <c r="E195" i="9"/>
  <c r="H195" i="9"/>
  <c r="I242" i="9"/>
  <c r="J242" i="9" s="1"/>
  <c r="E242" i="9"/>
  <c r="H242" i="9"/>
  <c r="C44" i="2"/>
  <c r="E44" i="2" s="1"/>
  <c r="C49" i="2"/>
  <c r="C36" i="19" s="1"/>
  <c r="G35" i="12" s="1"/>
  <c r="AH35" i="12" s="1"/>
  <c r="E12" i="2"/>
  <c r="F44" i="20" s="1"/>
  <c r="C30" i="19"/>
  <c r="F30" i="19" s="1"/>
  <c r="I264" i="9"/>
  <c r="J264" i="9" s="1"/>
  <c r="E264" i="9"/>
  <c r="F264" i="9" s="1"/>
  <c r="H264" i="9"/>
  <c r="J88" i="4"/>
  <c r="D88" i="4"/>
  <c r="L88" i="4" s="1"/>
  <c r="I249" i="9"/>
  <c r="J249" i="9" s="1"/>
  <c r="H249" i="9"/>
  <c r="E249" i="9"/>
  <c r="I88" i="9"/>
  <c r="J88" i="9" s="1"/>
  <c r="E88" i="9"/>
  <c r="H88" i="9"/>
  <c r="D183" i="5"/>
  <c r="O183" i="5" s="1"/>
  <c r="D170" i="5"/>
  <c r="O170" i="5" s="1"/>
  <c r="D206" i="4"/>
  <c r="L206" i="4" s="1"/>
  <c r="J206" i="4"/>
  <c r="I336" i="9"/>
  <c r="J336" i="9" s="1"/>
  <c r="M424" i="30"/>
  <c r="E336" i="9"/>
  <c r="H336" i="9"/>
  <c r="J98" i="8"/>
  <c r="K98" i="8" s="1"/>
  <c r="E98" i="8"/>
  <c r="J85" i="4"/>
  <c r="D85" i="4"/>
  <c r="L85" i="4" s="1"/>
  <c r="J359" i="8"/>
  <c r="K359" i="8" s="1"/>
  <c r="E359" i="8"/>
  <c r="F359" i="8" s="1"/>
  <c r="J123" i="4"/>
  <c r="D123" i="4"/>
  <c r="L123" i="4" s="1"/>
  <c r="J37" i="22"/>
  <c r="I37" i="22"/>
  <c r="J361" i="8"/>
  <c r="K361" i="8" s="1"/>
  <c r="E361" i="8"/>
  <c r="G361" i="8" s="1"/>
  <c r="J241" i="8"/>
  <c r="K241" i="8" s="1"/>
  <c r="E241" i="8"/>
  <c r="I241" i="8" s="1"/>
  <c r="J140" i="4"/>
  <c r="D140" i="4"/>
  <c r="L140" i="4" s="1"/>
  <c r="N294" i="30"/>
  <c r="D128" i="5"/>
  <c r="D124" i="5"/>
  <c r="O124" i="5" s="1"/>
  <c r="F12" i="22"/>
  <c r="E12" i="22"/>
  <c r="J39" i="22"/>
  <c r="I39" i="22"/>
  <c r="J279" i="8"/>
  <c r="K279" i="8" s="1"/>
  <c r="E279" i="8"/>
  <c r="I279" i="8" s="1"/>
  <c r="J40" i="8"/>
  <c r="K40" i="8" s="1"/>
  <c r="E40" i="8"/>
  <c r="H40" i="8" s="1"/>
  <c r="I357" i="9"/>
  <c r="J357" i="9" s="1"/>
  <c r="H357" i="9"/>
  <c r="E357" i="9"/>
  <c r="F357" i="9" s="1"/>
  <c r="I142" i="9"/>
  <c r="J142" i="9" s="1"/>
  <c r="E142" i="9"/>
  <c r="H142" i="9"/>
  <c r="I50" i="9"/>
  <c r="J50" i="9" s="1"/>
  <c r="E50" i="9"/>
  <c r="H50" i="9"/>
  <c r="D26" i="4"/>
  <c r="L26" i="4" s="1"/>
  <c r="J26" i="4"/>
  <c r="I27" i="9"/>
  <c r="J27" i="9" s="1"/>
  <c r="E27" i="9"/>
  <c r="H27" i="9"/>
  <c r="J195" i="4"/>
  <c r="D195" i="4"/>
  <c r="L195" i="4" s="1"/>
  <c r="J366" i="8"/>
  <c r="K366" i="8" s="1"/>
  <c r="N430" i="30"/>
  <c r="E366" i="8"/>
  <c r="G366" i="8" s="1"/>
  <c r="D208" i="5"/>
  <c r="O208" i="5" s="1"/>
  <c r="D238" i="5"/>
  <c r="O238" i="5" s="1"/>
  <c r="I100" i="9"/>
  <c r="J100" i="9" s="1"/>
  <c r="E100" i="9"/>
  <c r="F100" i="9" s="1"/>
  <c r="H100" i="9"/>
  <c r="I24" i="9"/>
  <c r="J24" i="9" s="1"/>
  <c r="E24" i="9"/>
  <c r="H24" i="9"/>
  <c r="D155" i="5"/>
  <c r="O155" i="5" s="1"/>
  <c r="D233" i="5"/>
  <c r="O233" i="5" s="1"/>
  <c r="D38" i="5"/>
  <c r="O38" i="5" s="1"/>
  <c r="I154" i="9"/>
  <c r="J154" i="9" s="1"/>
  <c r="E154" i="9"/>
  <c r="H154" i="9"/>
  <c r="J45" i="8"/>
  <c r="K45" i="8" s="1"/>
  <c r="E45" i="8"/>
  <c r="I180" i="9"/>
  <c r="J180" i="9" s="1"/>
  <c r="E180" i="9"/>
  <c r="H180" i="9"/>
  <c r="F29" i="22"/>
  <c r="E29" i="22"/>
  <c r="J41" i="22"/>
  <c r="I41" i="22"/>
  <c r="I320" i="9"/>
  <c r="J320" i="9" s="1"/>
  <c r="H320" i="9"/>
  <c r="E320" i="9"/>
  <c r="F320" i="9" s="1"/>
  <c r="J315" i="8"/>
  <c r="K315" i="8" s="1"/>
  <c r="E315" i="8"/>
  <c r="D116" i="5"/>
  <c r="O116" i="5" s="1"/>
  <c r="I122" i="9"/>
  <c r="J122" i="9" s="1"/>
  <c r="M371" i="30"/>
  <c r="E122" i="9"/>
  <c r="H122" i="9"/>
  <c r="F41" i="22"/>
  <c r="E41" i="22"/>
  <c r="J275" i="8"/>
  <c r="K275" i="8" s="1"/>
  <c r="E275" i="8"/>
  <c r="I275" i="8" s="1"/>
  <c r="J354" i="8"/>
  <c r="K354" i="8" s="1"/>
  <c r="N431" i="30"/>
  <c r="E354" i="8"/>
  <c r="F354" i="8" s="1"/>
  <c r="M333" i="30"/>
  <c r="J171" i="4"/>
  <c r="D171" i="4"/>
  <c r="L171" i="4" s="1"/>
  <c r="J66" i="8"/>
  <c r="K66" i="8" s="1"/>
  <c r="E66" i="8"/>
  <c r="F66" i="8" s="1"/>
  <c r="J76" i="4"/>
  <c r="D76" i="4"/>
  <c r="L76" i="4" s="1"/>
  <c r="I156" i="9"/>
  <c r="J156" i="9" s="1"/>
  <c r="H156" i="9"/>
  <c r="E156" i="9"/>
  <c r="I212" i="9"/>
  <c r="J212" i="9" s="1"/>
  <c r="E212" i="9"/>
  <c r="F212" i="9" s="1"/>
  <c r="H212" i="9"/>
  <c r="D51" i="5"/>
  <c r="O51" i="5" s="1"/>
  <c r="D250" i="5"/>
  <c r="O250" i="5" s="1"/>
  <c r="J107" i="4"/>
  <c r="D107" i="4"/>
  <c r="L107" i="4" s="1"/>
  <c r="J43" i="8"/>
  <c r="K43" i="8" s="1"/>
  <c r="E43" i="8"/>
  <c r="I293" i="9"/>
  <c r="J293" i="9" s="1"/>
  <c r="E293" i="9"/>
  <c r="H293" i="9"/>
  <c r="I253" i="9"/>
  <c r="J253" i="9" s="1"/>
  <c r="E253" i="9"/>
  <c r="H253" i="9"/>
  <c r="D244" i="5"/>
  <c r="O244" i="5" s="1"/>
  <c r="J186" i="4"/>
  <c r="D186" i="4"/>
  <c r="L186" i="4" s="1"/>
  <c r="J139" i="8"/>
  <c r="K139" i="8" s="1"/>
  <c r="E139" i="8"/>
  <c r="F139" i="8" s="1"/>
  <c r="I60" i="9"/>
  <c r="J60" i="9" s="1"/>
  <c r="H60" i="9"/>
  <c r="E60" i="9"/>
  <c r="F60" i="9" s="1"/>
  <c r="I163" i="9"/>
  <c r="J163" i="9" s="1"/>
  <c r="H163" i="9"/>
  <c r="E163" i="9"/>
  <c r="F163" i="9" s="1"/>
  <c r="I301" i="9"/>
  <c r="J301" i="9" s="1"/>
  <c r="E301" i="9"/>
  <c r="H301" i="9"/>
  <c r="I340" i="9"/>
  <c r="J340" i="9" s="1"/>
  <c r="H340" i="9"/>
  <c r="E340" i="9"/>
  <c r="J50" i="8"/>
  <c r="K50" i="8" s="1"/>
  <c r="E50" i="8"/>
  <c r="J243" i="8"/>
  <c r="K243" i="8" s="1"/>
  <c r="N407" i="30"/>
  <c r="E243" i="8"/>
  <c r="F243" i="8" s="1"/>
  <c r="J333" i="8"/>
  <c r="K333" i="8" s="1"/>
  <c r="E333" i="8"/>
  <c r="F333" i="8" s="1"/>
  <c r="D189" i="5"/>
  <c r="O189" i="5" s="1"/>
  <c r="I376" i="9"/>
  <c r="J376" i="9" s="1"/>
  <c r="H376" i="9"/>
  <c r="E376" i="9"/>
  <c r="J193" i="4"/>
  <c r="D193" i="4"/>
  <c r="L193" i="4" s="1"/>
  <c r="J336" i="8"/>
  <c r="K336" i="8" s="1"/>
  <c r="E336" i="8"/>
  <c r="F336" i="8" s="1"/>
  <c r="D205" i="5"/>
  <c r="O205" i="5" s="1"/>
  <c r="J335" i="8"/>
  <c r="K335" i="8" s="1"/>
  <c r="E335" i="8"/>
  <c r="G335" i="8" s="1"/>
  <c r="D149" i="5"/>
  <c r="O149" i="5" s="1"/>
  <c r="J299" i="8"/>
  <c r="K299" i="8" s="1"/>
  <c r="E299" i="8"/>
  <c r="J213" i="8"/>
  <c r="K213" i="8" s="1"/>
  <c r="E213" i="8"/>
  <c r="I213" i="8" s="1"/>
  <c r="D157" i="5"/>
  <c r="O157" i="5" s="1"/>
  <c r="J169" i="8"/>
  <c r="K169" i="8" s="1"/>
  <c r="N383" i="30"/>
  <c r="E169" i="8"/>
  <c r="G169" i="8" s="1"/>
  <c r="D209" i="5"/>
  <c r="O209" i="5" s="1"/>
  <c r="J24" i="4"/>
  <c r="D24" i="4"/>
  <c r="L24" i="4" s="1"/>
  <c r="J347" i="8"/>
  <c r="K347" i="8" s="1"/>
  <c r="N423" i="30"/>
  <c r="I79" i="9"/>
  <c r="J79" i="9" s="1"/>
  <c r="H79" i="9"/>
  <c r="E79" i="9"/>
  <c r="J224" i="8"/>
  <c r="K224" i="8" s="1"/>
  <c r="E224" i="8"/>
  <c r="I224" i="8" s="1"/>
  <c r="J192" i="8"/>
  <c r="K192" i="8" s="1"/>
  <c r="E192" i="8"/>
  <c r="F192" i="8" s="1"/>
  <c r="J16" i="22"/>
  <c r="I16" i="22"/>
  <c r="J311" i="8"/>
  <c r="K311" i="8" s="1"/>
  <c r="E311" i="8"/>
  <c r="G311" i="8" s="1"/>
  <c r="I222" i="9"/>
  <c r="J222" i="9" s="1"/>
  <c r="E222" i="9"/>
  <c r="H222" i="9"/>
  <c r="J293" i="8"/>
  <c r="K293" i="8" s="1"/>
  <c r="E293" i="8"/>
  <c r="I157" i="9"/>
  <c r="J157" i="9" s="1"/>
  <c r="M382" i="30"/>
  <c r="E157" i="9"/>
  <c r="F157" i="9" s="1"/>
  <c r="H157" i="9"/>
  <c r="I318" i="9"/>
  <c r="J318" i="9" s="1"/>
  <c r="E318" i="9"/>
  <c r="F318" i="9" s="1"/>
  <c r="H318" i="9"/>
  <c r="I137" i="9"/>
  <c r="J137" i="9" s="1"/>
  <c r="E137" i="9"/>
  <c r="M376" i="30"/>
  <c r="H137" i="9"/>
  <c r="D58" i="5"/>
  <c r="O58" i="5" s="1"/>
  <c r="D190" i="4"/>
  <c r="L190" i="4" s="1"/>
  <c r="J190" i="4"/>
  <c r="I71" i="9"/>
  <c r="J71" i="9" s="1"/>
  <c r="H71" i="9"/>
  <c r="E71" i="9"/>
  <c r="F71" i="9" s="1"/>
  <c r="J222" i="8"/>
  <c r="K222" i="8" s="1"/>
  <c r="E222" i="8"/>
  <c r="I222" i="8" s="1"/>
  <c r="J358" i="8"/>
  <c r="K358" i="8" s="1"/>
  <c r="N427" i="30"/>
  <c r="E358" i="8"/>
  <c r="F358" i="8" s="1"/>
  <c r="J77" i="4"/>
  <c r="D77" i="4"/>
  <c r="L77" i="4" s="1"/>
  <c r="D75" i="4"/>
  <c r="L75" i="4" s="1"/>
  <c r="J75" i="4"/>
  <c r="J51" i="8"/>
  <c r="K51" i="8" s="1"/>
  <c r="E51" i="8"/>
  <c r="D109" i="5"/>
  <c r="O109" i="5" s="1"/>
  <c r="J242" i="8"/>
  <c r="K242" i="8" s="1"/>
  <c r="N406" i="30"/>
  <c r="E242" i="8"/>
  <c r="I242" i="8" s="1"/>
  <c r="I289" i="9"/>
  <c r="J289" i="9" s="1"/>
  <c r="H289" i="9"/>
  <c r="E289" i="9"/>
  <c r="I310" i="9"/>
  <c r="J310" i="9" s="1"/>
  <c r="M419" i="30"/>
  <c r="E310" i="9"/>
  <c r="H310" i="9"/>
  <c r="I159" i="9"/>
  <c r="J159" i="9" s="1"/>
  <c r="H159" i="9"/>
  <c r="E159" i="9"/>
  <c r="I59" i="9"/>
  <c r="J59" i="9" s="1"/>
  <c r="H59" i="9"/>
  <c r="E59" i="9"/>
  <c r="F59" i="9" s="1"/>
  <c r="I140" i="9"/>
  <c r="J140" i="9" s="1"/>
  <c r="E140" i="9"/>
  <c r="H140" i="9"/>
  <c r="J251" i="8"/>
  <c r="K251" i="8" s="1"/>
  <c r="E251" i="8"/>
  <c r="I251" i="8" s="1"/>
  <c r="C208" i="4"/>
  <c r="D57" i="4"/>
  <c r="L57" i="4" s="1"/>
  <c r="J57" i="4"/>
  <c r="I269" i="9"/>
  <c r="J269" i="9" s="1"/>
  <c r="H269" i="9"/>
  <c r="E269" i="9"/>
  <c r="F269" i="9" s="1"/>
  <c r="I359" i="9"/>
  <c r="J359" i="9" s="1"/>
  <c r="E359" i="9"/>
  <c r="F359" i="9" s="1"/>
  <c r="H359" i="9"/>
  <c r="D220" i="5"/>
  <c r="O220" i="5" s="1"/>
  <c r="I90" i="9"/>
  <c r="J90" i="9" s="1"/>
  <c r="E90" i="9"/>
  <c r="H90" i="9"/>
  <c r="I176" i="9"/>
  <c r="J176" i="9" s="1"/>
  <c r="M389" i="30"/>
  <c r="E176" i="9"/>
  <c r="F176" i="9" s="1"/>
  <c r="H176" i="9"/>
  <c r="D200" i="5"/>
  <c r="O200" i="5" s="1"/>
  <c r="I76" i="9"/>
  <c r="J76" i="9" s="1"/>
  <c r="E76" i="9"/>
  <c r="H76" i="9"/>
  <c r="D41" i="5"/>
  <c r="O41" i="5" s="1"/>
  <c r="D140" i="5"/>
  <c r="J138" i="8"/>
  <c r="K138" i="8" s="1"/>
  <c r="N372" i="30"/>
  <c r="E138" i="8"/>
  <c r="G138" i="8" s="1"/>
  <c r="J237" i="8"/>
  <c r="K237" i="8" s="1"/>
  <c r="E237" i="8"/>
  <c r="I237" i="8" s="1"/>
  <c r="J165" i="8"/>
  <c r="K165" i="8" s="1"/>
  <c r="E165" i="8"/>
  <c r="F165" i="8" s="1"/>
  <c r="I117" i="9"/>
  <c r="J117" i="9" s="1"/>
  <c r="H117" i="9"/>
  <c r="E117" i="9"/>
  <c r="I276" i="9"/>
  <c r="J276" i="9" s="1"/>
  <c r="H276" i="9"/>
  <c r="E276" i="9"/>
  <c r="I113" i="9"/>
  <c r="J113" i="9" s="1"/>
  <c r="M368" i="30"/>
  <c r="E113" i="9"/>
  <c r="H113" i="9"/>
  <c r="I315" i="9"/>
  <c r="J315" i="9" s="1"/>
  <c r="M420" i="30"/>
  <c r="H315" i="9"/>
  <c r="E315" i="9"/>
  <c r="F315" i="9" s="1"/>
  <c r="D173" i="4"/>
  <c r="L173" i="4" s="1"/>
  <c r="M325" i="30"/>
  <c r="J173" i="4"/>
  <c r="D105" i="5"/>
  <c r="O105" i="5" s="1"/>
  <c r="D101" i="5"/>
  <c r="O101" i="5" s="1"/>
  <c r="D99" i="5"/>
  <c r="O99" i="5" s="1"/>
  <c r="I42" i="9"/>
  <c r="J42" i="9" s="1"/>
  <c r="H42" i="9"/>
  <c r="E42" i="9"/>
  <c r="F42" i="9" s="1"/>
  <c r="J52" i="22"/>
  <c r="I52" i="22"/>
  <c r="I199" i="5"/>
  <c r="D199" i="5"/>
  <c r="O199" i="5" s="1"/>
  <c r="I72" i="9"/>
  <c r="J72" i="9" s="1"/>
  <c r="H72" i="9"/>
  <c r="E72" i="9"/>
  <c r="F72" i="9" s="1"/>
  <c r="D101" i="4"/>
  <c r="L101" i="4" s="1"/>
  <c r="J101" i="4"/>
  <c r="I208" i="9"/>
  <c r="J208" i="9" s="1"/>
  <c r="E208" i="9"/>
  <c r="F208" i="9" s="1"/>
  <c r="H208" i="9"/>
  <c r="I380" i="9"/>
  <c r="J380" i="9" s="1"/>
  <c r="E380" i="9"/>
  <c r="F380" i="9" s="1"/>
  <c r="H380" i="9"/>
  <c r="J186" i="8"/>
  <c r="K186" i="8" s="1"/>
  <c r="N393" i="30"/>
  <c r="E186" i="8"/>
  <c r="H186" i="8" s="1"/>
  <c r="J321" i="8"/>
  <c r="K321" i="8" s="1"/>
  <c r="E321" i="8"/>
  <c r="G321" i="8" s="1"/>
  <c r="J36" i="22"/>
  <c r="I36" i="22"/>
  <c r="J8" i="22"/>
  <c r="I8" i="22"/>
  <c r="J166" i="8"/>
  <c r="K166" i="8" s="1"/>
  <c r="E166" i="8"/>
  <c r="F166" i="8" s="1"/>
  <c r="I298" i="9"/>
  <c r="J298" i="9" s="1"/>
  <c r="H298" i="9"/>
  <c r="E298" i="9"/>
  <c r="D100" i="4"/>
  <c r="L100" i="4" s="1"/>
  <c r="J100" i="4"/>
  <c r="J80" i="4"/>
  <c r="D80" i="4"/>
  <c r="L80" i="4" s="1"/>
  <c r="D168" i="5"/>
  <c r="O168" i="5" s="1"/>
  <c r="D30" i="4"/>
  <c r="L30" i="4" s="1"/>
  <c r="J30" i="4"/>
  <c r="J160" i="4"/>
  <c r="D160" i="4"/>
  <c r="L160" i="4" s="1"/>
  <c r="D70" i="4"/>
  <c r="L70" i="4" s="1"/>
  <c r="J70" i="4"/>
  <c r="I17" i="9"/>
  <c r="J17" i="9" s="1"/>
  <c r="H17" i="9"/>
  <c r="E17" i="9"/>
  <c r="I291" i="9"/>
  <c r="J291" i="9" s="1"/>
  <c r="E291" i="9"/>
  <c r="F291" i="9" s="1"/>
  <c r="H291" i="9"/>
  <c r="I183" i="9"/>
  <c r="J183" i="9" s="1"/>
  <c r="H183" i="9"/>
  <c r="E183" i="9"/>
  <c r="I247" i="9"/>
  <c r="J247" i="9" s="1"/>
  <c r="M408" i="30"/>
  <c r="H247" i="9"/>
  <c r="E247" i="9"/>
  <c r="J215" i="8"/>
  <c r="K215" i="8" s="1"/>
  <c r="E215" i="8"/>
  <c r="I215" i="8" s="1"/>
  <c r="J63" i="8"/>
  <c r="K63" i="8" s="1"/>
  <c r="E63" i="8"/>
  <c r="F63" i="8" s="1"/>
  <c r="J168" i="8"/>
  <c r="K168" i="8" s="1"/>
  <c r="E168" i="8"/>
  <c r="H168" i="8" s="1"/>
  <c r="I24" i="22"/>
  <c r="I379" i="9"/>
  <c r="J379" i="9" s="1"/>
  <c r="E379" i="9"/>
  <c r="H379" i="9"/>
  <c r="D182" i="5"/>
  <c r="O182" i="5" s="1"/>
  <c r="I213" i="9"/>
  <c r="J213" i="9" s="1"/>
  <c r="H213" i="9"/>
  <c r="E213" i="9"/>
  <c r="J338" i="8"/>
  <c r="K338" i="8" s="1"/>
  <c r="E338" i="8"/>
  <c r="G338" i="8" s="1"/>
  <c r="J85" i="8"/>
  <c r="K85" i="8" s="1"/>
  <c r="E85" i="8"/>
  <c r="F85" i="8" s="1"/>
  <c r="D62" i="5"/>
  <c r="O62" i="5" s="1"/>
  <c r="J66" i="4"/>
  <c r="D66" i="4"/>
  <c r="L66" i="4" s="1"/>
  <c r="D52" i="5"/>
  <c r="O52" i="5" s="1"/>
  <c r="J151" i="8"/>
  <c r="K151" i="8" s="1"/>
  <c r="E151" i="8"/>
  <c r="G151" i="8" s="1"/>
  <c r="I128" i="9"/>
  <c r="J128" i="9" s="1"/>
  <c r="M374" i="30"/>
  <c r="E128" i="9"/>
  <c r="H128" i="9"/>
  <c r="D143" i="5"/>
  <c r="O143" i="5" s="1"/>
  <c r="J40" i="22"/>
  <c r="I40" i="22"/>
  <c r="J318" i="8"/>
  <c r="K318" i="8" s="1"/>
  <c r="E318" i="8"/>
  <c r="G318" i="8" s="1"/>
  <c r="D173" i="5"/>
  <c r="O173" i="5" s="1"/>
  <c r="J59" i="8"/>
  <c r="K59" i="8" s="1"/>
  <c r="E59" i="8"/>
  <c r="F59" i="8" s="1"/>
  <c r="I56" i="9"/>
  <c r="J56" i="9" s="1"/>
  <c r="E56" i="9"/>
  <c r="F56" i="9" s="1"/>
  <c r="H56" i="9"/>
  <c r="J135" i="4"/>
  <c r="D135" i="4"/>
  <c r="L135" i="4" s="1"/>
  <c r="F14" i="22"/>
  <c r="E14" i="22"/>
  <c r="D112" i="5"/>
  <c r="O112" i="5" s="1"/>
  <c r="J264" i="8"/>
  <c r="K264" i="8" s="1"/>
  <c r="E264" i="8"/>
  <c r="I264" i="8" s="1"/>
  <c r="J57" i="8"/>
  <c r="K57" i="8" s="1"/>
  <c r="E57" i="8"/>
  <c r="F57" i="8" s="1"/>
  <c r="J314" i="8"/>
  <c r="K314" i="8" s="1"/>
  <c r="E314" i="8"/>
  <c r="D224" i="5"/>
  <c r="O224" i="5" s="1"/>
  <c r="J27" i="22"/>
  <c r="I27" i="22"/>
  <c r="J194" i="8"/>
  <c r="K194" i="8" s="1"/>
  <c r="N397" i="30"/>
  <c r="E194" i="8"/>
  <c r="F194" i="8" s="1"/>
  <c r="I54" i="9"/>
  <c r="J54" i="9" s="1"/>
  <c r="H54" i="9"/>
  <c r="E54" i="9"/>
  <c r="F54" i="9" s="1"/>
  <c r="J342" i="8"/>
  <c r="K342" i="8" s="1"/>
  <c r="E342" i="8"/>
  <c r="G342" i="8" s="1"/>
  <c r="I346" i="9"/>
  <c r="J346" i="9" s="1"/>
  <c r="H346" i="9"/>
  <c r="E346" i="9"/>
  <c r="F346" i="9" s="1"/>
  <c r="J174" i="8"/>
  <c r="K174" i="8" s="1"/>
  <c r="E174" i="8"/>
  <c r="H174" i="8" s="1"/>
  <c r="J346" i="8"/>
  <c r="K346" i="8" s="1"/>
  <c r="E346" i="8"/>
  <c r="G346" i="8" s="1"/>
  <c r="J310" i="8"/>
  <c r="K310" i="8" s="1"/>
  <c r="E310" i="8"/>
  <c r="G310" i="8" s="1"/>
  <c r="I300" i="9"/>
  <c r="J300" i="9" s="1"/>
  <c r="H300" i="9"/>
  <c r="E300" i="9"/>
  <c r="J60" i="8"/>
  <c r="K60" i="8" s="1"/>
  <c r="E60" i="8"/>
  <c r="F60" i="8" s="1"/>
  <c r="J309" i="8"/>
  <c r="K309" i="8" s="1"/>
  <c r="E309" i="8"/>
  <c r="G309" i="8" s="1"/>
  <c r="I55" i="9"/>
  <c r="J55" i="9" s="1"/>
  <c r="E55" i="9"/>
  <c r="F55" i="9" s="1"/>
  <c r="H55" i="9"/>
  <c r="I339" i="9"/>
  <c r="J339" i="9" s="1"/>
  <c r="H339" i="9"/>
  <c r="E339" i="9"/>
  <c r="I371" i="9"/>
  <c r="J371" i="9" s="1"/>
  <c r="E371" i="9"/>
  <c r="H371" i="9"/>
  <c r="I211" i="9"/>
  <c r="J211" i="9" s="1"/>
  <c r="E211" i="9"/>
  <c r="F211" i="9" s="1"/>
  <c r="H211" i="9"/>
  <c r="I352" i="9"/>
  <c r="J352" i="9" s="1"/>
  <c r="E352" i="9"/>
  <c r="F352" i="9" s="1"/>
  <c r="H352" i="9"/>
  <c r="J316" i="8"/>
  <c r="K316" i="8" s="1"/>
  <c r="E316" i="8"/>
  <c r="G316" i="8" s="1"/>
  <c r="D227" i="5"/>
  <c r="O227" i="5" s="1"/>
  <c r="D31" i="5"/>
  <c r="O31" i="5" s="1"/>
  <c r="J202" i="4"/>
  <c r="D202" i="4"/>
  <c r="L202" i="4" s="1"/>
  <c r="J96" i="8"/>
  <c r="K96" i="8" s="1"/>
  <c r="E96" i="8"/>
  <c r="I162" i="9"/>
  <c r="J162" i="9" s="1"/>
  <c r="H162" i="9"/>
  <c r="E162" i="9"/>
  <c r="F162" i="9" s="1"/>
  <c r="I210" i="9"/>
  <c r="J210" i="9" s="1"/>
  <c r="H210" i="9"/>
  <c r="E210" i="9"/>
  <c r="I184" i="9"/>
  <c r="J184" i="9" s="1"/>
  <c r="M395" i="30"/>
  <c r="E184" i="9"/>
  <c r="H184" i="9"/>
  <c r="D137" i="4"/>
  <c r="L137" i="4" s="1"/>
  <c r="J137" i="4"/>
  <c r="J22" i="22"/>
  <c r="I22" i="22"/>
  <c r="I382" i="9"/>
  <c r="J382" i="9" s="1"/>
  <c r="E382" i="9"/>
  <c r="H382" i="9"/>
  <c r="J236" i="8"/>
  <c r="K236" i="8" s="1"/>
  <c r="E236" i="8"/>
  <c r="I236" i="8" s="1"/>
  <c r="M324" i="30"/>
  <c r="D118" i="4"/>
  <c r="L118" i="4" s="1"/>
  <c r="I250" i="9"/>
  <c r="J250" i="9" s="1"/>
  <c r="H250" i="9"/>
  <c r="E250" i="9"/>
  <c r="M334" i="30"/>
  <c r="J69" i="4"/>
  <c r="D69" i="4"/>
  <c r="L69" i="4" s="1"/>
  <c r="D230" i="5"/>
  <c r="O230" i="5" s="1"/>
  <c r="J47" i="22"/>
  <c r="I47" i="22"/>
  <c r="D217" i="5"/>
  <c r="O217" i="5" s="1"/>
  <c r="I217" i="5"/>
  <c r="J189" i="4"/>
  <c r="D189" i="4"/>
  <c r="L189" i="4" s="1"/>
  <c r="D181" i="4"/>
  <c r="L181" i="4" s="1"/>
  <c r="J181" i="4"/>
  <c r="I268" i="9"/>
  <c r="J268" i="9" s="1"/>
  <c r="E268" i="9"/>
  <c r="H268" i="9"/>
  <c r="J12" i="22"/>
  <c r="I12" i="22"/>
  <c r="F26" i="22"/>
  <c r="E26" i="22"/>
  <c r="J89" i="4"/>
  <c r="D89" i="4"/>
  <c r="L89" i="4" s="1"/>
  <c r="J248" i="8"/>
  <c r="K248" i="8" s="1"/>
  <c r="E248" i="8"/>
  <c r="I248" i="8" s="1"/>
  <c r="J123" i="8"/>
  <c r="K123" i="8" s="1"/>
  <c r="E123" i="8"/>
  <c r="G123" i="8" s="1"/>
  <c r="J92" i="8"/>
  <c r="K92" i="8" s="1"/>
  <c r="E92" i="8"/>
  <c r="J11" i="8"/>
  <c r="K11" i="8" s="1"/>
  <c r="E11" i="8"/>
  <c r="G11" i="8" s="1"/>
  <c r="I151" i="9"/>
  <c r="J151" i="9" s="1"/>
  <c r="E151" i="9"/>
  <c r="H151" i="9"/>
  <c r="J10" i="8"/>
  <c r="K10" i="8" s="1"/>
  <c r="E10" i="8"/>
  <c r="J13" i="8"/>
  <c r="K13" i="8" s="1"/>
  <c r="E13" i="8"/>
  <c r="H13" i="8" s="1"/>
  <c r="J146" i="4"/>
  <c r="D146" i="4"/>
  <c r="L146" i="4" s="1"/>
  <c r="J50" i="4"/>
  <c r="D50" i="4"/>
  <c r="L50" i="4" s="1"/>
  <c r="J277" i="8"/>
  <c r="K277" i="8" s="1"/>
  <c r="E277" i="8"/>
  <c r="I277" i="8" s="1"/>
  <c r="J47" i="8"/>
  <c r="K47" i="8" s="1"/>
  <c r="E47" i="8"/>
  <c r="J257" i="8"/>
  <c r="K257" i="8" s="1"/>
  <c r="N409" i="30"/>
  <c r="E257" i="8"/>
  <c r="I257" i="8" s="1"/>
  <c r="I234" i="9"/>
  <c r="J234" i="9" s="1"/>
  <c r="H234" i="9"/>
  <c r="E234" i="9"/>
  <c r="I295" i="9"/>
  <c r="J295" i="9" s="1"/>
  <c r="M417" i="30"/>
  <c r="H295" i="9"/>
  <c r="E295" i="9"/>
  <c r="D32" i="5"/>
  <c r="O32" i="5" s="1"/>
  <c r="D194" i="4"/>
  <c r="L194" i="4" s="1"/>
  <c r="J194" i="4"/>
  <c r="I283" i="9"/>
  <c r="J283" i="9" s="1"/>
  <c r="E283" i="9"/>
  <c r="H283" i="9"/>
  <c r="D17" i="5"/>
  <c r="I167" i="9"/>
  <c r="J167" i="9" s="1"/>
  <c r="M383" i="30"/>
  <c r="H167" i="9"/>
  <c r="E167" i="9"/>
  <c r="I144" i="9"/>
  <c r="J144" i="9" s="1"/>
  <c r="M378" i="30"/>
  <c r="E144" i="9"/>
  <c r="H144" i="9"/>
  <c r="J282" i="8"/>
  <c r="K282" i="8" s="1"/>
  <c r="E282" i="8"/>
  <c r="I110" i="9"/>
  <c r="J110" i="9" s="1"/>
  <c r="H110" i="9"/>
  <c r="E110" i="9"/>
  <c r="I209" i="9"/>
  <c r="J209" i="9" s="1"/>
  <c r="E209" i="9"/>
  <c r="F209" i="9" s="1"/>
  <c r="H209" i="9"/>
  <c r="I47" i="9"/>
  <c r="J47" i="9" s="1"/>
  <c r="E47" i="9"/>
  <c r="H47" i="9"/>
  <c r="I69" i="9"/>
  <c r="J69" i="9" s="1"/>
  <c r="E69" i="9"/>
  <c r="F69" i="9" s="1"/>
  <c r="H69" i="9"/>
  <c r="J117" i="4"/>
  <c r="D117" i="4"/>
  <c r="L117" i="4" s="1"/>
  <c r="I130" i="9"/>
  <c r="J130" i="9" s="1"/>
  <c r="E130" i="9"/>
  <c r="H130" i="9"/>
  <c r="D203" i="5"/>
  <c r="O203" i="5" s="1"/>
  <c r="I10" i="9"/>
  <c r="J10" i="9" s="1"/>
  <c r="E10" i="9"/>
  <c r="H10" i="9"/>
  <c r="J11" i="22"/>
  <c r="I11" i="22"/>
  <c r="I244" i="9"/>
  <c r="J244" i="9" s="1"/>
  <c r="M407" i="30"/>
  <c r="E244" i="9"/>
  <c r="H244" i="9"/>
  <c r="D107" i="5"/>
  <c r="O107" i="5" s="1"/>
  <c r="I347" i="9"/>
  <c r="J347" i="9" s="1"/>
  <c r="H347" i="9"/>
  <c r="E347" i="9"/>
  <c r="F347" i="9" s="1"/>
  <c r="J295" i="8"/>
  <c r="K295" i="8" s="1"/>
  <c r="E295" i="8"/>
  <c r="N295" i="30"/>
  <c r="D8" i="5"/>
  <c r="O8" i="5" s="1"/>
  <c r="J54" i="8"/>
  <c r="K54" i="8" s="1"/>
  <c r="E54" i="8"/>
  <c r="F54" i="8" s="1"/>
  <c r="J167" i="8"/>
  <c r="K167" i="8" s="1"/>
  <c r="E167" i="8"/>
  <c r="F167" i="8" s="1"/>
  <c r="J18" i="4"/>
  <c r="D18" i="4"/>
  <c r="L18" i="4" s="1"/>
  <c r="D45" i="5"/>
  <c r="O45" i="5" s="1"/>
  <c r="I262" i="9"/>
  <c r="J262" i="9" s="1"/>
  <c r="M412" i="30"/>
  <c r="E262" i="9"/>
  <c r="H262" i="9"/>
  <c r="J17" i="8"/>
  <c r="K17" i="8" s="1"/>
  <c r="E17" i="8"/>
  <c r="D130" i="5"/>
  <c r="O130" i="5" s="1"/>
  <c r="J162" i="8"/>
  <c r="K162" i="8" s="1"/>
  <c r="E162" i="8"/>
  <c r="G162" i="8" s="1"/>
  <c r="F19" i="22"/>
  <c r="E19" i="22"/>
  <c r="D27" i="4"/>
  <c r="L27" i="4" s="1"/>
  <c r="J27" i="4"/>
  <c r="J125" i="8"/>
  <c r="K125" i="8" s="1"/>
  <c r="E125" i="8"/>
  <c r="G125" i="8" s="1"/>
  <c r="J317" i="8"/>
  <c r="K317" i="8" s="1"/>
  <c r="N418" i="30"/>
  <c r="E317" i="8"/>
  <c r="G317" i="8" s="1"/>
  <c r="J273" i="8"/>
  <c r="K273" i="8" s="1"/>
  <c r="E273" i="8"/>
  <c r="I273" i="8" s="1"/>
  <c r="F31" i="22"/>
  <c r="E31" i="22"/>
  <c r="J73" i="4"/>
  <c r="D73" i="4"/>
  <c r="L73" i="4" s="1"/>
  <c r="I256" i="9"/>
  <c r="J256" i="9" s="1"/>
  <c r="H256" i="9"/>
  <c r="E256" i="9"/>
  <c r="J21" i="22"/>
  <c r="I21" i="22"/>
  <c r="D133" i="5"/>
  <c r="O133" i="5" s="1"/>
  <c r="I68" i="9"/>
  <c r="J68" i="9" s="1"/>
  <c r="H68" i="9"/>
  <c r="E68" i="9"/>
  <c r="F68" i="9" s="1"/>
  <c r="E9" i="2"/>
  <c r="G41" i="20" s="1"/>
  <c r="C41" i="2"/>
  <c r="E41" i="2" s="1"/>
  <c r="C11" i="19"/>
  <c r="G11" i="12" s="1"/>
  <c r="D49" i="5"/>
  <c r="O49" i="5" s="1"/>
  <c r="F46" i="22"/>
  <c r="E46" i="22"/>
  <c r="D147" i="4"/>
  <c r="L147" i="4" s="1"/>
  <c r="J147" i="4"/>
  <c r="D64" i="5"/>
  <c r="O64" i="5" s="1"/>
  <c r="N322" i="30"/>
  <c r="D161" i="5"/>
  <c r="O161" i="5" s="1"/>
  <c r="J261" i="8"/>
  <c r="K261" i="8" s="1"/>
  <c r="E261" i="8"/>
  <c r="I261" i="8" s="1"/>
  <c r="D30" i="5"/>
  <c r="O30" i="5" s="1"/>
  <c r="J140" i="8"/>
  <c r="K140" i="8" s="1"/>
  <c r="E140" i="8"/>
  <c r="G140" i="8" s="1"/>
  <c r="D181" i="5"/>
  <c r="O181" i="5" s="1"/>
  <c r="D84" i="4"/>
  <c r="L84" i="4" s="1"/>
  <c r="J84" i="4"/>
  <c r="I368" i="9"/>
  <c r="J368" i="9" s="1"/>
  <c r="H368" i="9"/>
  <c r="E368" i="9"/>
  <c r="J356" i="8"/>
  <c r="K356" i="8" s="1"/>
  <c r="E356" i="8"/>
  <c r="G356" i="8" s="1"/>
  <c r="I251" i="9"/>
  <c r="J251" i="9" s="1"/>
  <c r="E251" i="9"/>
  <c r="H251" i="9"/>
  <c r="I35" i="9"/>
  <c r="J35" i="9" s="1"/>
  <c r="H35" i="9"/>
  <c r="E35" i="9"/>
  <c r="I37" i="9"/>
  <c r="J37" i="9" s="1"/>
  <c r="E37" i="9"/>
  <c r="H37" i="9"/>
  <c r="J89" i="8"/>
  <c r="K89" i="8" s="1"/>
  <c r="E89" i="8"/>
  <c r="J339" i="8"/>
  <c r="K339" i="8" s="1"/>
  <c r="E339" i="8"/>
  <c r="G339" i="8" s="1"/>
  <c r="J187" i="8"/>
  <c r="K187" i="8" s="1"/>
  <c r="E187" i="8"/>
  <c r="H187" i="8" s="1"/>
  <c r="J97" i="8"/>
  <c r="K97" i="8" s="1"/>
  <c r="E97" i="8"/>
  <c r="D35" i="5"/>
  <c r="O35" i="5" s="1"/>
  <c r="M314" i="30"/>
  <c r="J200" i="4"/>
  <c r="D200" i="4"/>
  <c r="L200" i="4" s="1"/>
  <c r="D129" i="4"/>
  <c r="L129" i="4" s="1"/>
  <c r="J129" i="4"/>
  <c r="D148" i="5"/>
  <c r="O148" i="5" s="1"/>
  <c r="I61" i="9"/>
  <c r="J61" i="9" s="1"/>
  <c r="E61" i="9"/>
  <c r="F61" i="9" s="1"/>
  <c r="H61" i="9"/>
  <c r="J198" i="8"/>
  <c r="K198" i="8" s="1"/>
  <c r="E198" i="8"/>
  <c r="H198" i="8" s="1"/>
  <c r="I134" i="9"/>
  <c r="J134" i="9" s="1"/>
  <c r="H134" i="9"/>
  <c r="E134" i="9"/>
  <c r="F134" i="9" s="1"/>
  <c r="J80" i="8"/>
  <c r="K80" i="8" s="1"/>
  <c r="E80" i="8"/>
  <c r="F80" i="8" s="1"/>
  <c r="J199" i="4"/>
  <c r="D199" i="4"/>
  <c r="L199" i="4" s="1"/>
  <c r="J102" i="8"/>
  <c r="K102" i="8" s="1"/>
  <c r="E102" i="8"/>
  <c r="I290" i="9"/>
  <c r="J290" i="9" s="1"/>
  <c r="E290" i="9"/>
  <c r="H290" i="9"/>
  <c r="D175" i="5"/>
  <c r="O175" i="5" s="1"/>
  <c r="I217" i="9"/>
  <c r="J217" i="9" s="1"/>
  <c r="H217" i="9"/>
  <c r="E217" i="9"/>
  <c r="J323" i="8"/>
  <c r="K323" i="8" s="1"/>
  <c r="N420" i="30"/>
  <c r="E323" i="8"/>
  <c r="F323" i="8" s="1"/>
  <c r="I147" i="9"/>
  <c r="J147" i="9" s="1"/>
  <c r="E147" i="9"/>
  <c r="H147" i="9"/>
  <c r="D13" i="5"/>
  <c r="O13" i="5" s="1"/>
  <c r="I350" i="9"/>
  <c r="J350" i="9" s="1"/>
  <c r="E350" i="9"/>
  <c r="F350" i="9" s="1"/>
  <c r="H350" i="9"/>
  <c r="J292" i="8"/>
  <c r="K292" i="8" s="1"/>
  <c r="E292" i="8"/>
  <c r="I52" i="9"/>
  <c r="J52" i="9" s="1"/>
  <c r="E52" i="9"/>
  <c r="F52" i="9" s="1"/>
  <c r="H52" i="9"/>
  <c r="C76" i="22"/>
  <c r="F8" i="22"/>
  <c r="E8" i="22"/>
  <c r="D93" i="4"/>
  <c r="L93" i="4" s="1"/>
  <c r="J93" i="4"/>
  <c r="J276" i="8"/>
  <c r="K276" i="8" s="1"/>
  <c r="E276" i="8"/>
  <c r="I276" i="8" s="1"/>
  <c r="J103" i="8"/>
  <c r="K103" i="8" s="1"/>
  <c r="E103" i="8"/>
  <c r="J72" i="4"/>
  <c r="D72" i="4"/>
  <c r="L72" i="4" s="1"/>
  <c r="I34" i="9"/>
  <c r="J34" i="9" s="1"/>
  <c r="H34" i="9"/>
  <c r="E34" i="9"/>
  <c r="F34" i="9" s="1"/>
  <c r="J286" i="8"/>
  <c r="K286" i="8" s="1"/>
  <c r="E286" i="8"/>
  <c r="F286" i="8" s="1"/>
  <c r="I41" i="9"/>
  <c r="J41" i="9" s="1"/>
  <c r="H41" i="9"/>
  <c r="E41" i="9"/>
  <c r="F41" i="9" s="1"/>
  <c r="J180" i="4"/>
  <c r="D180" i="4"/>
  <c r="L180" i="4" s="1"/>
  <c r="I191" i="9"/>
  <c r="J191" i="9" s="1"/>
  <c r="M399" i="30"/>
  <c r="H191" i="9"/>
  <c r="E191" i="9"/>
  <c r="J65" i="8"/>
  <c r="K65" i="8" s="1"/>
  <c r="E65" i="8"/>
  <c r="F65" i="8" s="1"/>
  <c r="I228" i="9"/>
  <c r="J228" i="9" s="1"/>
  <c r="H228" i="9"/>
  <c r="E228" i="9"/>
  <c r="D22" i="5"/>
  <c r="O22" i="5" s="1"/>
  <c r="I297" i="9"/>
  <c r="J297" i="9" s="1"/>
  <c r="H297" i="9"/>
  <c r="E297" i="9"/>
  <c r="D20" i="5"/>
  <c r="O20" i="5" s="1"/>
  <c r="I44" i="9"/>
  <c r="J44" i="9" s="1"/>
  <c r="H44" i="9"/>
  <c r="E44" i="9"/>
  <c r="F44" i="9" s="1"/>
  <c r="D97" i="5"/>
  <c r="O97" i="5" s="1"/>
  <c r="I314" i="9"/>
  <c r="J314" i="9" s="1"/>
  <c r="E314" i="9"/>
  <c r="H314" i="9"/>
  <c r="J10" i="4"/>
  <c r="D10" i="4"/>
  <c r="L10" i="4" s="1"/>
  <c r="I120" i="9"/>
  <c r="J120" i="9" s="1"/>
  <c r="E120" i="9"/>
  <c r="H120" i="9"/>
  <c r="J175" i="8"/>
  <c r="K175" i="8" s="1"/>
  <c r="N385" i="30"/>
  <c r="E175" i="8"/>
  <c r="H175" i="8" s="1"/>
  <c r="D147" i="5"/>
  <c r="O147" i="5" s="1"/>
  <c r="I9" i="9"/>
  <c r="J9" i="9" s="1"/>
  <c r="H9" i="9"/>
  <c r="E9" i="9"/>
  <c r="I306" i="9"/>
  <c r="J306" i="9" s="1"/>
  <c r="H306" i="9"/>
  <c r="E306" i="9"/>
  <c r="J14" i="8"/>
  <c r="K14" i="8" s="1"/>
  <c r="E14" i="8"/>
  <c r="I327" i="9"/>
  <c r="J327" i="9" s="1"/>
  <c r="H327" i="9"/>
  <c r="E327" i="9"/>
  <c r="F327" i="9" s="1"/>
  <c r="J90" i="8"/>
  <c r="K90" i="8" s="1"/>
  <c r="E90" i="8"/>
  <c r="I124" i="9"/>
  <c r="J124" i="9" s="1"/>
  <c r="E124" i="9"/>
  <c r="H124" i="9"/>
  <c r="J148" i="8"/>
  <c r="K148" i="8" s="1"/>
  <c r="N376" i="30"/>
  <c r="E148" i="8"/>
  <c r="G148" i="8" s="1"/>
  <c r="I343" i="9"/>
  <c r="J343" i="9" s="1"/>
  <c r="E343" i="9"/>
  <c r="H343" i="9"/>
  <c r="J349" i="8"/>
  <c r="K349" i="8" s="1"/>
  <c r="E349" i="8"/>
  <c r="G349" i="8" s="1"/>
  <c r="I316" i="9"/>
  <c r="J316" i="9" s="1"/>
  <c r="M421" i="30"/>
  <c r="H316" i="9"/>
  <c r="E316" i="9"/>
  <c r="F316" i="9" s="1"/>
  <c r="J69" i="8"/>
  <c r="K69" i="8" s="1"/>
  <c r="E69" i="8"/>
  <c r="F69" i="8" s="1"/>
  <c r="D165" i="4"/>
  <c r="L165" i="4" s="1"/>
  <c r="J165" i="4"/>
  <c r="J104" i="8"/>
  <c r="K104" i="8" s="1"/>
  <c r="E104" i="8"/>
  <c r="D152" i="5"/>
  <c r="O152" i="5" s="1"/>
  <c r="J345" i="8"/>
  <c r="K345" i="8" s="1"/>
  <c r="E345" i="8"/>
  <c r="F345" i="8" s="1"/>
  <c r="D91" i="4"/>
  <c r="L91" i="4" s="1"/>
  <c r="J91" i="4"/>
  <c r="J19" i="22"/>
  <c r="I19" i="22"/>
  <c r="I160" i="9"/>
  <c r="J160" i="9" s="1"/>
  <c r="E160" i="9"/>
  <c r="F160" i="9" s="1"/>
  <c r="H160" i="9"/>
  <c r="I46" i="9"/>
  <c r="J46" i="9" s="1"/>
  <c r="E46" i="9"/>
  <c r="H46" i="9"/>
  <c r="J19" i="8"/>
  <c r="K19" i="8" s="1"/>
  <c r="E19" i="8"/>
  <c r="J274" i="8"/>
  <c r="K274" i="8" s="1"/>
  <c r="E274" i="8"/>
  <c r="I274" i="8" s="1"/>
  <c r="I227" i="9"/>
  <c r="J227" i="9" s="1"/>
  <c r="H227" i="9"/>
  <c r="E227" i="9"/>
  <c r="I319" i="9"/>
  <c r="J319" i="9" s="1"/>
  <c r="H319" i="9"/>
  <c r="E319" i="9"/>
  <c r="F319" i="9" s="1"/>
  <c r="D214" i="5"/>
  <c r="O214" i="5" s="1"/>
  <c r="I214" i="5"/>
  <c r="D44" i="4"/>
  <c r="L44" i="4" s="1"/>
  <c r="J44" i="4"/>
  <c r="I16" i="9"/>
  <c r="J16" i="9" s="1"/>
  <c r="E16" i="9"/>
  <c r="H16" i="9"/>
  <c r="D40" i="4"/>
  <c r="L40" i="4" s="1"/>
  <c r="J40" i="4"/>
  <c r="I273" i="9"/>
  <c r="J273" i="9" s="1"/>
  <c r="H273" i="9"/>
  <c r="E273" i="9"/>
  <c r="F273" i="9" s="1"/>
  <c r="D188" i="5"/>
  <c r="O188" i="5" s="1"/>
  <c r="I188" i="5"/>
  <c r="D112" i="4"/>
  <c r="L112" i="4" s="1"/>
  <c r="J112" i="4"/>
  <c r="J88" i="8"/>
  <c r="K88" i="8" s="1"/>
  <c r="E88" i="8"/>
  <c r="D236" i="5"/>
  <c r="O236" i="5" s="1"/>
  <c r="J78" i="8"/>
  <c r="K78" i="8" s="1"/>
  <c r="E78" i="8"/>
  <c r="F78" i="8" s="1"/>
  <c r="J153" i="4"/>
  <c r="D153" i="4"/>
  <c r="L153" i="4" s="1"/>
  <c r="J37" i="8"/>
  <c r="K37" i="8" s="1"/>
  <c r="E37" i="8"/>
  <c r="J8" i="8"/>
  <c r="K8" i="8" s="1"/>
  <c r="E8" i="8"/>
  <c r="G8" i="8" s="1"/>
  <c r="F28" i="22"/>
  <c r="E28" i="22"/>
  <c r="I288" i="9"/>
  <c r="J288" i="9" s="1"/>
  <c r="H288" i="9"/>
  <c r="E288" i="9"/>
  <c r="J43" i="22"/>
  <c r="I43" i="22"/>
  <c r="I149" i="9"/>
  <c r="J149" i="9" s="1"/>
  <c r="H149" i="9"/>
  <c r="E149" i="9"/>
  <c r="F149" i="9" s="1"/>
  <c r="D187" i="4"/>
  <c r="L187" i="4" s="1"/>
  <c r="J187" i="4"/>
  <c r="I311" i="9"/>
  <c r="J311" i="9" s="1"/>
  <c r="E311" i="9"/>
  <c r="F311" i="9" s="1"/>
  <c r="H311" i="9"/>
  <c r="J193" i="8"/>
  <c r="K193" i="8" s="1"/>
  <c r="E193" i="8"/>
  <c r="F193" i="8" s="1"/>
  <c r="F30" i="22"/>
  <c r="E30" i="22"/>
  <c r="J144" i="4"/>
  <c r="D144" i="4"/>
  <c r="L144" i="4" s="1"/>
  <c r="J135" i="8"/>
  <c r="K135" i="8" s="1"/>
  <c r="E135" i="8"/>
  <c r="G135" i="8" s="1"/>
  <c r="J132" i="8"/>
  <c r="K132" i="8" s="1"/>
  <c r="E132" i="8"/>
  <c r="G132" i="8" s="1"/>
  <c r="J136" i="8"/>
  <c r="K136" i="8" s="1"/>
  <c r="E136" i="8"/>
  <c r="G136" i="8" s="1"/>
  <c r="J16" i="4"/>
  <c r="D16" i="4"/>
  <c r="L16" i="4" s="1"/>
  <c r="J129" i="8"/>
  <c r="K129" i="8" s="1"/>
  <c r="E129" i="8"/>
  <c r="G129" i="8" s="1"/>
  <c r="D32" i="4"/>
  <c r="L32" i="4" s="1"/>
  <c r="J32" i="4"/>
  <c r="I223" i="9"/>
  <c r="J223" i="9" s="1"/>
  <c r="E223" i="9"/>
  <c r="M404" i="30"/>
  <c r="H223" i="9"/>
  <c r="J53" i="8"/>
  <c r="K53" i="8" s="1"/>
  <c r="E53" i="8"/>
  <c r="I77" i="9"/>
  <c r="J77" i="9" s="1"/>
  <c r="H77" i="9"/>
  <c r="E77" i="9"/>
  <c r="J232" i="8"/>
  <c r="K232" i="8" s="1"/>
  <c r="N405" i="30"/>
  <c r="E232" i="8"/>
  <c r="I232" i="8" s="1"/>
  <c r="I272" i="9"/>
  <c r="J272" i="9" s="1"/>
  <c r="H272" i="9"/>
  <c r="E272" i="9"/>
  <c r="F272" i="9" s="1"/>
  <c r="I349" i="9"/>
  <c r="J349" i="9" s="1"/>
  <c r="H349" i="9"/>
  <c r="E349" i="9"/>
  <c r="D201" i="5"/>
  <c r="O201" i="5" s="1"/>
  <c r="J229" i="8"/>
  <c r="K229" i="8" s="1"/>
  <c r="E229" i="8"/>
  <c r="I229" i="8" s="1"/>
  <c r="J302" i="8"/>
  <c r="K302" i="8" s="1"/>
  <c r="E302" i="8"/>
  <c r="D127" i="5"/>
  <c r="J9" i="8"/>
  <c r="K9" i="8" s="1"/>
  <c r="E9" i="8"/>
  <c r="H9" i="8" s="1"/>
  <c r="D172" i="5"/>
  <c r="O172" i="5" s="1"/>
  <c r="I215" i="5"/>
  <c r="D215" i="5"/>
  <c r="O215" i="5" s="1"/>
  <c r="J239" i="8"/>
  <c r="K239" i="8" s="1"/>
  <c r="E239" i="8"/>
  <c r="I239" i="8" s="1"/>
  <c r="F16" i="22"/>
  <c r="E16" i="22"/>
  <c r="I131" i="9"/>
  <c r="J131" i="9" s="1"/>
  <c r="E131" i="9"/>
  <c r="H131" i="9"/>
  <c r="J190" i="8"/>
  <c r="K190" i="8" s="1"/>
  <c r="N396" i="30"/>
  <c r="E190" i="8"/>
  <c r="H190" i="8" s="1"/>
  <c r="I78" i="9"/>
  <c r="J78" i="9" s="1"/>
  <c r="H78" i="9"/>
  <c r="E78" i="9"/>
  <c r="J191" i="8"/>
  <c r="K191" i="8" s="1"/>
  <c r="E191" i="8"/>
  <c r="H191" i="8" s="1"/>
  <c r="J330" i="8"/>
  <c r="K330" i="8" s="1"/>
  <c r="E330" i="8"/>
  <c r="F330" i="8" s="1"/>
  <c r="I166" i="9"/>
  <c r="J166" i="9" s="1"/>
  <c r="E166" i="9"/>
  <c r="F166" i="9" s="1"/>
  <c r="H166" i="9"/>
  <c r="F33" i="22"/>
  <c r="E33" i="22"/>
  <c r="J365" i="8"/>
  <c r="K365" i="8" s="1"/>
  <c r="N425" i="30"/>
  <c r="E365" i="8"/>
  <c r="G365" i="8" s="1"/>
  <c r="J46" i="22"/>
  <c r="I46" i="22"/>
  <c r="J133" i="8"/>
  <c r="K133" i="8" s="1"/>
  <c r="E133" i="8"/>
  <c r="G133" i="8" s="1"/>
  <c r="I309" i="9"/>
  <c r="J309" i="9" s="1"/>
  <c r="M418" i="30"/>
  <c r="H309" i="9"/>
  <c r="E309" i="9"/>
  <c r="J268" i="8"/>
  <c r="K268" i="8" s="1"/>
  <c r="E268" i="8"/>
  <c r="I268" i="8" s="1"/>
  <c r="I12" i="9"/>
  <c r="J12" i="9" s="1"/>
  <c r="H12" i="9"/>
  <c r="E12" i="9"/>
  <c r="D160" i="5"/>
  <c r="O160" i="5" s="1"/>
  <c r="I39" i="9"/>
  <c r="J39" i="9" s="1"/>
  <c r="E39" i="9"/>
  <c r="H39" i="9"/>
  <c r="J7" i="8"/>
  <c r="K7" i="8" s="1"/>
  <c r="C374" i="8"/>
  <c r="E7" i="8"/>
  <c r="I194" i="9"/>
  <c r="J194" i="9" s="1"/>
  <c r="H194" i="9"/>
  <c r="E194" i="9"/>
  <c r="J244" i="8"/>
  <c r="K244" i="8" s="1"/>
  <c r="E244" i="8"/>
  <c r="I244" i="8" s="1"/>
  <c r="I275" i="9"/>
  <c r="J275" i="9" s="1"/>
  <c r="E275" i="9"/>
  <c r="H275" i="9"/>
  <c r="J210" i="8"/>
  <c r="K210" i="8" s="1"/>
  <c r="E210" i="8"/>
  <c r="F210" i="8" s="1"/>
  <c r="I141" i="9"/>
  <c r="J141" i="9" s="1"/>
  <c r="E141" i="9"/>
  <c r="H141" i="9"/>
  <c r="I232" i="9"/>
  <c r="J232" i="9" s="1"/>
  <c r="H232" i="9"/>
  <c r="E232" i="9"/>
  <c r="I38" i="9"/>
  <c r="J38" i="9" s="1"/>
  <c r="E38" i="9"/>
  <c r="H38" i="9"/>
  <c r="J296" i="8"/>
  <c r="K296" i="8" s="1"/>
  <c r="E296" i="8"/>
  <c r="I84" i="9"/>
  <c r="J84" i="9" s="1"/>
  <c r="E84" i="9"/>
  <c r="H84" i="9"/>
  <c r="M301" i="30"/>
  <c r="J122" i="4"/>
  <c r="D122" i="4"/>
  <c r="L122" i="4" s="1"/>
  <c r="I381" i="9"/>
  <c r="J381" i="9" s="1"/>
  <c r="H381" i="9"/>
  <c r="E381" i="9"/>
  <c r="M329" i="30"/>
  <c r="D192" i="4"/>
  <c r="L192" i="4" s="1"/>
  <c r="J192" i="4"/>
  <c r="I179" i="9"/>
  <c r="J179" i="9" s="1"/>
  <c r="H179" i="9"/>
  <c r="M392" i="30"/>
  <c r="E179" i="9"/>
  <c r="J233" i="8"/>
  <c r="K233" i="8" s="1"/>
  <c r="E233" i="8"/>
  <c r="I233" i="8" s="1"/>
  <c r="I74" i="9"/>
  <c r="J74" i="9" s="1"/>
  <c r="H74" i="9"/>
  <c r="E74" i="9"/>
  <c r="F74" i="9" s="1"/>
  <c r="J33" i="22"/>
  <c r="I33" i="22"/>
  <c r="D212" i="5"/>
  <c r="O212" i="5" s="1"/>
  <c r="D104" i="5"/>
  <c r="O104" i="5" s="1"/>
  <c r="D132" i="5"/>
  <c r="O132" i="5" s="1"/>
  <c r="F52" i="22"/>
  <c r="E52" i="22"/>
  <c r="J181" i="8"/>
  <c r="K181" i="8" s="1"/>
  <c r="N391" i="30"/>
  <c r="E181" i="8"/>
  <c r="H181" i="8" s="1"/>
  <c r="D202" i="5"/>
  <c r="O202" i="5" s="1"/>
  <c r="I193" i="9"/>
  <c r="J193" i="9" s="1"/>
  <c r="E193" i="9"/>
  <c r="F193" i="9" s="1"/>
  <c r="H193" i="9"/>
  <c r="I44" i="22"/>
  <c r="I87" i="9"/>
  <c r="J87" i="9" s="1"/>
  <c r="H87" i="9"/>
  <c r="E87" i="9"/>
  <c r="J226" i="8"/>
  <c r="K226" i="8" s="1"/>
  <c r="N403" i="30"/>
  <c r="E226" i="8"/>
  <c r="I226" i="8" s="1"/>
  <c r="I152" i="9"/>
  <c r="J152" i="9" s="1"/>
  <c r="H152" i="9"/>
  <c r="E152" i="9"/>
  <c r="J272" i="8"/>
  <c r="K272" i="8" s="1"/>
  <c r="E272" i="8"/>
  <c r="I272" i="8" s="1"/>
  <c r="I321" i="9"/>
  <c r="J321" i="9" s="1"/>
  <c r="H321" i="9"/>
  <c r="E321" i="9"/>
  <c r="F321" i="9" s="1"/>
  <c r="J179" i="8"/>
  <c r="K179" i="8" s="1"/>
  <c r="E179" i="8"/>
  <c r="F179" i="8" s="1"/>
  <c r="I385" i="9"/>
  <c r="J385" i="9" s="1"/>
  <c r="E385" i="9"/>
  <c r="H385" i="9"/>
  <c r="J127" i="8"/>
  <c r="K127" i="8" s="1"/>
  <c r="E127" i="8"/>
  <c r="G127" i="8" s="1"/>
  <c r="D16" i="5"/>
  <c r="O16" i="5" s="1"/>
  <c r="D34" i="5"/>
  <c r="O34" i="5" s="1"/>
  <c r="J173" i="8"/>
  <c r="K173" i="8" s="1"/>
  <c r="E173" i="8"/>
  <c r="H173" i="8" s="1"/>
  <c r="F11" i="22"/>
  <c r="I214" i="9"/>
  <c r="J214" i="9" s="1"/>
  <c r="E214" i="9"/>
  <c r="H214" i="9"/>
  <c r="I302" i="9"/>
  <c r="J302" i="9" s="1"/>
  <c r="E302" i="9"/>
  <c r="H302" i="9"/>
  <c r="I188" i="9"/>
  <c r="J188" i="9" s="1"/>
  <c r="E188" i="9"/>
  <c r="H188" i="9"/>
  <c r="J20" i="22"/>
  <c r="I20" i="22"/>
  <c r="C13" i="2"/>
  <c r="E8" i="2"/>
  <c r="F40" i="20" s="1"/>
  <c r="G49" i="20" s="1"/>
  <c r="C9" i="19"/>
  <c r="F9" i="19" s="1"/>
  <c r="C40" i="2"/>
  <c r="E40" i="2" s="1"/>
  <c r="D25" i="4"/>
  <c r="L25" i="4" s="1"/>
  <c r="J25" i="4"/>
  <c r="J252" i="8"/>
  <c r="K252" i="8" s="1"/>
  <c r="E252" i="8"/>
  <c r="I252" i="8" s="1"/>
  <c r="D139" i="5"/>
  <c r="O139" i="5" s="1"/>
  <c r="F42" i="22"/>
  <c r="E42" i="22"/>
  <c r="D172" i="4"/>
  <c r="L172" i="4" s="1"/>
  <c r="J172" i="4"/>
  <c r="J22" i="4"/>
  <c r="D22" i="4"/>
  <c r="L22" i="4" s="1"/>
  <c r="J326" i="8"/>
  <c r="K326" i="8" s="1"/>
  <c r="E326" i="8"/>
  <c r="G326" i="8" s="1"/>
  <c r="D19" i="5"/>
  <c r="O19" i="5" s="1"/>
  <c r="D138" i="5"/>
  <c r="O138" i="5" s="1"/>
  <c r="J63" i="4"/>
  <c r="D63" i="4"/>
  <c r="L63" i="4" s="1"/>
  <c r="D142" i="4"/>
  <c r="L142" i="4" s="1"/>
  <c r="J142" i="4"/>
  <c r="I221" i="9"/>
  <c r="J221" i="9" s="1"/>
  <c r="M403" i="30"/>
  <c r="H221" i="9"/>
  <c r="E221" i="9"/>
  <c r="I332" i="9"/>
  <c r="J332" i="9" s="1"/>
  <c r="E332" i="9"/>
  <c r="F332" i="9" s="1"/>
  <c r="H332" i="9"/>
  <c r="D78" i="4"/>
  <c r="L78" i="4" s="1"/>
  <c r="J78" i="4"/>
  <c r="I111" i="9"/>
  <c r="J111" i="9" s="1"/>
  <c r="H111" i="9"/>
  <c r="E111" i="9"/>
  <c r="J246" i="8"/>
  <c r="K246" i="8" s="1"/>
  <c r="E246" i="8"/>
  <c r="I246" i="8" s="1"/>
  <c r="J262" i="8"/>
  <c r="K262" i="8" s="1"/>
  <c r="E262" i="8"/>
  <c r="I262" i="8" s="1"/>
  <c r="I231" i="9"/>
  <c r="J231" i="9" s="1"/>
  <c r="E231" i="9"/>
  <c r="H231" i="9"/>
  <c r="I265" i="9"/>
  <c r="J265" i="9" s="1"/>
  <c r="H265" i="9"/>
  <c r="E265" i="9"/>
  <c r="I372" i="9"/>
  <c r="J372" i="9" s="1"/>
  <c r="M435" i="30"/>
  <c r="H372" i="9"/>
  <c r="E372" i="9"/>
  <c r="F372" i="9" s="1"/>
  <c r="I305" i="9"/>
  <c r="J305" i="9" s="1"/>
  <c r="E305" i="9"/>
  <c r="H305" i="9"/>
  <c r="I218" i="5"/>
  <c r="D218" i="5"/>
  <c r="O218" i="5" s="1"/>
  <c r="J320" i="8"/>
  <c r="K320" i="8" s="1"/>
  <c r="E320" i="8"/>
  <c r="G320" i="8" s="1"/>
  <c r="J250" i="8"/>
  <c r="K250" i="8" s="1"/>
  <c r="E250" i="8"/>
  <c r="I250" i="8" s="1"/>
  <c r="I20" i="9"/>
  <c r="J20" i="9" s="1"/>
  <c r="H20" i="9"/>
  <c r="E20" i="9"/>
  <c r="D182" i="4"/>
  <c r="L182" i="4" s="1"/>
  <c r="J182" i="4"/>
  <c r="F34" i="22"/>
  <c r="E34" i="22"/>
  <c r="J227" i="8"/>
  <c r="K227" i="8" s="1"/>
  <c r="E227" i="8"/>
  <c r="I227" i="8" s="1"/>
  <c r="J161" i="8"/>
  <c r="K161" i="8" s="1"/>
  <c r="E161" i="8"/>
  <c r="H161" i="8" s="1"/>
  <c r="I282" i="9"/>
  <c r="J282" i="9" s="1"/>
  <c r="H282" i="9"/>
  <c r="E282" i="9"/>
  <c r="J125" i="4"/>
  <c r="D125" i="4"/>
  <c r="L125" i="4" s="1"/>
  <c r="J364" i="8"/>
  <c r="K364" i="8" s="1"/>
  <c r="E364" i="8"/>
  <c r="G364" i="8" s="1"/>
  <c r="J266" i="8"/>
  <c r="K266" i="8" s="1"/>
  <c r="E266" i="8"/>
  <c r="I266" i="8" s="1"/>
  <c r="J294" i="8"/>
  <c r="K294" i="8" s="1"/>
  <c r="N414" i="30"/>
  <c r="E294" i="8"/>
  <c r="J196" i="8"/>
  <c r="K196" i="8" s="1"/>
  <c r="E196" i="8"/>
  <c r="F196" i="8" s="1"/>
  <c r="D186" i="5"/>
  <c r="O186" i="5" s="1"/>
  <c r="M321" i="30"/>
  <c r="J108" i="4"/>
  <c r="D108" i="4"/>
  <c r="L108" i="4" s="1"/>
  <c r="D138" i="4"/>
  <c r="L138" i="4" s="1"/>
  <c r="J138" i="4"/>
  <c r="J48" i="4"/>
  <c r="D48" i="4"/>
  <c r="L48" i="4" s="1"/>
  <c r="J340" i="8"/>
  <c r="K340" i="8" s="1"/>
  <c r="E340" i="8"/>
  <c r="G340" i="8" s="1"/>
  <c r="I333" i="9"/>
  <c r="J333" i="9" s="1"/>
  <c r="M423" i="30"/>
  <c r="H333" i="9"/>
  <c r="E333" i="9"/>
  <c r="F43" i="22"/>
  <c r="E43" i="22"/>
  <c r="J28" i="22"/>
  <c r="I28" i="22"/>
  <c r="I324" i="9"/>
  <c r="J324" i="9" s="1"/>
  <c r="E324" i="9"/>
  <c r="H324" i="9"/>
  <c r="J263" i="8"/>
  <c r="K263" i="8" s="1"/>
  <c r="E263" i="8"/>
  <c r="I263" i="8" s="1"/>
  <c r="D123" i="5"/>
  <c r="J221" i="8"/>
  <c r="K221" i="8" s="1"/>
  <c r="E221" i="8"/>
  <c r="I221" i="8" s="1"/>
  <c r="J328" i="8"/>
  <c r="K328" i="8" s="1"/>
  <c r="E328" i="8"/>
  <c r="F328" i="8" s="1"/>
  <c r="I63" i="9"/>
  <c r="J63" i="9" s="1"/>
  <c r="H63" i="9"/>
  <c r="E63" i="9"/>
  <c r="F63" i="9" s="1"/>
  <c r="J94" i="8"/>
  <c r="K94" i="8" s="1"/>
  <c r="E94" i="8"/>
  <c r="I43" i="9"/>
  <c r="J43" i="9" s="1"/>
  <c r="H43" i="9"/>
  <c r="E43" i="9"/>
  <c r="F43" i="9" s="1"/>
  <c r="D169" i="5"/>
  <c r="O169" i="5" s="1"/>
  <c r="I370" i="9"/>
  <c r="J370" i="9" s="1"/>
  <c r="H370" i="9"/>
  <c r="E370" i="9"/>
  <c r="F370" i="9" s="1"/>
  <c r="D141" i="4"/>
  <c r="L141" i="4" s="1"/>
  <c r="J141" i="4"/>
  <c r="I378" i="9"/>
  <c r="J378" i="9" s="1"/>
  <c r="E378" i="9"/>
  <c r="H378" i="9"/>
  <c r="J348" i="8"/>
  <c r="K348" i="8" s="1"/>
  <c r="E348" i="8"/>
  <c r="G348" i="8" s="1"/>
  <c r="I252" i="9"/>
  <c r="J252" i="9" s="1"/>
  <c r="H252" i="9"/>
  <c r="E252" i="9"/>
  <c r="J81" i="8"/>
  <c r="K81" i="8" s="1"/>
  <c r="E81" i="8"/>
  <c r="I81" i="8" s="1"/>
  <c r="I284" i="9"/>
  <c r="J284" i="9" s="1"/>
  <c r="H284" i="9"/>
  <c r="E284" i="9"/>
  <c r="D53" i="5"/>
  <c r="O53" i="5" s="1"/>
  <c r="J312" i="8"/>
  <c r="K312" i="8" s="1"/>
  <c r="E312" i="8"/>
  <c r="G312" i="8" s="1"/>
  <c r="D97" i="4"/>
  <c r="L97" i="4" s="1"/>
  <c r="M323" i="30"/>
  <c r="J86" i="8"/>
  <c r="K86" i="8" s="1"/>
  <c r="E86" i="8"/>
  <c r="F86" i="8" s="1"/>
  <c r="I48" i="9"/>
  <c r="J48" i="9" s="1"/>
  <c r="E48" i="9"/>
  <c r="H48" i="9"/>
  <c r="J58" i="8"/>
  <c r="K58" i="8" s="1"/>
  <c r="E58" i="8"/>
  <c r="F58" i="8" s="1"/>
  <c r="I14" i="9"/>
  <c r="J14" i="9" s="1"/>
  <c r="E14" i="9"/>
  <c r="H14" i="9"/>
  <c r="D210" i="5"/>
  <c r="O210" i="5" s="1"/>
  <c r="I245" i="9"/>
  <c r="J245" i="9" s="1"/>
  <c r="H245" i="9"/>
  <c r="E245" i="9"/>
  <c r="D251" i="5"/>
  <c r="O251" i="5" s="1"/>
  <c r="I25" i="9"/>
  <c r="J25" i="9" s="1"/>
  <c r="H25" i="9"/>
  <c r="E25" i="9"/>
  <c r="F39" i="22"/>
  <c r="E39" i="22"/>
  <c r="I224" i="9"/>
  <c r="J224" i="9" s="1"/>
  <c r="E224" i="9"/>
  <c r="H224" i="9"/>
  <c r="F20" i="22"/>
  <c r="E20" i="22"/>
  <c r="I364" i="9"/>
  <c r="J364" i="9" s="1"/>
  <c r="E364" i="9"/>
  <c r="H364" i="9"/>
  <c r="J49" i="8"/>
  <c r="K49" i="8" s="1"/>
  <c r="E49" i="8"/>
  <c r="I57" i="9"/>
  <c r="J57" i="9" s="1"/>
  <c r="E57" i="9"/>
  <c r="F57" i="9" s="1"/>
  <c r="H57" i="9"/>
  <c r="J23" i="22"/>
  <c r="I23" i="22"/>
  <c r="I67" i="9"/>
  <c r="J67" i="9" s="1"/>
  <c r="E67" i="9"/>
  <c r="F67" i="9" s="1"/>
  <c r="H67" i="9"/>
  <c r="D98" i="5"/>
  <c r="O98" i="5" s="1"/>
  <c r="I115" i="9"/>
  <c r="J115" i="9" s="1"/>
  <c r="M370" i="30"/>
  <c r="H115" i="9"/>
  <c r="E115" i="9"/>
  <c r="J182" i="8"/>
  <c r="K182" i="8" s="1"/>
  <c r="N392" i="30"/>
  <c r="E182" i="8"/>
  <c r="H182" i="8" s="1"/>
  <c r="I329" i="9"/>
  <c r="J329" i="9" s="1"/>
  <c r="H329" i="9"/>
  <c r="E329" i="9"/>
  <c r="F329" i="9" s="1"/>
  <c r="D40" i="5"/>
  <c r="O40" i="5" s="1"/>
  <c r="I181" i="9"/>
  <c r="J181" i="9" s="1"/>
  <c r="M393" i="30"/>
  <c r="E181" i="9"/>
  <c r="H181" i="9"/>
  <c r="J230" i="8"/>
  <c r="K230" i="8" s="1"/>
  <c r="E230" i="8"/>
  <c r="I230" i="8" s="1"/>
  <c r="I103" i="9"/>
  <c r="J103" i="9" s="1"/>
  <c r="E103" i="9"/>
  <c r="F103" i="9" s="1"/>
  <c r="H103" i="9"/>
  <c r="D42" i="4"/>
  <c r="L42" i="4" s="1"/>
  <c r="J42" i="4"/>
  <c r="I80" i="9"/>
  <c r="J80" i="9" s="1"/>
  <c r="H80" i="9"/>
  <c r="E80" i="9"/>
  <c r="N334" i="30"/>
  <c r="D111" i="5"/>
  <c r="O111" i="5" s="1"/>
  <c r="I281" i="9"/>
  <c r="J281" i="9" s="1"/>
  <c r="H281" i="9"/>
  <c r="E281" i="9"/>
  <c r="I123" i="9"/>
  <c r="J123" i="9" s="1"/>
  <c r="H123" i="9"/>
  <c r="E123" i="9"/>
  <c r="I93" i="9"/>
  <c r="J93" i="9" s="1"/>
  <c r="E93" i="9"/>
  <c r="H93" i="9"/>
  <c r="J34" i="22"/>
  <c r="I34" i="22"/>
  <c r="I279" i="9"/>
  <c r="J279" i="9" s="1"/>
  <c r="H279" i="9"/>
  <c r="E279" i="9"/>
  <c r="J157" i="4"/>
  <c r="D157" i="4"/>
  <c r="L157" i="4" s="1"/>
  <c r="I337" i="9"/>
  <c r="J337" i="9" s="1"/>
  <c r="H337" i="9"/>
  <c r="E337" i="9"/>
  <c r="F337" i="9" s="1"/>
  <c r="J61" i="8"/>
  <c r="K61" i="8" s="1"/>
  <c r="E61" i="8"/>
  <c r="F61" i="8" s="1"/>
  <c r="F21" i="22"/>
  <c r="E21" i="22"/>
  <c r="J253" i="8"/>
  <c r="K253" i="8" s="1"/>
  <c r="E253" i="8"/>
  <c r="I253" i="8" s="1"/>
  <c r="J207" i="8"/>
  <c r="K207" i="8" s="1"/>
  <c r="E207" i="8"/>
  <c r="J107" i="8"/>
  <c r="K107" i="8" s="1"/>
  <c r="E107" i="8"/>
  <c r="J38" i="8"/>
  <c r="K38" i="8" s="1"/>
  <c r="E38" i="8"/>
  <c r="J117" i="8"/>
  <c r="K117" i="8" s="1"/>
  <c r="N363" i="30"/>
  <c r="E117" i="8"/>
  <c r="F117" i="8" s="1"/>
  <c r="D12" i="4"/>
  <c r="L12" i="4" s="1"/>
  <c r="J12" i="4"/>
  <c r="D249" i="5"/>
  <c r="O249" i="5" s="1"/>
  <c r="D46" i="5"/>
  <c r="O46" i="5" s="1"/>
  <c r="I116" i="9"/>
  <c r="J116" i="9" s="1"/>
  <c r="E116" i="9"/>
  <c r="H116" i="9"/>
  <c r="I203" i="9"/>
  <c r="J203" i="9" s="1"/>
  <c r="E203" i="9"/>
  <c r="F203" i="9" s="1"/>
  <c r="H203" i="9"/>
  <c r="F47" i="22"/>
  <c r="E47" i="22"/>
  <c r="I106" i="9"/>
  <c r="J106" i="9" s="1"/>
  <c r="H106" i="9"/>
  <c r="E106" i="9"/>
  <c r="D204" i="5"/>
  <c r="O204" i="5" s="1"/>
  <c r="I185" i="9"/>
  <c r="J185" i="9" s="1"/>
  <c r="M396" i="30"/>
  <c r="H185" i="9"/>
  <c r="E185" i="9"/>
  <c r="J225" i="8"/>
  <c r="K225" i="8" s="1"/>
  <c r="E225" i="8"/>
  <c r="I225" i="8" s="1"/>
  <c r="I219" i="9"/>
  <c r="J219" i="9" s="1"/>
  <c r="H219" i="9"/>
  <c r="E219" i="9"/>
  <c r="J234" i="8"/>
  <c r="K234" i="8" s="1"/>
  <c r="E234" i="8"/>
  <c r="I234" i="8" s="1"/>
  <c r="I186" i="9"/>
  <c r="J186" i="9" s="1"/>
  <c r="E186" i="9"/>
  <c r="F186" i="9" s="1"/>
  <c r="H186" i="9"/>
  <c r="M300" i="30"/>
  <c r="D105" i="4"/>
  <c r="L105" i="4" s="1"/>
  <c r="J105" i="4"/>
  <c r="J341" i="8"/>
  <c r="K341" i="8" s="1"/>
  <c r="E341" i="8"/>
  <c r="F341" i="8" s="1"/>
  <c r="D64" i="4"/>
  <c r="L64" i="4" s="1"/>
  <c r="J64" i="4"/>
  <c r="J304" i="8"/>
  <c r="K304" i="8" s="1"/>
  <c r="N416" i="30"/>
  <c r="E304" i="8"/>
  <c r="G304" i="8" s="1"/>
  <c r="J70" i="8"/>
  <c r="K70" i="8" s="1"/>
  <c r="E70" i="8"/>
  <c r="F70" i="8" s="1"/>
  <c r="J122" i="8"/>
  <c r="K122" i="8" s="1"/>
  <c r="E122" i="8"/>
  <c r="G122" i="8" s="1"/>
  <c r="D126" i="4"/>
  <c r="L126" i="4" s="1"/>
  <c r="J126" i="4"/>
  <c r="I345" i="9"/>
  <c r="J345" i="9" s="1"/>
  <c r="M427" i="30"/>
  <c r="H345" i="9"/>
  <c r="E345" i="9"/>
  <c r="F345" i="9" s="1"/>
  <c r="J56" i="8"/>
  <c r="K56" i="8" s="1"/>
  <c r="E56" i="8"/>
  <c r="F56" i="8" s="1"/>
  <c r="D243" i="5"/>
  <c r="O243" i="5" s="1"/>
  <c r="D47" i="5"/>
  <c r="O47" i="5" s="1"/>
  <c r="J362" i="8"/>
  <c r="K362" i="8" s="1"/>
  <c r="E362" i="8"/>
  <c r="F362" i="8" s="1"/>
  <c r="I187" i="5"/>
  <c r="D187" i="5"/>
  <c r="J45" i="4"/>
  <c r="D45" i="4"/>
  <c r="L45" i="4" s="1"/>
  <c r="J291" i="8"/>
  <c r="K291" i="8" s="1"/>
  <c r="E291" i="8"/>
  <c r="D26" i="5"/>
  <c r="O26" i="5" s="1"/>
  <c r="D151" i="5"/>
  <c r="O151" i="5" s="1"/>
  <c r="J143" i="4"/>
  <c r="D143" i="4"/>
  <c r="L143" i="4" s="1"/>
  <c r="I236" i="9"/>
  <c r="J236" i="9" s="1"/>
  <c r="H236" i="9"/>
  <c r="E236" i="9"/>
  <c r="J211" i="8"/>
  <c r="K211" i="8" s="1"/>
  <c r="E211" i="8"/>
  <c r="I211" i="8" s="1"/>
  <c r="J172" i="8"/>
  <c r="K172" i="8" s="1"/>
  <c r="N387" i="30"/>
  <c r="E172" i="8"/>
  <c r="G172" i="8" s="1"/>
  <c r="I138" i="9"/>
  <c r="J138" i="9" s="1"/>
  <c r="E138" i="9"/>
  <c r="F138" i="9" s="1"/>
  <c r="H138" i="9"/>
  <c r="D146" i="5"/>
  <c r="O146" i="5" s="1"/>
  <c r="I377" i="9"/>
  <c r="J377" i="9" s="1"/>
  <c r="H377" i="9"/>
  <c r="E377" i="9"/>
  <c r="I118" i="9"/>
  <c r="J118" i="9" s="1"/>
  <c r="H118" i="9"/>
  <c r="E118" i="9"/>
  <c r="D92" i="4"/>
  <c r="L92" i="4" s="1"/>
  <c r="J92" i="4"/>
  <c r="J73" i="8"/>
  <c r="K73" i="8" s="1"/>
  <c r="E73" i="8"/>
  <c r="F73" i="8" s="1"/>
  <c r="J136" i="4"/>
  <c r="D136" i="4"/>
  <c r="L136" i="4" s="1"/>
  <c r="J42" i="22"/>
  <c r="I42" i="22"/>
  <c r="I326" i="9"/>
  <c r="J326" i="9" s="1"/>
  <c r="H326" i="9"/>
  <c r="E326" i="9"/>
  <c r="F326" i="9" s="1"/>
  <c r="J255" i="8"/>
  <c r="K255" i="8" s="1"/>
  <c r="E255" i="8"/>
  <c r="I255" i="8" s="1"/>
  <c r="I146" i="9"/>
  <c r="J146" i="9" s="1"/>
  <c r="H146" i="9"/>
  <c r="E146" i="9"/>
  <c r="J350" i="8"/>
  <c r="K350" i="8" s="1"/>
  <c r="E350" i="8"/>
  <c r="F350" i="8" s="1"/>
  <c r="I267" i="9"/>
  <c r="J267" i="9" s="1"/>
  <c r="H267" i="9"/>
  <c r="E267" i="9"/>
  <c r="F267" i="9" s="1"/>
  <c r="J118" i="8"/>
  <c r="K118" i="8" s="1"/>
  <c r="N364" i="30"/>
  <c r="E118" i="8"/>
  <c r="G118" i="8" s="1"/>
  <c r="I161" i="9"/>
  <c r="J161" i="9" s="1"/>
  <c r="H161" i="9"/>
  <c r="E161" i="9"/>
  <c r="F161" i="9" s="1"/>
  <c r="D177" i="4"/>
  <c r="L177" i="4" s="1"/>
  <c r="J177" i="4"/>
  <c r="I201" i="9"/>
  <c r="J201" i="9" s="1"/>
  <c r="E201" i="9"/>
  <c r="H201" i="9"/>
  <c r="J114" i="4"/>
  <c r="D114" i="4"/>
  <c r="L114" i="4" s="1"/>
  <c r="D63" i="5"/>
  <c r="O63" i="5" s="1"/>
  <c r="F27" i="22"/>
  <c r="E27" i="22"/>
  <c r="I182" i="9"/>
  <c r="J182" i="9" s="1"/>
  <c r="M394" i="30"/>
  <c r="E182" i="9"/>
  <c r="H182" i="9"/>
  <c r="J217" i="8"/>
  <c r="K217" i="8" s="1"/>
  <c r="E217" i="8"/>
  <c r="I217" i="8" s="1"/>
  <c r="I127" i="9"/>
  <c r="J127" i="9" s="1"/>
  <c r="M373" i="30"/>
  <c r="H127" i="9"/>
  <c r="E127" i="9"/>
  <c r="J149" i="8"/>
  <c r="K149" i="8" s="1"/>
  <c r="E149" i="8"/>
  <c r="H149" i="8" s="1"/>
  <c r="I258" i="9"/>
  <c r="J258" i="9" s="1"/>
  <c r="M411" i="30"/>
  <c r="H258" i="9"/>
  <c r="E258" i="9"/>
  <c r="J205" i="4"/>
  <c r="D205" i="4"/>
  <c r="L205" i="4" s="1"/>
  <c r="I263" i="9"/>
  <c r="J263" i="9" s="1"/>
  <c r="H263" i="9"/>
  <c r="E263" i="9"/>
  <c r="J287" i="8"/>
  <c r="K287" i="8" s="1"/>
  <c r="E287" i="8"/>
  <c r="I373" i="9"/>
  <c r="J373" i="9" s="1"/>
  <c r="E373" i="9"/>
  <c r="H373" i="9"/>
  <c r="J14" i="22"/>
  <c r="I14" i="22"/>
  <c r="I121" i="9"/>
  <c r="J121" i="9" s="1"/>
  <c r="E121" i="9"/>
  <c r="H121" i="9"/>
  <c r="F32" i="22"/>
  <c r="E32" i="22"/>
  <c r="J327" i="8"/>
  <c r="K327" i="8" s="1"/>
  <c r="E327" i="8"/>
  <c r="F327" i="8" s="1"/>
  <c r="J353" i="8"/>
  <c r="K353" i="8" s="1"/>
  <c r="E353" i="8"/>
  <c r="F353" i="8" s="1"/>
  <c r="I175" i="9"/>
  <c r="J175" i="9" s="1"/>
  <c r="E175" i="9"/>
  <c r="F175" i="9" s="1"/>
  <c r="H175" i="9"/>
  <c r="J46" i="8"/>
  <c r="K46" i="8" s="1"/>
  <c r="E46" i="8"/>
  <c r="I351" i="9"/>
  <c r="J351" i="9" s="1"/>
  <c r="M428" i="30"/>
  <c r="E351" i="9"/>
  <c r="F351" i="9" s="1"/>
  <c r="H351" i="9"/>
  <c r="J324" i="8"/>
  <c r="K324" i="8" s="1"/>
  <c r="N421" i="30"/>
  <c r="E324" i="8"/>
  <c r="F324" i="8" s="1"/>
  <c r="I338" i="9"/>
  <c r="J338" i="9" s="1"/>
  <c r="M425" i="30"/>
  <c r="H338" i="9"/>
  <c r="E338" i="9"/>
  <c r="F338" i="9" s="1"/>
  <c r="D67" i="4"/>
  <c r="L67" i="4" s="1"/>
  <c r="J67" i="4"/>
  <c r="I143" i="9"/>
  <c r="J143" i="9" s="1"/>
  <c r="E143" i="9"/>
  <c r="H143" i="9"/>
  <c r="J95" i="8"/>
  <c r="K95" i="8" s="1"/>
  <c r="E95" i="8"/>
  <c r="I119" i="9"/>
  <c r="J119" i="9" s="1"/>
  <c r="H119" i="9"/>
  <c r="E119" i="9"/>
  <c r="D240" i="5"/>
  <c r="O240" i="5" s="1"/>
  <c r="N335" i="30"/>
  <c r="D247" i="5"/>
  <c r="O247" i="5" s="1"/>
  <c r="J212" i="8"/>
  <c r="K212" i="8" s="1"/>
  <c r="E212" i="8"/>
  <c r="I212" i="8" s="1"/>
  <c r="D39" i="4"/>
  <c r="L39" i="4" s="1"/>
  <c r="J39" i="4"/>
  <c r="J322" i="8"/>
  <c r="K322" i="8" s="1"/>
  <c r="E322" i="8"/>
  <c r="G322" i="8" s="1"/>
  <c r="I198" i="9"/>
  <c r="J198" i="9" s="1"/>
  <c r="M400" i="30"/>
  <c r="E198" i="9"/>
  <c r="H198" i="9"/>
  <c r="D237" i="5"/>
  <c r="O237" i="5" s="1"/>
  <c r="I99" i="9"/>
  <c r="J99" i="9" s="1"/>
  <c r="H99" i="9"/>
  <c r="E99" i="9"/>
  <c r="F99" i="9" s="1"/>
  <c r="D59" i="5"/>
  <c r="O59" i="5" s="1"/>
  <c r="J254" i="8"/>
  <c r="K254" i="8" s="1"/>
  <c r="E254" i="8"/>
  <c r="I254" i="8" s="1"/>
  <c r="D245" i="5"/>
  <c r="O245" i="5" s="1"/>
  <c r="J368" i="8"/>
  <c r="K368" i="8" s="1"/>
  <c r="E368" i="8"/>
  <c r="G368" i="8" s="1"/>
  <c r="J39" i="8"/>
  <c r="K39" i="8" s="1"/>
  <c r="E39" i="8"/>
  <c r="D42" i="5"/>
  <c r="O42" i="5" s="1"/>
  <c r="D31" i="4"/>
  <c r="L31" i="4" s="1"/>
  <c r="J31" i="4"/>
  <c r="J145" i="8"/>
  <c r="K145" i="8" s="1"/>
  <c r="N374" i="30"/>
  <c r="E145" i="8"/>
  <c r="D191" i="5"/>
  <c r="O191" i="5" s="1"/>
  <c r="D74" i="4"/>
  <c r="L74" i="4" s="1"/>
  <c r="J74" i="4"/>
  <c r="I239" i="9"/>
  <c r="J239" i="9" s="1"/>
  <c r="H239" i="9"/>
  <c r="E239" i="9"/>
  <c r="J163" i="8"/>
  <c r="K163" i="8" s="1"/>
  <c r="E163" i="8"/>
  <c r="H163" i="8" s="1"/>
  <c r="J271" i="8"/>
  <c r="K271" i="8" s="1"/>
  <c r="E271" i="8"/>
  <c r="I271" i="8" s="1"/>
  <c r="I330" i="9"/>
  <c r="J330" i="9" s="1"/>
  <c r="H330" i="9"/>
  <c r="E330" i="9"/>
  <c r="F330" i="9" s="1"/>
  <c r="I66" i="9"/>
  <c r="J66" i="9" s="1"/>
  <c r="E66" i="9"/>
  <c r="F66" i="9" s="1"/>
  <c r="H66" i="9"/>
  <c r="I81" i="9"/>
  <c r="J81" i="9" s="1"/>
  <c r="H81" i="9"/>
  <c r="E81" i="9"/>
  <c r="J245" i="8"/>
  <c r="K245" i="8" s="1"/>
  <c r="E245" i="8"/>
  <c r="I245" i="8" s="1"/>
  <c r="I238" i="9"/>
  <c r="J238" i="9" s="1"/>
  <c r="H238" i="9"/>
  <c r="E238" i="9"/>
  <c r="D15" i="4"/>
  <c r="L15" i="4" s="1"/>
  <c r="J15" i="4"/>
  <c r="E10" i="2"/>
  <c r="G42" i="20" s="1"/>
  <c r="M12" i="20" s="1"/>
  <c r="C42" i="2"/>
  <c r="E42" i="2" s="1"/>
  <c r="C17" i="19"/>
  <c r="C20" i="19" s="1"/>
  <c r="D37" i="5"/>
  <c r="O37" i="5" s="1"/>
  <c r="J278" i="8"/>
  <c r="K278" i="8" s="1"/>
  <c r="E278" i="8"/>
  <c r="I278" i="8" s="1"/>
  <c r="J240" i="8"/>
  <c r="K240" i="8" s="1"/>
  <c r="E240" i="8"/>
  <c r="I240" i="8" s="1"/>
  <c r="J130" i="8"/>
  <c r="K130" i="8" s="1"/>
  <c r="N370" i="30"/>
  <c r="E130" i="8"/>
  <c r="G130" i="8" s="1"/>
  <c r="J298" i="8"/>
  <c r="K298" i="8" s="1"/>
  <c r="E298" i="8"/>
  <c r="D21" i="5"/>
  <c r="D164" i="5"/>
  <c r="O164" i="5" s="1"/>
  <c r="D219" i="5"/>
  <c r="O219" i="5" s="1"/>
  <c r="I219" i="5"/>
  <c r="J256" i="8"/>
  <c r="K256" i="8" s="1"/>
  <c r="E256" i="8"/>
  <c r="I256" i="8" s="1"/>
  <c r="I323" i="9"/>
  <c r="J323" i="9" s="1"/>
  <c r="E323" i="9"/>
  <c r="F323" i="9" s="1"/>
  <c r="H323" i="9"/>
  <c r="J306" i="8"/>
  <c r="K306" i="8" s="1"/>
  <c r="E306" i="8"/>
  <c r="G306" i="8" s="1"/>
  <c r="D248" i="5"/>
  <c r="O248" i="5" s="1"/>
  <c r="J199" i="8"/>
  <c r="K199" i="8" s="1"/>
  <c r="N399" i="30"/>
  <c r="E199" i="8"/>
  <c r="H199" i="8" s="1"/>
  <c r="J139" i="4"/>
  <c r="D139" i="4"/>
  <c r="L139" i="4" s="1"/>
  <c r="M294" i="30"/>
  <c r="D87" i="4"/>
  <c r="L87" i="4" s="1"/>
  <c r="J87" i="4"/>
  <c r="I216" i="5"/>
  <c r="D216" i="5"/>
  <c r="O216" i="5" s="1"/>
  <c r="J159" i="4"/>
  <c r="D159" i="4"/>
  <c r="L159" i="4" s="1"/>
  <c r="M322" i="30"/>
  <c r="D121" i="4"/>
  <c r="L121" i="4" s="1"/>
  <c r="J121" i="4"/>
  <c r="J180" i="8"/>
  <c r="K180" i="8" s="1"/>
  <c r="N390" i="30"/>
  <c r="E180" i="8"/>
  <c r="F180" i="8" s="1"/>
  <c r="J121" i="8"/>
  <c r="K121" i="8" s="1"/>
  <c r="N434" i="30"/>
  <c r="E121" i="8"/>
  <c r="G121" i="8" s="1"/>
  <c r="J144" i="8"/>
  <c r="K144" i="8" s="1"/>
  <c r="N373" i="30"/>
  <c r="E144" i="8"/>
  <c r="G144" i="8" s="1"/>
  <c r="I109" i="9"/>
  <c r="J109" i="9" s="1"/>
  <c r="M367" i="30"/>
  <c r="H109" i="9"/>
  <c r="E109" i="9"/>
  <c r="J370" i="8"/>
  <c r="K370" i="8" s="1"/>
  <c r="N432" i="30"/>
  <c r="E370" i="8"/>
  <c r="C389" i="8" s="1"/>
  <c r="J231" i="8"/>
  <c r="K231" i="8" s="1"/>
  <c r="E231" i="8"/>
  <c r="I231" i="8" s="1"/>
  <c r="I344" i="9"/>
  <c r="J344" i="9" s="1"/>
  <c r="H344" i="9"/>
  <c r="E344" i="9"/>
  <c r="D144" i="5"/>
  <c r="O144" i="5" s="1"/>
  <c r="F37" i="22"/>
  <c r="E37" i="22"/>
  <c r="D163" i="5"/>
  <c r="O163" i="5" s="1"/>
  <c r="F48" i="22"/>
  <c r="E48" i="22"/>
  <c r="D176" i="5"/>
  <c r="O176" i="5" s="1"/>
  <c r="F36" i="22"/>
  <c r="E36" i="22"/>
  <c r="I102" i="9"/>
  <c r="J102" i="9" s="1"/>
  <c r="E102" i="9"/>
  <c r="F102" i="9" s="1"/>
  <c r="H102" i="9"/>
  <c r="D253" i="5"/>
  <c r="O253" i="5" s="1"/>
  <c r="I53" i="9"/>
  <c r="J53" i="9" s="1"/>
  <c r="H53" i="9"/>
  <c r="E53" i="9"/>
  <c r="F53" i="9" s="1"/>
  <c r="J74" i="8"/>
  <c r="K74" i="8" s="1"/>
  <c r="E74" i="8"/>
  <c r="F74" i="8" s="1"/>
  <c r="I133" i="9"/>
  <c r="J133" i="9" s="1"/>
  <c r="E133" i="9"/>
  <c r="F133" i="9" s="1"/>
  <c r="H133" i="9"/>
  <c r="J209" i="8"/>
  <c r="K209" i="8" s="1"/>
  <c r="E209" i="8"/>
  <c r="I209" i="8" s="1"/>
  <c r="I158" i="9"/>
  <c r="J158" i="9" s="1"/>
  <c r="H158" i="9"/>
  <c r="E158" i="9"/>
  <c r="J116" i="8"/>
  <c r="K116" i="8" s="1"/>
  <c r="E116" i="8"/>
  <c r="F116" i="8" s="1"/>
  <c r="I40" i="9"/>
  <c r="J40" i="9" s="1"/>
  <c r="E40" i="9"/>
  <c r="F40" i="9" s="1"/>
  <c r="H40" i="9"/>
  <c r="J131" i="8"/>
  <c r="K131" i="8" s="1"/>
  <c r="E131" i="8"/>
  <c r="G131" i="8" s="1"/>
  <c r="J72" i="8"/>
  <c r="K72" i="8" s="1"/>
  <c r="E72" i="8"/>
  <c r="F72" i="8" s="1"/>
  <c r="D242" i="5"/>
  <c r="O242" i="5" s="1"/>
  <c r="J197" i="8"/>
  <c r="K197" i="8" s="1"/>
  <c r="E197" i="8"/>
  <c r="H197" i="8" s="1"/>
  <c r="J223" i="8"/>
  <c r="K223" i="8" s="1"/>
  <c r="E223" i="8"/>
  <c r="I223" i="8" s="1"/>
  <c r="I383" i="9"/>
  <c r="J383" i="9" s="1"/>
  <c r="H383" i="9"/>
  <c r="E383" i="9"/>
  <c r="I199" i="9"/>
  <c r="J199" i="9" s="1"/>
  <c r="E199" i="9"/>
  <c r="H199" i="9"/>
  <c r="I26" i="9"/>
  <c r="J26" i="9" s="1"/>
  <c r="H26" i="9"/>
  <c r="E26" i="9"/>
  <c r="D142" i="5"/>
  <c r="O142" i="5" s="1"/>
  <c r="I225" i="9"/>
  <c r="J225" i="9" s="1"/>
  <c r="E225" i="9"/>
  <c r="H225" i="9"/>
  <c r="D17" i="4"/>
  <c r="L17" i="4" s="1"/>
  <c r="J17" i="4"/>
  <c r="I304" i="9"/>
  <c r="J304" i="9" s="1"/>
  <c r="E304" i="9"/>
  <c r="H304" i="9"/>
  <c r="J367" i="8"/>
  <c r="K367" i="8" s="1"/>
  <c r="E367" i="8"/>
  <c r="G367" i="8" s="1"/>
  <c r="I280" i="9"/>
  <c r="J280" i="9" s="1"/>
  <c r="M414" i="30"/>
  <c r="E280" i="9"/>
  <c r="H280" i="9"/>
  <c r="J351" i="8"/>
  <c r="K351" i="8" s="1"/>
  <c r="E351" i="8"/>
  <c r="I36" i="9"/>
  <c r="J36" i="9" s="1"/>
  <c r="E36" i="9"/>
  <c r="H36" i="9"/>
  <c r="J280" i="8"/>
  <c r="K280" i="8" s="1"/>
  <c r="E280" i="8"/>
  <c r="I280" i="8" s="1"/>
  <c r="D183" i="4"/>
  <c r="L183" i="4" s="1"/>
  <c r="J183" i="4"/>
  <c r="D207" i="5"/>
  <c r="O207" i="5" s="1"/>
  <c r="J204" i="8"/>
  <c r="K204" i="8" s="1"/>
  <c r="N400" i="30"/>
  <c r="E204" i="8"/>
  <c r="D184" i="5"/>
  <c r="O184" i="5" s="1"/>
  <c r="D231" i="5"/>
  <c r="O231" i="5" s="1"/>
  <c r="I7" i="9"/>
  <c r="J7" i="9" s="1"/>
  <c r="C387" i="9"/>
  <c r="E7" i="9"/>
  <c r="H7" i="9"/>
  <c r="J300" i="8"/>
  <c r="K300" i="8" s="1"/>
  <c r="E300" i="8"/>
  <c r="J128" i="4"/>
  <c r="D128" i="4"/>
  <c r="L128" i="4" s="1"/>
  <c r="J114" i="8"/>
  <c r="K114" i="8" s="1"/>
  <c r="N362" i="30"/>
  <c r="E114" i="8"/>
  <c r="G114" i="8" s="1"/>
  <c r="N301" i="30"/>
  <c r="D156" i="5"/>
  <c r="O156" i="5" s="1"/>
  <c r="N291" i="30"/>
  <c r="D117" i="5"/>
  <c r="J18" i="8"/>
  <c r="K18" i="8" s="1"/>
  <c r="E18" i="8"/>
  <c r="J75" i="8"/>
  <c r="K75" i="8" s="1"/>
  <c r="E75" i="8"/>
  <c r="F75" i="8" s="1"/>
  <c r="J216" i="8"/>
  <c r="K216" i="8" s="1"/>
  <c r="E216" i="8"/>
  <c r="I216" i="8" s="1"/>
  <c r="D49" i="4"/>
  <c r="L49" i="4" s="1"/>
  <c r="J49" i="4"/>
  <c r="J329" i="8"/>
  <c r="K329" i="8" s="1"/>
  <c r="E329" i="8"/>
  <c r="G329" i="8" s="1"/>
  <c r="D158" i="4"/>
  <c r="L158" i="4" s="1"/>
  <c r="J158" i="4"/>
  <c r="I70" i="9"/>
  <c r="J70" i="9" s="1"/>
  <c r="E70" i="9"/>
  <c r="F70" i="9" s="1"/>
  <c r="H70" i="9"/>
  <c r="D256" i="5"/>
  <c r="O256" i="5" s="1"/>
  <c r="I374" i="9"/>
  <c r="J374" i="9" s="1"/>
  <c r="H374" i="9"/>
  <c r="E374" i="9"/>
  <c r="F374" i="9" s="1"/>
  <c r="N290" i="30"/>
  <c r="D110" i="5"/>
  <c r="F110" i="5" s="1"/>
  <c r="J183" i="8"/>
  <c r="K183" i="8" s="1"/>
  <c r="E183" i="8"/>
  <c r="H183" i="8" s="1"/>
  <c r="I296" i="9"/>
  <c r="J296" i="9" s="1"/>
  <c r="E296" i="9"/>
  <c r="H296" i="9"/>
  <c r="J95" i="4"/>
  <c r="D95" i="4"/>
  <c r="L95" i="4" s="1"/>
  <c r="D86" i="4"/>
  <c r="L86" i="4" s="1"/>
  <c r="J86" i="4"/>
  <c r="F23" i="22"/>
  <c r="E23" i="22"/>
  <c r="D255" i="5"/>
  <c r="O255" i="5" s="1"/>
  <c r="J355" i="8"/>
  <c r="K355" i="8" s="1"/>
  <c r="E355" i="8"/>
  <c r="F355" i="8" s="1"/>
  <c r="D50" i="5"/>
  <c r="O50" i="5" s="1"/>
  <c r="J55" i="8"/>
  <c r="K55" i="8" s="1"/>
  <c r="E55" i="8"/>
  <c r="J189" i="8"/>
  <c r="K189" i="8" s="1"/>
  <c r="N395" i="30"/>
  <c r="E189" i="8"/>
  <c r="H189" i="8" s="1"/>
  <c r="J360" i="8"/>
  <c r="K360" i="8" s="1"/>
  <c r="E360" i="8"/>
  <c r="G360" i="8" s="1"/>
  <c r="I150" i="9"/>
  <c r="J150" i="9" s="1"/>
  <c r="M380" i="30"/>
  <c r="E150" i="9"/>
  <c r="H150" i="9"/>
  <c r="D153" i="5"/>
  <c r="O153" i="5" s="1"/>
  <c r="D106" i="5"/>
  <c r="O106" i="5" s="1"/>
  <c r="I235" i="9"/>
  <c r="J235" i="9" s="1"/>
  <c r="H235" i="9"/>
  <c r="E235" i="9"/>
  <c r="I58" i="9"/>
  <c r="J58" i="9" s="1"/>
  <c r="H58" i="9"/>
  <c r="E58" i="9"/>
  <c r="F58" i="9" s="1"/>
  <c r="F24" i="22"/>
  <c r="D24" i="22"/>
  <c r="J120" i="8"/>
  <c r="K120" i="8" s="1"/>
  <c r="E120" i="8"/>
  <c r="G120" i="8" s="1"/>
  <c r="D29" i="5"/>
  <c r="O29" i="5" s="1"/>
  <c r="I246" i="9"/>
  <c r="J246" i="9" s="1"/>
  <c r="H246" i="9"/>
  <c r="E246" i="9"/>
  <c r="J38" i="4"/>
  <c r="D38" i="4"/>
  <c r="L38" i="4" s="1"/>
  <c r="I259" i="9"/>
  <c r="J259" i="9" s="1"/>
  <c r="E259" i="9"/>
  <c r="F259" i="9" s="1"/>
  <c r="H259" i="9"/>
  <c r="J52" i="8"/>
  <c r="K52" i="8" s="1"/>
  <c r="E52" i="8"/>
  <c r="I73" i="9"/>
  <c r="J73" i="9" s="1"/>
  <c r="E73" i="9"/>
  <c r="F73" i="9" s="1"/>
  <c r="H73" i="9"/>
  <c r="D252" i="5"/>
  <c r="O252" i="5" s="1"/>
  <c r="I334" i="9"/>
  <c r="J334" i="9" s="1"/>
  <c r="E334" i="9"/>
  <c r="F334" i="9" s="1"/>
  <c r="H334" i="9"/>
  <c r="J62" i="8"/>
  <c r="K62" i="8" s="1"/>
  <c r="E62" i="8"/>
  <c r="F62" i="8" s="1"/>
  <c r="I355" i="9"/>
  <c r="J355" i="9" s="1"/>
  <c r="E355" i="9"/>
  <c r="F355" i="9" s="1"/>
  <c r="H355" i="9"/>
  <c r="J188" i="8"/>
  <c r="K188" i="8" s="1"/>
  <c r="E188" i="8"/>
  <c r="H188" i="8" s="1"/>
  <c r="I229" i="9"/>
  <c r="J229" i="9" s="1"/>
  <c r="E229" i="9"/>
  <c r="H229" i="9"/>
  <c r="J307" i="8"/>
  <c r="K307" i="8" s="1"/>
  <c r="E307" i="8"/>
  <c r="G307" i="8" s="1"/>
  <c r="D192" i="5"/>
  <c r="O192" i="5" s="1"/>
  <c r="I192" i="5"/>
  <c r="I356" i="9"/>
  <c r="J356" i="9" s="1"/>
  <c r="H356" i="9"/>
  <c r="E356" i="9"/>
  <c r="F356" i="9" s="1"/>
  <c r="I277" i="9"/>
  <c r="J277" i="9" s="1"/>
  <c r="H277" i="9"/>
  <c r="E277" i="9"/>
  <c r="J150" i="8"/>
  <c r="K150" i="8" s="1"/>
  <c r="E150" i="8"/>
  <c r="H150" i="8" s="1"/>
  <c r="I101" i="9"/>
  <c r="J101" i="9" s="1"/>
  <c r="M363" i="30"/>
  <c r="H101" i="9"/>
  <c r="E101" i="9"/>
  <c r="F101" i="9" s="1"/>
  <c r="D98" i="4"/>
  <c r="L98" i="4" s="1"/>
  <c r="J98" i="4"/>
  <c r="I15" i="9"/>
  <c r="J15" i="9" s="1"/>
  <c r="H15" i="9"/>
  <c r="E15" i="9"/>
  <c r="J26" i="22"/>
  <c r="I26" i="22"/>
  <c r="I307" i="9"/>
  <c r="J307" i="9" s="1"/>
  <c r="H307" i="9"/>
  <c r="E307" i="9"/>
  <c r="D100" i="5"/>
  <c r="O100" i="5" s="1"/>
  <c r="I177" i="9"/>
  <c r="J177" i="9" s="1"/>
  <c r="M390" i="30"/>
  <c r="H177" i="9"/>
  <c r="E177" i="9"/>
  <c r="F177" i="9" s="1"/>
  <c r="J71" i="8"/>
  <c r="K71" i="8" s="1"/>
  <c r="E71" i="8"/>
  <c r="F71" i="8" s="1"/>
  <c r="D18" i="5"/>
  <c r="O18" i="5" s="1"/>
  <c r="D9" i="5"/>
  <c r="O9" i="5" s="1"/>
  <c r="D108" i="5"/>
  <c r="O108" i="5" s="1"/>
  <c r="D44" i="5"/>
  <c r="O44" i="5" s="1"/>
  <c r="I270" i="9"/>
  <c r="J270" i="9" s="1"/>
  <c r="E270" i="9"/>
  <c r="F270" i="9" s="1"/>
  <c r="H270" i="9"/>
  <c r="I261" i="9"/>
  <c r="J261" i="9" s="1"/>
  <c r="E261" i="9"/>
  <c r="F261" i="9" s="1"/>
  <c r="H261" i="9"/>
  <c r="D126" i="5"/>
  <c r="O126" i="5" s="1"/>
  <c r="I98" i="9"/>
  <c r="J98" i="9" s="1"/>
  <c r="M362" i="30"/>
  <c r="H98" i="9"/>
  <c r="E98" i="9"/>
  <c r="F98" i="9" s="1"/>
  <c r="F44" i="22"/>
  <c r="E44" i="22"/>
  <c r="I174" i="9"/>
  <c r="J174" i="9" s="1"/>
  <c r="E174" i="9"/>
  <c r="H174" i="9"/>
  <c r="J200" i="8"/>
  <c r="K200" i="8" s="1"/>
  <c r="E200" i="8"/>
  <c r="F200" i="8" s="1"/>
  <c r="I384" i="9"/>
  <c r="J384" i="9" s="1"/>
  <c r="E384" i="9"/>
  <c r="H384" i="9"/>
  <c r="J288" i="8"/>
  <c r="K288" i="8" s="1"/>
  <c r="E288" i="8"/>
  <c r="I114" i="9"/>
  <c r="J114" i="9" s="1"/>
  <c r="M369" i="30"/>
  <c r="H114" i="9"/>
  <c r="E114" i="9"/>
  <c r="D133" i="4"/>
  <c r="L133" i="4" s="1"/>
  <c r="J133" i="4"/>
  <c r="J48" i="22"/>
  <c r="I48" i="22"/>
  <c r="J134" i="8"/>
  <c r="K134" i="8" s="1"/>
  <c r="E134" i="8"/>
  <c r="G134" i="8" s="1"/>
  <c r="F38" i="22"/>
  <c r="E38" i="22"/>
  <c r="J289" i="8"/>
  <c r="K289" i="8" s="1"/>
  <c r="E289" i="8"/>
  <c r="I218" i="9"/>
  <c r="J218" i="9" s="1"/>
  <c r="H218" i="9"/>
  <c r="E218" i="9"/>
  <c r="I171" i="9"/>
  <c r="J171" i="9" s="1"/>
  <c r="H171" i="9"/>
  <c r="E171" i="9"/>
  <c r="F171" i="9" s="1"/>
  <c r="I292" i="9"/>
  <c r="J292" i="9" s="1"/>
  <c r="E292" i="9"/>
  <c r="H292" i="9"/>
  <c r="J105" i="8"/>
  <c r="K105" i="8" s="1"/>
  <c r="E105" i="8"/>
  <c r="I23" i="9"/>
  <c r="J23" i="9" s="1"/>
  <c r="H23" i="9"/>
  <c r="E23" i="9"/>
  <c r="J34" i="4"/>
  <c r="D34" i="4"/>
  <c r="L34" i="4" s="1"/>
  <c r="I369" i="9"/>
  <c r="J369" i="9" s="1"/>
  <c r="H369" i="9"/>
  <c r="E369" i="9"/>
  <c r="J83" i="8"/>
  <c r="K83" i="8" s="1"/>
  <c r="E83" i="8"/>
  <c r="F83" i="8" s="1"/>
  <c r="I64" i="9"/>
  <c r="J64" i="9" s="1"/>
  <c r="H64" i="9"/>
  <c r="E64" i="9"/>
  <c r="F64" i="9" s="1"/>
  <c r="D113" i="5"/>
  <c r="O113" i="5" s="1"/>
  <c r="F40" i="22"/>
  <c r="E40" i="22"/>
  <c r="J31" i="22"/>
  <c r="I31" i="22"/>
  <c r="J285" i="8"/>
  <c r="K285" i="8" s="1"/>
  <c r="E285" i="8"/>
  <c r="F285" i="8" s="1"/>
  <c r="J147" i="8"/>
  <c r="K147" i="8" s="1"/>
  <c r="E147" i="8"/>
  <c r="G147" i="8" s="1"/>
  <c r="J44" i="8"/>
  <c r="K44" i="8" s="1"/>
  <c r="E44" i="8"/>
  <c r="J195" i="8"/>
  <c r="K195" i="8" s="1"/>
  <c r="N398" i="30"/>
  <c r="E195" i="8"/>
  <c r="H195" i="8" s="1"/>
  <c r="I187" i="9"/>
  <c r="J187" i="9" s="1"/>
  <c r="H187" i="9"/>
  <c r="E187" i="9"/>
  <c r="I366" i="9"/>
  <c r="J366" i="9" s="1"/>
  <c r="E366" i="9"/>
  <c r="F366" i="9" s="1"/>
  <c r="H366" i="9"/>
  <c r="D102" i="5"/>
  <c r="O102" i="5" s="1"/>
  <c r="J37" i="4"/>
  <c r="D37" i="4"/>
  <c r="L37" i="4" s="1"/>
  <c r="D60" i="5"/>
  <c r="O60" i="5" s="1"/>
  <c r="J106" i="4"/>
  <c r="D106" i="4"/>
  <c r="L106" i="4" s="1"/>
  <c r="J305" i="8"/>
  <c r="K305" i="8" s="1"/>
  <c r="N417" i="30"/>
  <c r="E305" i="8"/>
  <c r="G305" i="8" s="1"/>
  <c r="J137" i="8"/>
  <c r="K137" i="8" s="1"/>
  <c r="N371" i="30"/>
  <c r="E137" i="8"/>
  <c r="G137" i="8" s="1"/>
  <c r="D53" i="4"/>
  <c r="L53" i="4" s="1"/>
  <c r="J53" i="4"/>
  <c r="I322" i="9"/>
  <c r="J322" i="9" s="1"/>
  <c r="H322" i="9"/>
  <c r="E322" i="9"/>
  <c r="F322" i="9" s="1"/>
  <c r="J42" i="8"/>
  <c r="K42" i="8" s="1"/>
  <c r="E42" i="8"/>
  <c r="F42" i="8" s="1"/>
  <c r="I286" i="9"/>
  <c r="J286" i="9" s="1"/>
  <c r="H286" i="9"/>
  <c r="E286" i="9"/>
  <c r="J41" i="8"/>
  <c r="K41" i="8" s="1"/>
  <c r="E41" i="8"/>
  <c r="I153" i="9"/>
  <c r="J153" i="9" s="1"/>
  <c r="H153" i="9"/>
  <c r="E153" i="9"/>
  <c r="D213" i="5"/>
  <c r="O213" i="5" s="1"/>
  <c r="J79" i="8"/>
  <c r="K79" i="8" s="1"/>
  <c r="E79" i="8"/>
  <c r="F79" i="8" s="1"/>
  <c r="D122" i="5"/>
  <c r="O122" i="5" s="1"/>
  <c r="J32" i="22"/>
  <c r="I32" i="22"/>
  <c r="D226" i="5"/>
  <c r="O226" i="5" s="1"/>
  <c r="J91" i="8"/>
  <c r="K91" i="8" s="1"/>
  <c r="E91" i="8"/>
  <c r="D65" i="5"/>
  <c r="O65" i="5" s="1"/>
  <c r="J124" i="8"/>
  <c r="K124" i="8" s="1"/>
  <c r="N366" i="30"/>
  <c r="E124" i="8"/>
  <c r="G124" i="8" s="1"/>
  <c r="J20" i="8"/>
  <c r="K20" i="8" s="1"/>
  <c r="E20" i="8"/>
  <c r="J153" i="8"/>
  <c r="K153" i="8" s="1"/>
  <c r="E153" i="8"/>
  <c r="H153" i="8" s="1"/>
  <c r="J303" i="8"/>
  <c r="K303" i="8" s="1"/>
  <c r="E303" i="8"/>
  <c r="G303" i="8" s="1"/>
  <c r="J363" i="8"/>
  <c r="K363" i="8" s="1"/>
  <c r="N428" i="30"/>
  <c r="E363" i="8"/>
  <c r="G363" i="8" s="1"/>
  <c r="D56" i="5"/>
  <c r="O56" i="5" s="1"/>
  <c r="J259" i="8"/>
  <c r="K259" i="8" s="1"/>
  <c r="N410" i="30"/>
  <c r="E259" i="8"/>
  <c r="I259" i="8" s="1"/>
  <c r="J35" i="4"/>
  <c r="D35" i="4"/>
  <c r="L35" i="4" s="1"/>
  <c r="I313" i="9"/>
  <c r="J313" i="9" s="1"/>
  <c r="E313" i="9"/>
  <c r="F313" i="9" s="1"/>
  <c r="H313" i="9"/>
  <c r="J265" i="8"/>
  <c r="K265" i="8" s="1"/>
  <c r="E265" i="8"/>
  <c r="I265" i="8" s="1"/>
  <c r="I126" i="9"/>
  <c r="J126" i="9" s="1"/>
  <c r="H126" i="9"/>
  <c r="E126" i="9"/>
  <c r="I294" i="9"/>
  <c r="J294" i="9" s="1"/>
  <c r="M416" i="30"/>
  <c r="E294" i="9"/>
  <c r="H294" i="9"/>
  <c r="D93" i="5"/>
  <c r="O93" i="5" s="1"/>
  <c r="J290" i="8"/>
  <c r="K290" i="8" s="1"/>
  <c r="E290" i="8"/>
  <c r="J205" i="8"/>
  <c r="K205" i="8" s="1"/>
  <c r="E205" i="8"/>
  <c r="H205" i="8" s="1"/>
  <c r="J283" i="8"/>
  <c r="K283" i="8" s="1"/>
  <c r="E283" i="8"/>
  <c r="I255" i="9"/>
  <c r="J255" i="9" s="1"/>
  <c r="M409" i="30"/>
  <c r="H255" i="9"/>
  <c r="E255" i="9"/>
  <c r="J174" i="4"/>
  <c r="D174" i="4"/>
  <c r="L174" i="4" s="1"/>
  <c r="I155" i="9"/>
  <c r="J155" i="9" s="1"/>
  <c r="E155" i="9"/>
  <c r="H155" i="9"/>
  <c r="J21" i="4"/>
  <c r="D21" i="4"/>
  <c r="L21" i="4" s="1"/>
  <c r="I190" i="9"/>
  <c r="J190" i="9" s="1"/>
  <c r="M398" i="30"/>
  <c r="H190" i="9"/>
  <c r="E190" i="9"/>
  <c r="J126" i="8"/>
  <c r="K126" i="8" s="1"/>
  <c r="E126" i="8"/>
  <c r="G126" i="8" s="1"/>
  <c r="I303" i="9"/>
  <c r="J303" i="9" s="1"/>
  <c r="H303" i="9"/>
  <c r="E303" i="9"/>
  <c r="J154" i="8"/>
  <c r="K154" i="8" s="1"/>
  <c r="N378" i="30"/>
  <c r="E154" i="8"/>
  <c r="G154" i="8" s="1"/>
  <c r="I260" i="9"/>
  <c r="J260" i="9" s="1"/>
  <c r="H260" i="9"/>
  <c r="E260" i="9"/>
  <c r="D103" i="5"/>
  <c r="O103" i="5" s="1"/>
  <c r="J82" i="8"/>
  <c r="K82" i="8" s="1"/>
  <c r="E82" i="8"/>
  <c r="F82" i="8" s="1"/>
  <c r="I62" i="9"/>
  <c r="J62" i="9" s="1"/>
  <c r="H62" i="9"/>
  <c r="E62" i="9"/>
  <c r="F62" i="9" s="1"/>
  <c r="D94" i="5"/>
  <c r="O94" i="5" s="1"/>
  <c r="D109" i="4"/>
  <c r="L109" i="4" s="1"/>
  <c r="J109" i="4"/>
  <c r="I45" i="9"/>
  <c r="J45" i="9" s="1"/>
  <c r="H45" i="9"/>
  <c r="E45" i="9"/>
  <c r="I274" i="9"/>
  <c r="J274" i="9" s="1"/>
  <c r="E274" i="9"/>
  <c r="H274" i="9"/>
  <c r="J12" i="8"/>
  <c r="K12" i="8" s="1"/>
  <c r="E12" i="8"/>
  <c r="G12" i="8" s="1"/>
  <c r="J115" i="8"/>
  <c r="K115" i="8" s="1"/>
  <c r="E115" i="8"/>
  <c r="G115" i="8" s="1"/>
  <c r="D235" i="5"/>
  <c r="O235" i="5" s="1"/>
  <c r="J8" i="4"/>
  <c r="C55" i="4"/>
  <c r="D8" i="4"/>
  <c r="L8" i="4" s="1"/>
  <c r="J65" i="4"/>
  <c r="D65" i="4"/>
  <c r="L65" i="4" s="1"/>
  <c r="I308" i="9"/>
  <c r="J308" i="9" s="1"/>
  <c r="H308" i="9"/>
  <c r="E308" i="9"/>
  <c r="D25" i="5"/>
  <c r="O25" i="5" s="1"/>
  <c r="I200" i="9"/>
  <c r="J200" i="9" s="1"/>
  <c r="H200" i="9"/>
  <c r="E200" i="9"/>
  <c r="I287" i="9"/>
  <c r="J287" i="9" s="1"/>
  <c r="E287" i="9"/>
  <c r="H287" i="9"/>
  <c r="J170" i="4"/>
  <c r="D170" i="4"/>
  <c r="L170" i="4" s="1"/>
  <c r="I243" i="9"/>
  <c r="J243" i="9" s="1"/>
  <c r="M406" i="30"/>
  <c r="H243" i="9"/>
  <c r="E243" i="9"/>
  <c r="J84" i="8"/>
  <c r="K84" i="8" s="1"/>
  <c r="E84" i="8"/>
  <c r="F84" i="8" s="1"/>
  <c r="I86" i="9"/>
  <c r="J86" i="9" s="1"/>
  <c r="E86" i="9"/>
  <c r="H86" i="9"/>
  <c r="J357" i="8"/>
  <c r="K357" i="8" s="1"/>
  <c r="N426" i="30"/>
  <c r="E357" i="8"/>
  <c r="F357" i="8" s="1"/>
  <c r="I107" i="9"/>
  <c r="J107" i="9" s="1"/>
  <c r="M366" i="30"/>
  <c r="E107" i="9"/>
  <c r="H107" i="9"/>
  <c r="D125" i="5"/>
  <c r="O125" i="5" s="1"/>
  <c r="I202" i="9"/>
  <c r="J202" i="9" s="1"/>
  <c r="E202" i="9"/>
  <c r="H202" i="9"/>
  <c r="J156" i="8"/>
  <c r="K156" i="8" s="1"/>
  <c r="E156" i="8"/>
  <c r="H156" i="8" s="1"/>
  <c r="I237" i="9"/>
  <c r="J237" i="9" s="1"/>
  <c r="H237" i="9"/>
  <c r="E237" i="9"/>
  <c r="D23" i="5"/>
  <c r="O23" i="5" s="1"/>
  <c r="I278" i="9"/>
  <c r="J278" i="9" s="1"/>
  <c r="E278" i="9"/>
  <c r="H278" i="9"/>
  <c r="I226" i="9"/>
  <c r="J226" i="9" s="1"/>
  <c r="H226" i="9"/>
  <c r="E226" i="9"/>
  <c r="D188" i="4"/>
  <c r="L188" i="4" s="1"/>
  <c r="J188" i="4"/>
  <c r="I165" i="9"/>
  <c r="J165" i="9" s="1"/>
  <c r="H165" i="9"/>
  <c r="E165" i="9"/>
  <c r="F165" i="9" s="1"/>
  <c r="N308" i="30"/>
  <c r="D194" i="5"/>
  <c r="F194" i="5" s="1"/>
  <c r="I13" i="9"/>
  <c r="J13" i="9" s="1"/>
  <c r="H13" i="9"/>
  <c r="E13" i="9"/>
  <c r="D77" i="5"/>
  <c r="C267" i="5"/>
  <c r="I65" i="9"/>
  <c r="J65" i="9" s="1"/>
  <c r="E65" i="9"/>
  <c r="F65" i="9" s="1"/>
  <c r="H65" i="9"/>
  <c r="D254" i="5"/>
  <c r="O254" i="5" s="1"/>
  <c r="D134" i="4"/>
  <c r="L134" i="4" s="1"/>
  <c r="J134" i="4"/>
  <c r="J119" i="8"/>
  <c r="K119" i="8" s="1"/>
  <c r="N365" i="30"/>
  <c r="E119" i="8"/>
  <c r="G119" i="8" s="1"/>
  <c r="D33" i="5"/>
  <c r="O33" i="5" s="1"/>
  <c r="I365" i="9"/>
  <c r="J365" i="9" s="1"/>
  <c r="M434" i="30"/>
  <c r="E365" i="9"/>
  <c r="F365" i="9" s="1"/>
  <c r="H365" i="9"/>
  <c r="I266" i="9"/>
  <c r="J266" i="9" s="1"/>
  <c r="H266" i="9"/>
  <c r="E266" i="9"/>
  <c r="J228" i="8"/>
  <c r="K228" i="8" s="1"/>
  <c r="N404" i="30"/>
  <c r="E228" i="8"/>
  <c r="I228" i="8" s="1"/>
  <c r="I367" i="9"/>
  <c r="J367" i="9" s="1"/>
  <c r="H367" i="9"/>
  <c r="E367" i="9"/>
  <c r="J178" i="8"/>
  <c r="K178" i="8" s="1"/>
  <c r="E178" i="8"/>
  <c r="F178" i="8" s="1"/>
  <c r="I108" i="9"/>
  <c r="J108" i="9" s="1"/>
  <c r="E108" i="9"/>
  <c r="H108" i="9"/>
  <c r="D166" i="5"/>
  <c r="O166" i="5" s="1"/>
  <c r="I75" i="9"/>
  <c r="J75" i="9" s="1"/>
  <c r="H75" i="9"/>
  <c r="E75" i="9"/>
  <c r="J30" i="22"/>
  <c r="I30" i="22"/>
  <c r="I11" i="9"/>
  <c r="J11" i="9" s="1"/>
  <c r="H11" i="9"/>
  <c r="E11" i="9"/>
  <c r="D166" i="4"/>
  <c r="L166" i="4" s="1"/>
  <c r="J166" i="4"/>
  <c r="J15" i="22"/>
  <c r="I15" i="22"/>
  <c r="D232" i="5"/>
  <c r="O232" i="5" s="1"/>
  <c r="F15" i="22"/>
  <c r="E15" i="22"/>
  <c r="D24" i="5"/>
  <c r="O24" i="5" s="1"/>
  <c r="I354" i="9"/>
  <c r="J354" i="9" s="1"/>
  <c r="M430" i="30"/>
  <c r="E354" i="9"/>
  <c r="F354" i="9" s="1"/>
  <c r="H354" i="9"/>
  <c r="D110" i="4"/>
  <c r="L110" i="4" s="1"/>
  <c r="J110" i="4"/>
  <c r="I241" i="9"/>
  <c r="J241" i="9" s="1"/>
  <c r="H241" i="9"/>
  <c r="E241" i="9"/>
  <c r="J184" i="4"/>
  <c r="D184" i="4"/>
  <c r="L184" i="4" s="1"/>
  <c r="J332" i="8"/>
  <c r="K332" i="8" s="1"/>
  <c r="E332" i="8"/>
  <c r="G332" i="8" s="1"/>
  <c r="J247" i="8"/>
  <c r="K247" i="8" s="1"/>
  <c r="E247" i="8"/>
  <c r="I247" i="8" s="1"/>
  <c r="D51" i="4"/>
  <c r="L51" i="4" s="1"/>
  <c r="J51" i="4"/>
  <c r="D225" i="5"/>
  <c r="O225" i="5" s="1"/>
  <c r="J128" i="8"/>
  <c r="K128" i="8" s="1"/>
  <c r="N368" i="30"/>
  <c r="E128" i="8"/>
  <c r="G128" i="8" s="1"/>
  <c r="J142" i="8"/>
  <c r="K142" i="8" s="1"/>
  <c r="E142" i="8"/>
  <c r="G142" i="8" s="1"/>
  <c r="D82" i="4"/>
  <c r="L82" i="4" s="1"/>
  <c r="J82" i="4"/>
  <c r="D239" i="5"/>
  <c r="O239" i="5" s="1"/>
  <c r="J175" i="4"/>
  <c r="D175" i="4"/>
  <c r="L175" i="4" s="1"/>
  <c r="I189" i="9"/>
  <c r="J189" i="9" s="1"/>
  <c r="M397" i="30"/>
  <c r="E189" i="9"/>
  <c r="F189" i="9" s="1"/>
  <c r="H189" i="9"/>
  <c r="J184" i="8"/>
  <c r="K184" i="8" s="1"/>
  <c r="E184" i="8"/>
  <c r="H184" i="8" s="1"/>
  <c r="I139" i="9"/>
  <c r="J139" i="9" s="1"/>
  <c r="M377" i="30"/>
  <c r="E139" i="9"/>
  <c r="H139" i="9"/>
  <c r="J235" i="8"/>
  <c r="K235" i="8" s="1"/>
  <c r="E235" i="8"/>
  <c r="I235" i="8" s="1"/>
  <c r="I164" i="9"/>
  <c r="J164" i="9" s="1"/>
  <c r="H164" i="9"/>
  <c r="E164" i="9"/>
  <c r="D206" i="5"/>
  <c r="O206" i="5" s="1"/>
  <c r="J96" i="4"/>
  <c r="D96" i="4"/>
  <c r="L96" i="4" s="1"/>
  <c r="J313" i="8"/>
  <c r="K313" i="8" s="1"/>
  <c r="E313" i="8"/>
  <c r="G313" i="8" s="1"/>
  <c r="J258" i="8"/>
  <c r="K258" i="8" s="1"/>
  <c r="E258" i="8"/>
  <c r="I258" i="8" s="1"/>
  <c r="D116" i="4"/>
  <c r="L116" i="4" s="1"/>
  <c r="J116" i="4"/>
  <c r="D96" i="5"/>
  <c r="O96" i="5" s="1"/>
  <c r="J68" i="8"/>
  <c r="K68" i="8" s="1"/>
  <c r="E68" i="8"/>
  <c r="F68" i="8" s="1"/>
  <c r="J160" i="8"/>
  <c r="K160" i="8" s="1"/>
  <c r="N435" i="30"/>
  <c r="E160" i="8"/>
  <c r="G160" i="8" s="1"/>
  <c r="J109" i="8"/>
  <c r="K109" i="8" s="1"/>
  <c r="E109" i="8"/>
  <c r="J108" i="8"/>
  <c r="K108" i="8" s="1"/>
  <c r="E108" i="8"/>
  <c r="F108" i="8" s="1"/>
  <c r="I233" i="9"/>
  <c r="J233" i="9" s="1"/>
  <c r="H233" i="9"/>
  <c r="E233" i="9"/>
  <c r="D52" i="4"/>
  <c r="L52" i="4" s="1"/>
  <c r="J52" i="4"/>
  <c r="J17" i="22"/>
  <c r="I17" i="22"/>
  <c r="D113" i="4"/>
  <c r="L113" i="4" s="1"/>
  <c r="J113" i="4"/>
  <c r="M318" i="30"/>
  <c r="D152" i="4"/>
  <c r="L152" i="4" s="1"/>
  <c r="J152" i="4"/>
  <c r="J301" i="8"/>
  <c r="K301" i="8" s="1"/>
  <c r="E301" i="8"/>
  <c r="J152" i="8"/>
  <c r="K152" i="8" s="1"/>
  <c r="E152" i="8"/>
  <c r="H152" i="8" s="1"/>
  <c r="J159" i="8"/>
  <c r="K159" i="8" s="1"/>
  <c r="E159" i="8"/>
  <c r="H159" i="8" s="1"/>
  <c r="J331" i="8"/>
  <c r="K331" i="8" s="1"/>
  <c r="E331" i="8"/>
  <c r="F331" i="8" s="1"/>
  <c r="J33" i="4"/>
  <c r="D33" i="4"/>
  <c r="L33" i="4" s="1"/>
  <c r="D198" i="4"/>
  <c r="L198" i="4" s="1"/>
  <c r="J198" i="4"/>
  <c r="D39" i="5"/>
  <c r="O39" i="5" s="1"/>
  <c r="D120" i="5"/>
  <c r="O120" i="5" s="1"/>
  <c r="J204" i="4"/>
  <c r="J87" i="8"/>
  <c r="K87" i="8" s="1"/>
  <c r="E87" i="8"/>
  <c r="M298" i="30"/>
  <c r="D99" i="4"/>
  <c r="L99" i="4" s="1"/>
  <c r="J99" i="4"/>
  <c r="I145" i="9"/>
  <c r="J145" i="9" s="1"/>
  <c r="H145" i="9"/>
  <c r="E145" i="9"/>
  <c r="D36" i="5"/>
  <c r="O36" i="5" s="1"/>
  <c r="I85" i="9"/>
  <c r="J85" i="9" s="1"/>
  <c r="H85" i="9"/>
  <c r="E85" i="9"/>
  <c r="D95" i="5"/>
  <c r="O95" i="5" s="1"/>
  <c r="I172" i="9"/>
  <c r="J172" i="9" s="1"/>
  <c r="M385" i="30"/>
  <c r="H172" i="9"/>
  <c r="E172" i="9"/>
  <c r="J38" i="22"/>
  <c r="I38" i="22"/>
  <c r="I375" i="9"/>
  <c r="J375" i="9" s="1"/>
  <c r="E375" i="9"/>
  <c r="H375" i="9"/>
  <c r="D23" i="4"/>
  <c r="L23" i="4" s="1"/>
  <c r="J23" i="4"/>
  <c r="I358" i="9"/>
  <c r="J358" i="9" s="1"/>
  <c r="H358" i="9"/>
  <c r="E358" i="9"/>
  <c r="J155" i="4"/>
  <c r="D155" i="4"/>
  <c r="L155" i="4" s="1"/>
  <c r="I178" i="9"/>
  <c r="J178" i="9" s="1"/>
  <c r="M391" i="30"/>
  <c r="H178" i="9"/>
  <c r="E178" i="9"/>
  <c r="J238" i="8"/>
  <c r="K238" i="8" s="1"/>
  <c r="E238" i="8"/>
  <c r="I238" i="8" s="1"/>
  <c r="I129" i="9"/>
  <c r="J129" i="9" s="1"/>
  <c r="M375" i="30"/>
  <c r="E129" i="9"/>
  <c r="H129" i="9"/>
  <c r="J157" i="8"/>
  <c r="K157" i="8" s="1"/>
  <c r="E157" i="8"/>
  <c r="H157" i="8" s="1"/>
  <c r="I192" i="9"/>
  <c r="J192" i="9" s="1"/>
  <c r="H192" i="9"/>
  <c r="E192" i="9"/>
  <c r="F192" i="9" s="1"/>
  <c r="J249" i="8"/>
  <c r="K249" i="8" s="1"/>
  <c r="E249" i="8"/>
  <c r="I249" i="8" s="1"/>
  <c r="I105" i="9"/>
  <c r="J105" i="9" s="1"/>
  <c r="M365" i="30"/>
  <c r="E105" i="9"/>
  <c r="H105" i="9"/>
  <c r="D68" i="4"/>
  <c r="L68" i="4" s="1"/>
  <c r="J68" i="4"/>
  <c r="M290" i="30"/>
  <c r="J164" i="8"/>
  <c r="K164" i="8" s="1"/>
  <c r="N382" i="30"/>
  <c r="E164" i="8"/>
  <c r="F164" i="8" s="1"/>
  <c r="I135" i="9"/>
  <c r="J135" i="9" s="1"/>
  <c r="E135" i="9"/>
  <c r="H135" i="9"/>
  <c r="J267" i="8"/>
  <c r="K267" i="8" s="1"/>
  <c r="E267" i="8"/>
  <c r="I267" i="8" s="1"/>
  <c r="F22" i="22"/>
  <c r="E22" i="22"/>
  <c r="D228" i="5"/>
  <c r="O228" i="5" s="1"/>
  <c r="D137" i="5"/>
  <c r="O137" i="5" s="1"/>
  <c r="I254" i="9"/>
  <c r="J254" i="9" s="1"/>
  <c r="E254" i="9"/>
  <c r="H254" i="9"/>
  <c r="J71" i="4"/>
  <c r="D71" i="4"/>
  <c r="L71" i="4" s="1"/>
  <c r="I331" i="9"/>
  <c r="J331" i="9" s="1"/>
  <c r="E331" i="9"/>
  <c r="F331" i="9" s="1"/>
  <c r="H331" i="9"/>
  <c r="D115" i="5"/>
  <c r="O115" i="5" s="1"/>
  <c r="I342" i="9"/>
  <c r="J342" i="9" s="1"/>
  <c r="E342" i="9"/>
  <c r="H342" i="9"/>
  <c r="J77" i="8"/>
  <c r="K77" i="8" s="1"/>
  <c r="E77" i="8"/>
  <c r="F77" i="8" s="1"/>
  <c r="I207" i="9"/>
  <c r="J207" i="9" s="1"/>
  <c r="E207" i="9"/>
  <c r="H207" i="9"/>
  <c r="J67" i="8"/>
  <c r="K67" i="8" s="1"/>
  <c r="E67" i="8"/>
  <c r="F67" i="8" s="1"/>
  <c r="I348" i="9"/>
  <c r="J348" i="9" s="1"/>
  <c r="H348" i="9"/>
  <c r="E348" i="9"/>
  <c r="D48" i="5"/>
  <c r="O48" i="5" s="1"/>
  <c r="J164" i="4"/>
  <c r="D164" i="4"/>
  <c r="L164" i="4" s="1"/>
  <c r="J29" i="22"/>
  <c r="I29" i="22"/>
  <c r="I112" i="9"/>
  <c r="J112" i="9" s="1"/>
  <c r="H112" i="9"/>
  <c r="E112" i="9"/>
  <c r="D36" i="4"/>
  <c r="L36" i="4" s="1"/>
  <c r="J36" i="4"/>
  <c r="I240" i="9"/>
  <c r="J240" i="9" s="1"/>
  <c r="H240" i="9"/>
  <c r="E240" i="9"/>
  <c r="N293" i="30"/>
  <c r="D121" i="5"/>
  <c r="I8" i="9"/>
  <c r="J8" i="9" s="1"/>
  <c r="E8" i="9"/>
  <c r="H8" i="9"/>
  <c r="J64" i="8"/>
  <c r="K64" i="8" s="1"/>
  <c r="E64" i="8"/>
  <c r="F64" i="8" s="1"/>
  <c r="I230" i="9"/>
  <c r="J230" i="9" s="1"/>
  <c r="H230" i="9"/>
  <c r="E230" i="9"/>
  <c r="J206" i="8"/>
  <c r="K206" i="8" s="1"/>
  <c r="E206" i="8"/>
  <c r="I51" i="9"/>
  <c r="J51" i="9" s="1"/>
  <c r="H51" i="9"/>
  <c r="E51" i="9"/>
  <c r="F51" i="9" s="1"/>
  <c r="D221" i="5"/>
  <c r="N312" i="30"/>
  <c r="J76" i="8"/>
  <c r="K76" i="8" s="1"/>
  <c r="E76" i="8"/>
  <c r="F76" i="8" s="1"/>
  <c r="J214" i="8"/>
  <c r="K214" i="8" s="1"/>
  <c r="E214" i="8"/>
  <c r="I214" i="8" s="1"/>
  <c r="J185" i="8"/>
  <c r="K185" i="8" s="1"/>
  <c r="E185" i="8"/>
  <c r="H185" i="8" s="1"/>
  <c r="D159" i="5"/>
  <c r="O159" i="5" s="1"/>
  <c r="AH16" i="12"/>
  <c r="AH21" i="12"/>
  <c r="G84" i="20"/>
  <c r="L20" i="20"/>
  <c r="N20" i="20" s="1"/>
  <c r="H294" i="5"/>
  <c r="I294" i="5" s="1"/>
  <c r="F74" i="20"/>
  <c r="G74" i="20"/>
  <c r="F73" i="20"/>
  <c r="G73" i="20"/>
  <c r="F207" i="9"/>
  <c r="G57" i="20"/>
  <c r="L13" i="20"/>
  <c r="F46" i="20"/>
  <c r="M7" i="20"/>
  <c r="F57" i="20"/>
  <c r="M13" i="20"/>
  <c r="F365" i="8"/>
  <c r="F170" i="5"/>
  <c r="F221" i="5"/>
  <c r="F29" i="5"/>
  <c r="I8" i="5"/>
  <c r="F138" i="4"/>
  <c r="G29" i="12"/>
  <c r="AH29" i="12" s="1"/>
  <c r="I13" i="5"/>
  <c r="F107" i="4"/>
  <c r="F123" i="5"/>
  <c r="F117" i="4"/>
  <c r="H138" i="4"/>
  <c r="H107" i="4"/>
  <c r="F346" i="8"/>
  <c r="F173" i="5"/>
  <c r="G355" i="8"/>
  <c r="K188" i="5"/>
  <c r="L188" i="5" s="1"/>
  <c r="M188" i="5" s="1"/>
  <c r="F63" i="5"/>
  <c r="F97" i="5"/>
  <c r="K220" i="5"/>
  <c r="L220" i="5" s="1"/>
  <c r="M220" i="5" s="1"/>
  <c r="F64" i="4"/>
  <c r="F98" i="4"/>
  <c r="H10" i="4"/>
  <c r="F339" i="8"/>
  <c r="H93" i="4"/>
  <c r="F13" i="5"/>
  <c r="F146" i="4"/>
  <c r="F361" i="8"/>
  <c r="H117" i="4"/>
  <c r="F147" i="5"/>
  <c r="F101" i="5"/>
  <c r="F42" i="4"/>
  <c r="K199" i="5"/>
  <c r="L199" i="5" s="1"/>
  <c r="M199" i="5" s="1"/>
  <c r="G323" i="8"/>
  <c r="H177" i="4"/>
  <c r="H42" i="4"/>
  <c r="F364" i="8"/>
  <c r="H114" i="4"/>
  <c r="F91" i="4"/>
  <c r="F220" i="5"/>
  <c r="C58" i="2"/>
  <c r="F165" i="4"/>
  <c r="F159" i="4"/>
  <c r="H70" i="4"/>
  <c r="G149" i="8"/>
  <c r="I133" i="5"/>
  <c r="G345" i="8"/>
  <c r="F135" i="4"/>
  <c r="G153" i="8"/>
  <c r="H135" i="4"/>
  <c r="F62" i="5"/>
  <c r="F149" i="8"/>
  <c r="G353" i="8"/>
  <c r="F88" i="4"/>
  <c r="F335" i="8"/>
  <c r="H173" i="4"/>
  <c r="F52" i="4"/>
  <c r="F142" i="4"/>
  <c r="H123" i="4"/>
  <c r="L8" i="20"/>
  <c r="F332" i="8"/>
  <c r="F173" i="4"/>
  <c r="F143" i="5"/>
  <c r="K35" i="5"/>
  <c r="H74" i="4"/>
  <c r="F104" i="5"/>
  <c r="F202" i="4"/>
  <c r="F118" i="8"/>
  <c r="G358" i="8"/>
  <c r="G139" i="8"/>
  <c r="F116" i="5"/>
  <c r="D294" i="5"/>
  <c r="F294" i="5" s="1"/>
  <c r="F301" i="5" s="1"/>
  <c r="F70" i="4"/>
  <c r="H194" i="4"/>
  <c r="F123" i="4"/>
  <c r="E21" i="2"/>
  <c r="F243" i="5"/>
  <c r="H39" i="4"/>
  <c r="H160" i="8"/>
  <c r="F191" i="5"/>
  <c r="F32" i="4"/>
  <c r="F117" i="5"/>
  <c r="F188" i="4"/>
  <c r="H155" i="4"/>
  <c r="F99" i="5"/>
  <c r="F205" i="5"/>
  <c r="G117" i="8"/>
  <c r="F320" i="8"/>
  <c r="F74" i="4"/>
  <c r="H32" i="4"/>
  <c r="I62" i="5"/>
  <c r="G359" i="8"/>
  <c r="H89" i="4"/>
  <c r="H88" i="4"/>
  <c r="H147" i="4"/>
  <c r="F124" i="5"/>
  <c r="F82" i="4"/>
  <c r="F197" i="8"/>
  <c r="F356" i="8"/>
  <c r="F22" i="5"/>
  <c r="K62" i="5"/>
  <c r="L62" i="5" s="1"/>
  <c r="M62" i="5" s="1"/>
  <c r="F105" i="5"/>
  <c r="F126" i="4"/>
  <c r="F318" i="8"/>
  <c r="F50" i="4"/>
  <c r="K46" i="5"/>
  <c r="L46" i="5" s="1"/>
  <c r="M46" i="5" s="1"/>
  <c r="F89" i="4"/>
  <c r="H126" i="4"/>
  <c r="F188" i="5"/>
  <c r="F176" i="5"/>
  <c r="H188" i="4"/>
  <c r="H169" i="8"/>
  <c r="F160" i="8"/>
  <c r="H162" i="8"/>
  <c r="F105" i="4"/>
  <c r="G51" i="20"/>
  <c r="F55" i="20" s="1"/>
  <c r="F183" i="5"/>
  <c r="F194" i="4"/>
  <c r="H151" i="8"/>
  <c r="I22" i="5"/>
  <c r="F114" i="8"/>
  <c r="F37" i="5"/>
  <c r="K38" i="5"/>
  <c r="F45" i="4"/>
  <c r="F40" i="5"/>
  <c r="F172" i="4"/>
  <c r="F250" i="5"/>
  <c r="F189" i="5"/>
  <c r="F44" i="4"/>
  <c r="H44" i="4"/>
  <c r="F207" i="5"/>
  <c r="H206" i="4"/>
  <c r="F209" i="5"/>
  <c r="F153" i="5"/>
  <c r="F8" i="4"/>
  <c r="G159" i="8"/>
  <c r="I17" i="5"/>
  <c r="H8" i="4"/>
  <c r="I38" i="5"/>
  <c r="F38" i="5"/>
  <c r="C210" i="4"/>
  <c r="F252" i="5"/>
  <c r="H76" i="4"/>
  <c r="F45" i="5"/>
  <c r="F280" i="8"/>
  <c r="H153" i="4"/>
  <c r="H51" i="4"/>
  <c r="I23" i="5"/>
  <c r="F151" i="8"/>
  <c r="F153" i="4"/>
  <c r="F76" i="4"/>
  <c r="H91" i="4"/>
  <c r="G174" i="8"/>
  <c r="F51" i="4"/>
  <c r="I60" i="5"/>
  <c r="F214" i="5"/>
  <c r="H22" i="4"/>
  <c r="H64" i="4"/>
  <c r="H101" i="4"/>
  <c r="H199" i="4"/>
  <c r="H82" i="4"/>
  <c r="F39" i="4"/>
  <c r="F206" i="4"/>
  <c r="H50" i="4"/>
  <c r="H95" i="4"/>
  <c r="F106" i="4"/>
  <c r="H98" i="4"/>
  <c r="H122" i="4"/>
  <c r="F24" i="4"/>
  <c r="H37" i="4"/>
  <c r="F25" i="4"/>
  <c r="H71" i="4"/>
  <c r="F93" i="4"/>
  <c r="H24" i="4"/>
  <c r="H106" i="4"/>
  <c r="F122" i="4"/>
  <c r="H25" i="4"/>
  <c r="F22" i="4"/>
  <c r="F100" i="4"/>
  <c r="F130" i="5"/>
  <c r="F18" i="5"/>
  <c r="F245" i="5"/>
  <c r="F34" i="4"/>
  <c r="H193" i="4"/>
  <c r="F140" i="5"/>
  <c r="H134" i="4"/>
  <c r="H193" i="8"/>
  <c r="F129" i="4"/>
  <c r="F134" i="4"/>
  <c r="H160" i="4"/>
  <c r="G150" i="8"/>
  <c r="F112" i="5"/>
  <c r="F150" i="8"/>
  <c r="F342" i="8"/>
  <c r="F161" i="5"/>
  <c r="H148" i="8"/>
  <c r="F41" i="20"/>
  <c r="L7" i="20" s="1"/>
  <c r="I42" i="5"/>
  <c r="F160" i="4"/>
  <c r="G336" i="8"/>
  <c r="F349" i="8"/>
  <c r="F11" i="19"/>
  <c r="F44" i="5"/>
  <c r="G168" i="8"/>
  <c r="K44" i="5"/>
  <c r="L44" i="5" s="1"/>
  <c r="M44" i="5" s="1"/>
  <c r="F92" i="4"/>
  <c r="F108" i="5"/>
  <c r="H180" i="8"/>
  <c r="F157" i="5"/>
  <c r="H85" i="4"/>
  <c r="H87" i="4"/>
  <c r="F30" i="5"/>
  <c r="F87" i="4"/>
  <c r="F133" i="4"/>
  <c r="H27" i="4"/>
  <c r="K210" i="5"/>
  <c r="L210" i="5" s="1"/>
  <c r="M210" i="5" s="1"/>
  <c r="H141" i="4"/>
  <c r="H165" i="4"/>
  <c r="H12" i="4"/>
  <c r="F137" i="4"/>
  <c r="F17" i="5"/>
  <c r="F237" i="5"/>
  <c r="F85" i="4"/>
  <c r="F181" i="4"/>
  <c r="F109" i="4"/>
  <c r="F27" i="4"/>
  <c r="F141" i="4"/>
  <c r="F168" i="8"/>
  <c r="H164" i="8"/>
  <c r="I132" i="5"/>
  <c r="F193" i="4"/>
  <c r="H181" i="4"/>
  <c r="F12" i="4"/>
  <c r="F31" i="5"/>
  <c r="K42" i="5"/>
  <c r="H128" i="4"/>
  <c r="F182" i="4"/>
  <c r="F128" i="4"/>
  <c r="H129" i="4"/>
  <c r="F192" i="4"/>
  <c r="K37" i="5"/>
  <c r="H133" i="4"/>
  <c r="G164" i="8"/>
  <c r="F17" i="4"/>
  <c r="F118" i="4"/>
  <c r="I37" i="5"/>
  <c r="H192" i="4"/>
  <c r="H100" i="4"/>
  <c r="G327" i="8"/>
  <c r="H105" i="4"/>
  <c r="F101" i="4"/>
  <c r="F158" i="4"/>
  <c r="F7" i="9"/>
  <c r="F133" i="5"/>
  <c r="K189" i="5"/>
  <c r="L189" i="5" s="1"/>
  <c r="M189" i="5" s="1"/>
  <c r="I48" i="5"/>
  <c r="F256" i="5"/>
  <c r="F146" i="5"/>
  <c r="F132" i="5"/>
  <c r="I41" i="5"/>
  <c r="I19" i="5"/>
  <c r="I24" i="5"/>
  <c r="F109" i="5"/>
  <c r="F48" i="5"/>
  <c r="I31" i="5"/>
  <c r="F186" i="5"/>
  <c r="F128" i="5"/>
  <c r="I30" i="5"/>
  <c r="F224" i="5"/>
  <c r="F212" i="5"/>
  <c r="K41" i="5"/>
  <c r="F41" i="5"/>
  <c r="F227" i="5"/>
  <c r="K212" i="5"/>
  <c r="L212" i="5" s="1"/>
  <c r="M212" i="5" s="1"/>
  <c r="F164" i="5"/>
  <c r="K218" i="5"/>
  <c r="L218" i="5" s="1"/>
  <c r="M218" i="5" s="1"/>
  <c r="F96" i="5"/>
  <c r="F223" i="8"/>
  <c r="F175" i="4"/>
  <c r="F238" i="5"/>
  <c r="H157" i="4"/>
  <c r="O7" i="20"/>
  <c r="Q7" i="20" s="1"/>
  <c r="F69" i="4"/>
  <c r="F63" i="4"/>
  <c r="H194" i="8"/>
  <c r="F157" i="4"/>
  <c r="H63" i="4"/>
  <c r="F84" i="4"/>
  <c r="F236" i="5"/>
  <c r="F68" i="4"/>
  <c r="E49" i="2"/>
  <c r="F79" i="20" s="1"/>
  <c r="G85" i="20" s="1"/>
  <c r="H180" i="4"/>
  <c r="F168" i="5"/>
  <c r="F218" i="5"/>
  <c r="I40" i="5"/>
  <c r="H80" i="4"/>
  <c r="O22" i="20"/>
  <c r="Q22" i="20" s="1"/>
  <c r="F228" i="5"/>
  <c r="I56" i="5"/>
  <c r="K40" i="5"/>
  <c r="K56" i="5"/>
  <c r="L56" i="5" s="1"/>
  <c r="M56" i="5" s="1"/>
  <c r="F80" i="4"/>
  <c r="I243" i="8"/>
  <c r="H69" i="4"/>
  <c r="H84" i="4"/>
  <c r="H112" i="4"/>
  <c r="F180" i="4"/>
  <c r="F36" i="19"/>
  <c r="F125" i="4"/>
  <c r="I130" i="5"/>
  <c r="F149" i="5"/>
  <c r="F23" i="4"/>
  <c r="H23" i="4"/>
  <c r="H17" i="4"/>
  <c r="F198" i="4"/>
  <c r="H190" i="4"/>
  <c r="F200" i="5"/>
  <c r="F46" i="5"/>
  <c r="H172" i="4"/>
  <c r="I46" i="5"/>
  <c r="F184" i="5"/>
  <c r="F206" i="5"/>
  <c r="H171" i="4"/>
  <c r="F204" i="5"/>
  <c r="H125" i="4"/>
  <c r="F255" i="5"/>
  <c r="F203" i="5"/>
  <c r="H175" i="4"/>
  <c r="F94" i="5"/>
  <c r="F142" i="5"/>
  <c r="F217" i="5"/>
  <c r="I49" i="5"/>
  <c r="F64" i="5"/>
  <c r="H15" i="4"/>
  <c r="K52" i="5"/>
  <c r="L52" i="5" s="1"/>
  <c r="M52" i="5" s="1"/>
  <c r="F182" i="5"/>
  <c r="F148" i="5"/>
  <c r="I58" i="5"/>
  <c r="H137" i="4"/>
  <c r="F171" i="4"/>
  <c r="H192" i="8"/>
  <c r="H202" i="4"/>
  <c r="F35" i="4"/>
  <c r="F17" i="19"/>
  <c r="F190" i="4"/>
  <c r="F151" i="5"/>
  <c r="F195" i="4"/>
  <c r="K51" i="5"/>
  <c r="L51" i="5" s="1"/>
  <c r="M51" i="5" s="1"/>
  <c r="H187" i="4"/>
  <c r="F99" i="4"/>
  <c r="H72" i="4"/>
  <c r="G354" i="8"/>
  <c r="F20" i="5"/>
  <c r="F15" i="4"/>
  <c r="K58" i="5"/>
  <c r="L58" i="5" s="1"/>
  <c r="M58" i="5" s="1"/>
  <c r="F215" i="5"/>
  <c r="H195" i="4"/>
  <c r="H75" i="4"/>
  <c r="F200" i="4"/>
  <c r="I16" i="5"/>
  <c r="H11" i="4"/>
  <c r="F202" i="5"/>
  <c r="F181" i="5"/>
  <c r="F366" i="8"/>
  <c r="H200" i="4"/>
  <c r="F231" i="5"/>
  <c r="F77" i="4"/>
  <c r="F58" i="5"/>
  <c r="G175" i="8"/>
  <c r="F121" i="4"/>
  <c r="G16" i="12"/>
  <c r="G19" i="12" s="1"/>
  <c r="H140" i="4"/>
  <c r="F224" i="8"/>
  <c r="K49" i="5"/>
  <c r="L49" i="5" s="1"/>
  <c r="M49" i="5" s="1"/>
  <c r="F326" i="8"/>
  <c r="F159" i="5"/>
  <c r="H99" i="4"/>
  <c r="O12" i="20"/>
  <c r="Q12" i="20" s="1"/>
  <c r="F169" i="5"/>
  <c r="F186" i="4"/>
  <c r="H121" i="4"/>
  <c r="F201" i="5"/>
  <c r="F75" i="4"/>
  <c r="F16" i="5"/>
  <c r="F51" i="5"/>
  <c r="F24" i="5"/>
  <c r="F8" i="5"/>
  <c r="E45" i="2"/>
  <c r="H77" i="4"/>
  <c r="I51" i="5"/>
  <c r="H26" i="4"/>
  <c r="H30" i="4"/>
  <c r="F177" i="4"/>
  <c r="F233" i="5"/>
  <c r="K64" i="5"/>
  <c r="I52" i="5"/>
  <c r="K200" i="5"/>
  <c r="L200" i="5" s="1"/>
  <c r="M200" i="5" s="1"/>
  <c r="F216" i="5"/>
  <c r="H186" i="4"/>
  <c r="F140" i="4"/>
  <c r="F26" i="4"/>
  <c r="F86" i="4"/>
  <c r="F52" i="5"/>
  <c r="F107" i="5"/>
  <c r="F49" i="5"/>
  <c r="G40" i="20"/>
  <c r="F49" i="20" s="1"/>
  <c r="G44" i="20"/>
  <c r="F48" i="20" s="1"/>
  <c r="F348" i="8"/>
  <c r="F110" i="4"/>
  <c r="F40" i="8"/>
  <c r="F126" i="5"/>
  <c r="F112" i="4"/>
  <c r="H57" i="4"/>
  <c r="O8" i="20"/>
  <c r="Q8" i="20" s="1"/>
  <c r="G157" i="8"/>
  <c r="F189" i="4"/>
  <c r="AA11" i="12"/>
  <c r="AH11" i="12" s="1"/>
  <c r="F244" i="5"/>
  <c r="F360" i="8"/>
  <c r="F187" i="4"/>
  <c r="H40" i="4"/>
  <c r="F11" i="4"/>
  <c r="F33" i="5"/>
  <c r="H189" i="4"/>
  <c r="H118" i="4"/>
  <c r="F226" i="5"/>
  <c r="H18" i="4"/>
  <c r="K50" i="5"/>
  <c r="L50" i="5" s="1"/>
  <c r="M50" i="5" s="1"/>
  <c r="H142" i="4"/>
  <c r="F40" i="4"/>
  <c r="F66" i="4"/>
  <c r="F166" i="5"/>
  <c r="H182" i="4"/>
  <c r="F139" i="5"/>
  <c r="F122" i="5"/>
  <c r="F199" i="4"/>
  <c r="F199" i="5"/>
  <c r="F30" i="4"/>
  <c r="F57" i="4"/>
  <c r="H45" i="4"/>
  <c r="F18" i="4"/>
  <c r="K33" i="5"/>
  <c r="L33" i="5" s="1"/>
  <c r="M33" i="5" s="1"/>
  <c r="H66" i="4"/>
  <c r="H92" i="4"/>
  <c r="F120" i="5"/>
  <c r="F32" i="5"/>
  <c r="F213" i="5"/>
  <c r="G161" i="8"/>
  <c r="F338" i="8"/>
  <c r="I32" i="5"/>
  <c r="G333" i="8"/>
  <c r="I64" i="5"/>
  <c r="O24" i="20"/>
  <c r="Q24" i="20" s="1"/>
  <c r="H158" i="4"/>
  <c r="L5" i="20"/>
  <c r="Q14" i="20"/>
  <c r="M14" i="20"/>
  <c r="F27" i="19"/>
  <c r="F20" i="19"/>
  <c r="O21" i="20"/>
  <c r="Q21" i="20" s="1"/>
  <c r="AA19" i="12"/>
  <c r="I19" i="12"/>
  <c r="G26" i="12"/>
  <c r="C26" i="12" s="1"/>
  <c r="O20" i="20"/>
  <c r="Q20" i="20" s="1"/>
  <c r="AA26" i="12"/>
  <c r="L21" i="20"/>
  <c r="L14" i="20"/>
  <c r="C19" i="12"/>
  <c r="Q15" i="20"/>
  <c r="J208" i="4" l="1"/>
  <c r="K208" i="5"/>
  <c r="L208" i="5" s="1"/>
  <c r="M208" i="5" s="1"/>
  <c r="F240" i="5"/>
  <c r="F125" i="5"/>
  <c r="F137" i="5"/>
  <c r="F56" i="5"/>
  <c r="F35" i="5"/>
  <c r="F230" i="5"/>
  <c r="F155" i="5"/>
  <c r="F152" i="5"/>
  <c r="I35" i="5"/>
  <c r="I156" i="5"/>
  <c r="F175" i="5"/>
  <c r="F219" i="5"/>
  <c r="F208" i="5"/>
  <c r="J55" i="4"/>
  <c r="F247" i="5"/>
  <c r="F156" i="5"/>
  <c r="H86" i="4"/>
  <c r="H35" i="4"/>
  <c r="I44" i="5"/>
  <c r="G9" i="12"/>
  <c r="AH9" i="12" s="1"/>
  <c r="F39" i="5"/>
  <c r="C375" i="8"/>
  <c r="H78" i="4"/>
  <c r="C397" i="9"/>
  <c r="F397" i="9" s="1"/>
  <c r="G397" i="9" s="1"/>
  <c r="G115" i="20" s="1"/>
  <c r="M373" i="8"/>
  <c r="H36" i="4"/>
  <c r="F50" i="5"/>
  <c r="F36" i="4"/>
  <c r="F164" i="4"/>
  <c r="I59" i="5"/>
  <c r="H68" i="4"/>
  <c r="F113" i="4"/>
  <c r="F95" i="4"/>
  <c r="F96" i="4"/>
  <c r="H388" i="9"/>
  <c r="H390" i="9" s="1"/>
  <c r="C398" i="9"/>
  <c r="C407" i="9" s="1"/>
  <c r="F407" i="9" s="1"/>
  <c r="G407" i="9" s="1"/>
  <c r="J388" i="9"/>
  <c r="E388" i="9"/>
  <c r="E391" i="9" s="1"/>
  <c r="F174" i="4"/>
  <c r="I39" i="5"/>
  <c r="F235" i="5"/>
  <c r="F249" i="5"/>
  <c r="F170" i="4"/>
  <c r="F78" i="4"/>
  <c r="F143" i="4"/>
  <c r="H96" i="4"/>
  <c r="F242" i="5"/>
  <c r="L208" i="4"/>
  <c r="I33" i="5"/>
  <c r="F98" i="5"/>
  <c r="C45" i="2"/>
  <c r="O290" i="5"/>
  <c r="H110" i="4"/>
  <c r="K187" i="5"/>
  <c r="L187" i="5" s="1"/>
  <c r="M187" i="5" s="1"/>
  <c r="F163" i="5"/>
  <c r="F108" i="4"/>
  <c r="F115" i="8"/>
  <c r="F59" i="5"/>
  <c r="H33" i="4"/>
  <c r="F49" i="4"/>
  <c r="K39" i="5"/>
  <c r="I50" i="5"/>
  <c r="G156" i="8"/>
  <c r="I122" i="5"/>
  <c r="F53" i="5"/>
  <c r="H198" i="4"/>
  <c r="G324" i="8"/>
  <c r="F232" i="5"/>
  <c r="F42" i="5"/>
  <c r="F166" i="4"/>
  <c r="H166" i="4"/>
  <c r="G370" i="8"/>
  <c r="F10" i="4"/>
  <c r="H152" i="4"/>
  <c r="G341" i="8"/>
  <c r="H48" i="4"/>
  <c r="I29" i="5"/>
  <c r="E289" i="5"/>
  <c r="I140" i="5"/>
  <c r="O140" i="5"/>
  <c r="D55" i="4"/>
  <c r="H116" i="4"/>
  <c r="H183" i="4"/>
  <c r="I137" i="5"/>
  <c r="K36" i="5"/>
  <c r="F71" i="4"/>
  <c r="H154" i="8"/>
  <c r="H289" i="5"/>
  <c r="I289" i="5" s="1"/>
  <c r="G220" i="4"/>
  <c r="F220" i="4" s="1"/>
  <c r="F34" i="5"/>
  <c r="F363" i="8"/>
  <c r="F155" i="4"/>
  <c r="I34" i="5"/>
  <c r="F138" i="5"/>
  <c r="F102" i="5"/>
  <c r="F38" i="4"/>
  <c r="I47" i="5"/>
  <c r="F100" i="5"/>
  <c r="F19" i="5"/>
  <c r="D70" i="5"/>
  <c r="F253" i="5"/>
  <c r="F106" i="5"/>
  <c r="H52" i="4"/>
  <c r="F152" i="4"/>
  <c r="F23" i="5"/>
  <c r="H97" i="4"/>
  <c r="O5" i="20"/>
  <c r="Q5" i="20" s="1"/>
  <c r="H196" i="8"/>
  <c r="G152" i="8"/>
  <c r="K60" i="5"/>
  <c r="L60" i="5" s="1"/>
  <c r="M60" i="5" s="1"/>
  <c r="F48" i="4"/>
  <c r="C400" i="9"/>
  <c r="F400" i="9" s="1"/>
  <c r="G400" i="9" s="1"/>
  <c r="G113" i="20" s="1"/>
  <c r="H290" i="5"/>
  <c r="I290" i="5" s="1"/>
  <c r="O221" i="5"/>
  <c r="I221" i="5"/>
  <c r="O17" i="5"/>
  <c r="F378" i="8"/>
  <c r="I69" i="22"/>
  <c r="F31" i="20" s="1"/>
  <c r="G32" i="20" s="1"/>
  <c r="M10" i="20" s="1"/>
  <c r="O292" i="5"/>
  <c r="F139" i="4"/>
  <c r="F184" i="4"/>
  <c r="H184" i="4"/>
  <c r="O121" i="5"/>
  <c r="I121" i="5"/>
  <c r="O291" i="5"/>
  <c r="H164" i="4"/>
  <c r="I138" i="5"/>
  <c r="F65" i="4"/>
  <c r="H144" i="4"/>
  <c r="I26" i="5"/>
  <c r="H16" i="4"/>
  <c r="I18" i="5"/>
  <c r="I194" i="5"/>
  <c r="O194" i="5"/>
  <c r="O110" i="5"/>
  <c r="I110" i="5"/>
  <c r="I26" i="12"/>
  <c r="AH26" i="12"/>
  <c r="E13" i="2"/>
  <c r="I53" i="5"/>
  <c r="F329" i="8"/>
  <c r="F377" i="8"/>
  <c r="F375" i="8"/>
  <c r="H139" i="4"/>
  <c r="I20" i="5"/>
  <c r="F67" i="4"/>
  <c r="H73" i="4"/>
  <c r="H31" i="4"/>
  <c r="F160" i="5"/>
  <c r="F47" i="5"/>
  <c r="F103" i="5"/>
  <c r="F136" i="4"/>
  <c r="H136" i="4"/>
  <c r="F65" i="5"/>
  <c r="F115" i="5"/>
  <c r="F239" i="5"/>
  <c r="F157" i="8"/>
  <c r="K47" i="5"/>
  <c r="L47" i="5" s="1"/>
  <c r="M47" i="5" s="1"/>
  <c r="H174" i="4"/>
  <c r="H49" i="4"/>
  <c r="K45" i="5"/>
  <c r="L45" i="5" s="1"/>
  <c r="M45" i="5" s="1"/>
  <c r="H109" i="4"/>
  <c r="F225" i="5"/>
  <c r="F16" i="4"/>
  <c r="F144" i="5"/>
  <c r="F26" i="5"/>
  <c r="K63" i="5"/>
  <c r="L63" i="5" s="1"/>
  <c r="M63" i="5" s="1"/>
  <c r="F9" i="5"/>
  <c r="I21" i="5"/>
  <c r="O21" i="5"/>
  <c r="I123" i="5"/>
  <c r="O123" i="5"/>
  <c r="I9" i="5"/>
  <c r="H179" i="8"/>
  <c r="F121" i="5"/>
  <c r="F192" i="5"/>
  <c r="F21" i="5"/>
  <c r="F210" i="5"/>
  <c r="H53" i="4"/>
  <c r="G163" i="8"/>
  <c r="G357" i="8"/>
  <c r="C396" i="9"/>
  <c r="F383" i="8"/>
  <c r="E67" i="22"/>
  <c r="E69" i="22" s="1"/>
  <c r="G350" i="8"/>
  <c r="I210" i="8"/>
  <c r="G222" i="4"/>
  <c r="F222" i="4" s="1"/>
  <c r="F248" i="5"/>
  <c r="H113" i="4"/>
  <c r="I63" i="5"/>
  <c r="F147" i="4"/>
  <c r="F25" i="5"/>
  <c r="E372" i="8"/>
  <c r="F21" i="4"/>
  <c r="G219" i="4"/>
  <c r="F219" i="4" s="1"/>
  <c r="O77" i="5"/>
  <c r="D265" i="5"/>
  <c r="D267" i="5" s="1"/>
  <c r="D269" i="5" s="1"/>
  <c r="F113" i="5"/>
  <c r="H21" i="4"/>
  <c r="H219" i="4" s="1"/>
  <c r="I25" i="5"/>
  <c r="F93" i="5"/>
  <c r="C399" i="9"/>
  <c r="H67" i="4"/>
  <c r="F183" i="4"/>
  <c r="H108" i="4"/>
  <c r="F72" i="4"/>
  <c r="H38" i="4"/>
  <c r="H34" i="4"/>
  <c r="F81" i="8"/>
  <c r="F376" i="8" s="1"/>
  <c r="K213" i="5"/>
  <c r="L213" i="5" s="1"/>
  <c r="M213" i="5" s="1"/>
  <c r="G223" i="4"/>
  <c r="F223" i="4" s="1"/>
  <c r="G116" i="8"/>
  <c r="G375" i="8" s="1"/>
  <c r="G389" i="8" s="1"/>
  <c r="K194" i="5"/>
  <c r="L194" i="5" s="1"/>
  <c r="M194" i="5" s="1"/>
  <c r="F251" i="5"/>
  <c r="H205" i="4"/>
  <c r="F144" i="4"/>
  <c r="F97" i="4"/>
  <c r="H143" i="4"/>
  <c r="F172" i="5"/>
  <c r="I172" i="5"/>
  <c r="F152" i="8"/>
  <c r="F114" i="4"/>
  <c r="H291" i="5"/>
  <c r="I291" i="5" s="1"/>
  <c r="G221" i="4"/>
  <c r="F221" i="4" s="1"/>
  <c r="K53" i="5"/>
  <c r="L53" i="5" s="1"/>
  <c r="M53" i="5" s="1"/>
  <c r="F47" i="20"/>
  <c r="F42" i="20"/>
  <c r="L12" i="20" s="1"/>
  <c r="N12" i="20" s="1"/>
  <c r="P12" i="20" s="1"/>
  <c r="F31" i="4"/>
  <c r="F187" i="5"/>
  <c r="K59" i="5"/>
  <c r="L59" i="5" s="1"/>
  <c r="M59" i="5" s="1"/>
  <c r="F73" i="4"/>
  <c r="G328" i="8"/>
  <c r="F36" i="5"/>
  <c r="F116" i="4"/>
  <c r="D208" i="4"/>
  <c r="H65" i="4"/>
  <c r="H208" i="4" s="1"/>
  <c r="F77" i="5"/>
  <c r="K48" i="5"/>
  <c r="L48" i="5" s="1"/>
  <c r="M48" i="5" s="1"/>
  <c r="K192" i="5"/>
  <c r="L192" i="5" s="1"/>
  <c r="M192" i="5" s="1"/>
  <c r="F254" i="5"/>
  <c r="I36" i="5"/>
  <c r="H170" i="4"/>
  <c r="F33" i="4"/>
  <c r="F60" i="5"/>
  <c r="F53" i="4"/>
  <c r="H200" i="8"/>
  <c r="F95" i="5"/>
  <c r="K34" i="5"/>
  <c r="F225" i="8"/>
  <c r="H159" i="4"/>
  <c r="F37" i="4"/>
  <c r="I45" i="5"/>
  <c r="O117" i="5"/>
  <c r="I117" i="5"/>
  <c r="O127" i="5"/>
  <c r="I127" i="5"/>
  <c r="F282" i="8"/>
  <c r="I282" i="8"/>
  <c r="I375" i="8" s="1"/>
  <c r="I384" i="8" s="1"/>
  <c r="J384" i="8" s="1"/>
  <c r="I128" i="5"/>
  <c r="O128" i="5"/>
  <c r="K13" i="12"/>
  <c r="Y13" i="12"/>
  <c r="C377" i="8"/>
  <c r="C379" i="8" s="1"/>
  <c r="F76" i="20"/>
  <c r="G76" i="20"/>
  <c r="C401" i="9"/>
  <c r="F388" i="9"/>
  <c r="F14" i="20"/>
  <c r="N13" i="20"/>
  <c r="P13" i="20" s="1"/>
  <c r="F289" i="5"/>
  <c r="AH19" i="12"/>
  <c r="G46" i="20"/>
  <c r="E393" i="9"/>
  <c r="G14" i="20"/>
  <c r="F398" i="9"/>
  <c r="G398" i="9" s="1"/>
  <c r="G116" i="20" s="1"/>
  <c r="M8" i="20"/>
  <c r="N8" i="20" s="1"/>
  <c r="P8" i="20" s="1"/>
  <c r="F115" i="20"/>
  <c r="H222" i="4"/>
  <c r="K222" i="4" s="1"/>
  <c r="G6" i="20" s="1"/>
  <c r="N7" i="20"/>
  <c r="P7" i="20" s="1"/>
  <c r="S13" i="12"/>
  <c r="T13" i="12"/>
  <c r="D210" i="4"/>
  <c r="C229" i="4" s="1"/>
  <c r="H375" i="8"/>
  <c r="H389" i="8" s="1"/>
  <c r="H391" i="8" s="1"/>
  <c r="AC13" i="12"/>
  <c r="V13" i="12"/>
  <c r="U13" i="12"/>
  <c r="C406" i="9"/>
  <c r="F406" i="9" s="1"/>
  <c r="G406" i="9" s="1"/>
  <c r="K269" i="5"/>
  <c r="L269" i="5" s="1"/>
  <c r="M269" i="5" s="1"/>
  <c r="E291" i="5"/>
  <c r="G40" i="12"/>
  <c r="AD13" i="12"/>
  <c r="X13" i="12"/>
  <c r="W13" i="12"/>
  <c r="N13" i="12"/>
  <c r="C31" i="19"/>
  <c r="G30" i="12" s="1"/>
  <c r="H220" i="4"/>
  <c r="M265" i="5"/>
  <c r="M5" i="20"/>
  <c r="N5" i="20" s="1"/>
  <c r="H221" i="4"/>
  <c r="K221" i="4" s="1"/>
  <c r="G5" i="20" s="1"/>
  <c r="G79" i="20"/>
  <c r="E58" i="2"/>
  <c r="AA40" i="12"/>
  <c r="M13" i="12"/>
  <c r="L70" i="5"/>
  <c r="L13" i="12"/>
  <c r="D295" i="5"/>
  <c r="D296" i="5" s="1"/>
  <c r="M24" i="20"/>
  <c r="I40" i="12"/>
  <c r="N21" i="20"/>
  <c r="P21" i="20" s="1"/>
  <c r="N14" i="20"/>
  <c r="P14" i="20" s="1"/>
  <c r="C40" i="12"/>
  <c r="P20" i="20"/>
  <c r="L22" i="20"/>
  <c r="L24" i="20"/>
  <c r="G48" i="20"/>
  <c r="M15" i="20"/>
  <c r="G56" i="20"/>
  <c r="L15" i="20"/>
  <c r="D35" i="12"/>
  <c r="C35" i="12"/>
  <c r="F35" i="12"/>
  <c r="E35" i="12"/>
  <c r="J210" i="4" l="1"/>
  <c r="J212" i="4" s="1"/>
  <c r="F21" i="20" s="1"/>
  <c r="G22" i="20" s="1"/>
  <c r="C12" i="19"/>
  <c r="C15" i="19" s="1"/>
  <c r="G14" i="12" s="1"/>
  <c r="G31" i="20"/>
  <c r="F32" i="20" s="1"/>
  <c r="M70" i="5"/>
  <c r="F70" i="5"/>
  <c r="F208" i="4"/>
  <c r="F210" i="4" s="1"/>
  <c r="F55" i="4"/>
  <c r="G33" i="20"/>
  <c r="F34" i="20" s="1"/>
  <c r="L11" i="20" s="1"/>
  <c r="F33" i="20"/>
  <c r="G34" i="20" s="1"/>
  <c r="H55" i="4"/>
  <c r="H210" i="4" s="1"/>
  <c r="K70" i="5"/>
  <c r="K270" i="5" s="1"/>
  <c r="L270" i="5" s="1"/>
  <c r="M270" i="5" s="1"/>
  <c r="I70" i="5"/>
  <c r="F265" i="5"/>
  <c r="K268" i="5"/>
  <c r="L268" i="5" s="1"/>
  <c r="M268" i="5" s="1"/>
  <c r="H223" i="4"/>
  <c r="K223" i="4" s="1"/>
  <c r="F9" i="20" s="1"/>
  <c r="K265" i="5"/>
  <c r="G47" i="20"/>
  <c r="O265" i="5"/>
  <c r="D12" i="19"/>
  <c r="O11" i="20" s="1"/>
  <c r="Q11" i="20" s="1"/>
  <c r="C405" i="9"/>
  <c r="F405" i="9" s="1"/>
  <c r="G405" i="9" s="1"/>
  <c r="F396" i="9"/>
  <c r="G396" i="9" s="1"/>
  <c r="G114" i="20" s="1"/>
  <c r="L265" i="5"/>
  <c r="F399" i="9"/>
  <c r="G399" i="9" s="1"/>
  <c r="C408" i="9"/>
  <c r="F408" i="9" s="1"/>
  <c r="G408" i="9" s="1"/>
  <c r="D287" i="5"/>
  <c r="F290" i="5"/>
  <c r="F299" i="5" s="1"/>
  <c r="F298" i="5"/>
  <c r="K220" i="4"/>
  <c r="G8" i="20" s="1"/>
  <c r="C387" i="8"/>
  <c r="C391" i="8" s="1"/>
  <c r="K219" i="4"/>
  <c r="G7" i="20" s="1"/>
  <c r="D31" i="19"/>
  <c r="AA30" i="12" s="1"/>
  <c r="C20" i="6"/>
  <c r="C22" i="6" s="1"/>
  <c r="C25" i="6" s="1"/>
  <c r="F386" i="8"/>
  <c r="F401" i="9"/>
  <c r="F114" i="20"/>
  <c r="AH40" i="12"/>
  <c r="J21" i="3"/>
  <c r="J23" i="3" s="1"/>
  <c r="J25" i="3" s="1"/>
  <c r="C305" i="5"/>
  <c r="I389" i="8"/>
  <c r="I391" i="8" s="1"/>
  <c r="I386" i="8"/>
  <c r="F120" i="20" s="1"/>
  <c r="G391" i="8"/>
  <c r="F116" i="20"/>
  <c r="F6" i="20"/>
  <c r="H377" i="8"/>
  <c r="I377" i="8"/>
  <c r="F291" i="5"/>
  <c r="F300" i="5" s="1"/>
  <c r="C383" i="8"/>
  <c r="O26" i="20"/>
  <c r="Q26" i="20" s="1"/>
  <c r="S26" i="20" s="1"/>
  <c r="H380" i="8"/>
  <c r="H384" i="8" s="1"/>
  <c r="H386" i="8" s="1"/>
  <c r="F5" i="20"/>
  <c r="P5" i="20"/>
  <c r="M22" i="20"/>
  <c r="N22" i="20" s="1"/>
  <c r="P22" i="20" s="1"/>
  <c r="F85" i="20"/>
  <c r="F91" i="20" s="1"/>
  <c r="I13" i="12"/>
  <c r="G377" i="8"/>
  <c r="G91" i="20"/>
  <c r="N15" i="20"/>
  <c r="P15" i="20" s="1"/>
  <c r="N24" i="20"/>
  <c r="P24" i="20" s="1"/>
  <c r="L10" i="20"/>
  <c r="M30" i="12"/>
  <c r="V30" i="12"/>
  <c r="E30" i="12"/>
  <c r="C30" i="12"/>
  <c r="D30" i="12"/>
  <c r="T30" i="12"/>
  <c r="R30" i="12"/>
  <c r="F30" i="12"/>
  <c r="N30" i="12"/>
  <c r="G12" i="12" l="1"/>
  <c r="O10" i="20"/>
  <c r="Q10" i="20" s="1"/>
  <c r="F270" i="5"/>
  <c r="F272" i="5" s="1"/>
  <c r="G9" i="20"/>
  <c r="H225" i="4"/>
  <c r="Q37" i="20"/>
  <c r="G35" i="20"/>
  <c r="M11" i="20"/>
  <c r="N11" i="20" s="1"/>
  <c r="P11" i="20" s="1"/>
  <c r="F35" i="20"/>
  <c r="F8" i="20"/>
  <c r="H227" i="4"/>
  <c r="F117" i="20"/>
  <c r="G117" i="20"/>
  <c r="AA12" i="12"/>
  <c r="T12" i="12" s="1"/>
  <c r="T14" i="12" s="1"/>
  <c r="G409" i="9"/>
  <c r="F129" i="20" s="1"/>
  <c r="G130" i="20" s="1"/>
  <c r="F12" i="20"/>
  <c r="G12" i="20"/>
  <c r="F12" i="19"/>
  <c r="C409" i="9"/>
  <c r="D15" i="19"/>
  <c r="F15" i="19" s="1"/>
  <c r="E290" i="5"/>
  <c r="G380" i="8"/>
  <c r="G386" i="8" s="1"/>
  <c r="J386" i="8" s="1"/>
  <c r="F302" i="5"/>
  <c r="AH30" i="12"/>
  <c r="D12" i="12"/>
  <c r="F296" i="5"/>
  <c r="F7" i="20"/>
  <c r="F31" i="19"/>
  <c r="O27" i="20"/>
  <c r="F103" i="20" s="1"/>
  <c r="L27" i="20" s="1"/>
  <c r="C26" i="6"/>
  <c r="C24" i="6"/>
  <c r="J27" i="3"/>
  <c r="J26" i="3"/>
  <c r="C24" i="19"/>
  <c r="G23" i="12" s="1"/>
  <c r="G120" i="20"/>
  <c r="C393" i="8"/>
  <c r="G132" i="20" s="1"/>
  <c r="F97" i="20"/>
  <c r="L26" i="20" s="1"/>
  <c r="G97" i="20"/>
  <c r="M26" i="20" s="1"/>
  <c r="F212" i="4"/>
  <c r="F121" i="20"/>
  <c r="G121" i="20"/>
  <c r="G13" i="20"/>
  <c r="F13" i="20"/>
  <c r="B20" i="6"/>
  <c r="B22" i="6" s="1"/>
  <c r="D22" i="6" s="1"/>
  <c r="D23" i="19"/>
  <c r="O17" i="20" s="1"/>
  <c r="G102" i="20" s="1"/>
  <c r="M17" i="20" s="1"/>
  <c r="G21" i="20"/>
  <c r="T36" i="12"/>
  <c r="M36" i="12"/>
  <c r="V36" i="12"/>
  <c r="R44" i="12"/>
  <c r="R36" i="12"/>
  <c r="R38" i="12" s="1"/>
  <c r="E12" i="12"/>
  <c r="E14" i="12" s="1"/>
  <c r="F12" i="12"/>
  <c r="F409" i="9"/>
  <c r="C23" i="19"/>
  <c r="O16" i="20" s="1"/>
  <c r="Q16" i="20" s="1"/>
  <c r="S16" i="20" s="1"/>
  <c r="I21" i="3"/>
  <c r="I23" i="3" s="1"/>
  <c r="K23" i="3" s="1"/>
  <c r="H217" i="4"/>
  <c r="F4" i="20" s="1"/>
  <c r="H212" i="4"/>
  <c r="F122" i="20"/>
  <c r="G122" i="20"/>
  <c r="N10" i="20"/>
  <c r="P10" i="20" s="1"/>
  <c r="P30" i="12"/>
  <c r="O30" i="12"/>
  <c r="K30" i="12"/>
  <c r="U30" i="12"/>
  <c r="L30" i="12"/>
  <c r="S30" i="12"/>
  <c r="Q30" i="12"/>
  <c r="F133" i="20" l="1"/>
  <c r="N12" i="12"/>
  <c r="N14" i="12" s="1"/>
  <c r="M12" i="12"/>
  <c r="AA14" i="12"/>
  <c r="G129" i="20"/>
  <c r="F130" i="20" s="1"/>
  <c r="H35" i="20"/>
  <c r="G119" i="20"/>
  <c r="G123" i="20"/>
  <c r="M29" i="20" s="1"/>
  <c r="F119" i="20"/>
  <c r="K12" i="12"/>
  <c r="K14" i="12" s="1"/>
  <c r="U12" i="12"/>
  <c r="U14" i="12" s="1"/>
  <c r="W12" i="12"/>
  <c r="W14" i="12" s="1"/>
  <c r="W38" i="12" s="1"/>
  <c r="AH12" i="12"/>
  <c r="AH14" i="12" s="1"/>
  <c r="V12" i="12"/>
  <c r="V14" i="12" s="1"/>
  <c r="V38" i="12" s="1"/>
  <c r="Y12" i="12"/>
  <c r="Y14" i="12" s="1"/>
  <c r="L12" i="12"/>
  <c r="L14" i="12" s="1"/>
  <c r="S12" i="12"/>
  <c r="S14" i="12" s="1"/>
  <c r="X12" i="12"/>
  <c r="X14" i="12" s="1"/>
  <c r="X38" i="12" s="1"/>
  <c r="AC12" i="12"/>
  <c r="AC14" i="12" s="1"/>
  <c r="AC38" i="12" s="1"/>
  <c r="AD12" i="12"/>
  <c r="AD14" i="12" s="1"/>
  <c r="AD38" i="12" s="1"/>
  <c r="D32" i="19"/>
  <c r="I30" i="12"/>
  <c r="P36" i="12"/>
  <c r="P38" i="12" s="1"/>
  <c r="P44" i="12"/>
  <c r="F22" i="20"/>
  <c r="L18" i="20" s="1"/>
  <c r="C12" i="12"/>
  <c r="C14" i="12" s="1"/>
  <c r="U36" i="12"/>
  <c r="U38" i="12" s="1"/>
  <c r="Q44" i="12"/>
  <c r="Q36" i="12"/>
  <c r="Q38" i="12" s="1"/>
  <c r="L36" i="12"/>
  <c r="D14" i="12"/>
  <c r="C27" i="6"/>
  <c r="G103" i="20"/>
  <c r="M27" i="20" s="1"/>
  <c r="N27" i="20" s="1"/>
  <c r="P27" i="20" s="1"/>
  <c r="L28" i="20"/>
  <c r="Q27" i="20"/>
  <c r="S27" i="20" s="1"/>
  <c r="J28" i="3"/>
  <c r="O18" i="20"/>
  <c r="Q18" i="20" s="1"/>
  <c r="S18" i="20" s="1"/>
  <c r="F132" i="20"/>
  <c r="Q17" i="20"/>
  <c r="S17" i="20" s="1"/>
  <c r="G24" i="20"/>
  <c r="F25" i="20" s="1"/>
  <c r="N26" i="20"/>
  <c r="P26" i="20" s="1"/>
  <c r="B24" i="6"/>
  <c r="D24" i="6" s="1"/>
  <c r="B25" i="6"/>
  <c r="D25" i="6" s="1"/>
  <c r="T38" i="12"/>
  <c r="F23" i="19"/>
  <c r="B26" i="6"/>
  <c r="D26" i="6" s="1"/>
  <c r="D24" i="19"/>
  <c r="F24" i="19" s="1"/>
  <c r="F11" i="20"/>
  <c r="G11" i="20"/>
  <c r="C28" i="19"/>
  <c r="AA22" i="12"/>
  <c r="F102" i="20"/>
  <c r="L17" i="20" s="1"/>
  <c r="N17" i="20" s="1"/>
  <c r="P17" i="20" s="1"/>
  <c r="AD44" i="12"/>
  <c r="T44" i="12"/>
  <c r="W44" i="12"/>
  <c r="C32" i="19"/>
  <c r="G22" i="12"/>
  <c r="G27" i="12" s="1"/>
  <c r="G96" i="20"/>
  <c r="F14" i="12"/>
  <c r="G4" i="20"/>
  <c r="M18" i="20" s="1"/>
  <c r="F96" i="20"/>
  <c r="I25" i="3"/>
  <c r="K25" i="3" s="1"/>
  <c r="I26" i="3"/>
  <c r="K26" i="3" s="1"/>
  <c r="I27" i="3"/>
  <c r="K27" i="3" s="1"/>
  <c r="S22" i="12"/>
  <c r="D23" i="12"/>
  <c r="E23" i="12"/>
  <c r="F23" i="12"/>
  <c r="G133" i="20" l="1"/>
  <c r="F123" i="20"/>
  <c r="V44" i="12"/>
  <c r="G124" i="20"/>
  <c r="H124" i="20" s="1"/>
  <c r="AC44" i="12"/>
  <c r="U44" i="12"/>
  <c r="G134" i="20"/>
  <c r="I12" i="12"/>
  <c r="I14" i="12" s="1"/>
  <c r="X44" i="12"/>
  <c r="AH22" i="12"/>
  <c r="M28" i="20"/>
  <c r="N28" i="20" s="1"/>
  <c r="D37" i="19"/>
  <c r="AA31" i="12"/>
  <c r="F32" i="19"/>
  <c r="Q36" i="20"/>
  <c r="H134" i="20"/>
  <c r="D27" i="6"/>
  <c r="M16" i="20"/>
  <c r="G104" i="20"/>
  <c r="G105" i="20" s="1"/>
  <c r="G106" i="20" s="1"/>
  <c r="F24" i="20"/>
  <c r="G25" i="20" s="1"/>
  <c r="G26" i="20" s="1"/>
  <c r="L16" i="20"/>
  <c r="O19" i="20"/>
  <c r="Q19" i="20" s="1"/>
  <c r="S19" i="20" s="1"/>
  <c r="AA23" i="12"/>
  <c r="AH23" i="12" s="1"/>
  <c r="B27" i="6"/>
  <c r="D28" i="19"/>
  <c r="F28" i="19" s="1"/>
  <c r="F98" i="20"/>
  <c r="F99" i="20" s="1"/>
  <c r="F100" i="20" s="1"/>
  <c r="F104" i="20"/>
  <c r="F105" i="20" s="1"/>
  <c r="F106" i="20" s="1"/>
  <c r="F15" i="20"/>
  <c r="L19" i="20" s="1"/>
  <c r="G15" i="20"/>
  <c r="G16" i="20" s="1"/>
  <c r="C37" i="19"/>
  <c r="C39" i="19" s="1"/>
  <c r="G31" i="12"/>
  <c r="O28" i="20"/>
  <c r="Q28" i="20" s="1"/>
  <c r="S28" i="20" s="1"/>
  <c r="G98" i="20"/>
  <c r="G99" i="20" s="1"/>
  <c r="G100" i="20" s="1"/>
  <c r="C23" i="12"/>
  <c r="N18" i="20"/>
  <c r="P18" i="20" s="1"/>
  <c r="I28" i="3"/>
  <c r="K28" i="3" s="1"/>
  <c r="D22" i="12"/>
  <c r="K22" i="12"/>
  <c r="F22" i="12"/>
  <c r="E22" i="12"/>
  <c r="C22" i="12"/>
  <c r="F124" i="20" l="1"/>
  <c r="L29" i="20"/>
  <c r="N29" i="20" s="1"/>
  <c r="AH31" i="12"/>
  <c r="K31" i="12"/>
  <c r="K36" i="12" s="1"/>
  <c r="AA36" i="12"/>
  <c r="Y31" i="12"/>
  <c r="S31" i="12"/>
  <c r="S36" i="12" s="1"/>
  <c r="N31" i="12"/>
  <c r="N36" i="12" s="1"/>
  <c r="I22" i="12"/>
  <c r="N16" i="20"/>
  <c r="P16" i="20" s="1"/>
  <c r="G107" i="20"/>
  <c r="AH27" i="12"/>
  <c r="F107" i="20"/>
  <c r="O34" i="20"/>
  <c r="F16" i="20"/>
  <c r="H16" i="20" s="1"/>
  <c r="AA27" i="12"/>
  <c r="D39" i="19"/>
  <c r="M19" i="20"/>
  <c r="N19" i="20" s="1"/>
  <c r="P19" i="20" s="1"/>
  <c r="G36" i="12"/>
  <c r="P28" i="20"/>
  <c r="F37" i="19"/>
  <c r="F39" i="19" s="1"/>
  <c r="E27" i="12"/>
  <c r="F27" i="12"/>
  <c r="D27" i="12"/>
  <c r="C27" i="12"/>
  <c r="F26" i="20"/>
  <c r="K23" i="12"/>
  <c r="N23" i="12"/>
  <c r="C31" i="12"/>
  <c r="D31" i="12"/>
  <c r="M23" i="12"/>
  <c r="F31" i="12"/>
  <c r="E31" i="12"/>
  <c r="S23" i="12"/>
  <c r="L23" i="12"/>
  <c r="AA38" i="12" l="1"/>
  <c r="AA41" i="12" s="1"/>
  <c r="AA42" i="12" s="1"/>
  <c r="I31" i="12"/>
  <c r="I36" i="12" s="1"/>
  <c r="AH36" i="12"/>
  <c r="Y36" i="12"/>
  <c r="Y38" i="12" s="1"/>
  <c r="Y44" i="12"/>
  <c r="N44" i="12"/>
  <c r="N27" i="12"/>
  <c r="N38" i="12" s="1"/>
  <c r="K44" i="12"/>
  <c r="K27" i="12"/>
  <c r="K38" i="12" s="1"/>
  <c r="M27" i="12"/>
  <c r="M38" i="12" s="1"/>
  <c r="S27" i="12"/>
  <c r="S38" i="12" s="1"/>
  <c r="S44" i="12"/>
  <c r="L44" i="12"/>
  <c r="I23" i="12"/>
  <c r="I27" i="12" s="1"/>
  <c r="L27" i="12"/>
  <c r="L38" i="12" s="1"/>
  <c r="H107" i="20"/>
  <c r="D44" i="12"/>
  <c r="D36" i="12"/>
  <c r="D38" i="12" s="1"/>
  <c r="E44" i="12"/>
  <c r="E36" i="12"/>
  <c r="E38" i="12" s="1"/>
  <c r="F44" i="12"/>
  <c r="F36" i="12"/>
  <c r="F38" i="12" s="1"/>
  <c r="C44" i="12"/>
  <c r="C36" i="12"/>
  <c r="C38" i="12" s="1"/>
  <c r="G38" i="12"/>
  <c r="H26" i="20"/>
  <c r="L25" i="20"/>
  <c r="M25" i="20"/>
  <c r="M34" i="20" s="1"/>
  <c r="AH38" i="12" l="1"/>
  <c r="AH41" i="12" s="1"/>
  <c r="AH42" i="12" s="1"/>
  <c r="I38" i="12"/>
  <c r="I44" i="12"/>
  <c r="G41" i="12"/>
  <c r="G42" i="12" s="1"/>
  <c r="H91" i="20"/>
  <c r="N25" i="20"/>
  <c r="L34" i="20"/>
  <c r="P25" i="20" l="1"/>
  <c r="O36" i="20" l="1"/>
  <c r="Q29" i="20"/>
  <c r="Q35" i="20" s="1"/>
  <c r="Q38" i="20" s="1"/>
  <c r="K34" i="20"/>
  <c r="N34" i="20" l="1"/>
  <c r="P29" i="20"/>
  <c r="P34" i="20" s="1"/>
  <c r="S29"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Rachel Fuentes</author>
    <author>Melissa Saler</author>
    <author>Andrew Sorenson</author>
  </authors>
  <commentList>
    <comment ref="D8" authorId="0" shapeId="0" xr:uid="{E4707A76-74BE-4E92-8277-416C1AE45BE2}">
      <text>
        <r>
          <rPr>
            <b/>
            <sz val="9"/>
            <color indexed="81"/>
            <rFont val="Tahoma"/>
            <family val="2"/>
          </rPr>
          <t>Rachel Fuentes:</t>
        </r>
        <r>
          <rPr>
            <sz val="9"/>
            <color indexed="81"/>
            <rFont val="Tahoma"/>
            <family val="2"/>
          </rPr>
          <t xml:space="preserve">
Oct - Total of 177K received by 2 vendors. Food Partners: 109K no freight &amp; New Vendor: Titan Frozen Fruit (38,440 received w/ freight of $0.2169 &amp; 29,600 w/ freight of $.3091. Aggregate freight rate of .263 on 68K total lbs.
Nov - 274K lb received from Food Partners no freight. Meaning ~84K in inventory from LM. Can assume based on FIFO - that the inventory from Titan that HAS freight from Oct (68K lbs) remains in inventory.
Dec and Jan - Inventory decreased. Can assume all left in inventory is from Food Partners with no freight
February - Received 77K from Titan with freight $0.1613. Can assume based on FIFO that 43K of remaining 120K is Food Partners with no freight. 
March - Received 55k from Food Partners with no freight. Can assume based on FIFO that 15k of remaining 70k is Titan with freight of $0.1613
April - Received 109k from Food Partners with no frieght. Can assume based on FIFO that no remaining inventory has freight cost.
May2025 - No receipts
June 2025 - Rec 601K no freight.
July 2025 - No receipts</t>
        </r>
      </text>
    </comment>
    <comment ref="H8" authorId="1" shapeId="0" xr:uid="{2826F973-0F6E-4B46-BD77-F4EF68DCF256}">
      <text>
        <r>
          <rPr>
            <b/>
            <sz val="9"/>
            <color indexed="81"/>
            <rFont val="Tahoma"/>
            <family val="2"/>
          </rPr>
          <t>Transferred from FL: $8k per transfer truckload and 38,808 LBs per truck</t>
        </r>
      </text>
    </comment>
    <comment ref="A9" authorId="0" shapeId="0" xr:uid="{204857C0-3370-4895-AC69-AC6ACD891AAD}">
      <text>
        <r>
          <rPr>
            <b/>
            <sz val="9"/>
            <color indexed="81"/>
            <rFont val="Tahoma"/>
            <family val="2"/>
          </rPr>
          <t>Rachel Fuentes:</t>
        </r>
        <r>
          <rPr>
            <sz val="9"/>
            <color indexed="81"/>
            <rFont val="Tahoma"/>
            <family val="2"/>
          </rPr>
          <t xml:space="preserve">
NEW for June. Purchased due to constraint of PUR017 due to Panera Promotion</t>
        </r>
      </text>
    </comment>
    <comment ref="H9" authorId="0" shapeId="0" xr:uid="{B09C2695-17EB-4E23-9308-E54B8C0D3B87}">
      <text>
        <r>
          <rPr>
            <b/>
            <sz val="9"/>
            <color indexed="81"/>
            <rFont val="Tahoma"/>
            <family val="2"/>
          </rPr>
          <t>Rachel Fuentes:</t>
        </r>
        <r>
          <rPr>
            <sz val="9"/>
            <color indexed="81"/>
            <rFont val="Tahoma"/>
            <family val="2"/>
          </rPr>
          <t xml:space="preserve">
Rec 19200 from Titan w freight of .099</t>
        </r>
      </text>
    </comment>
    <comment ref="A10" authorId="0" shapeId="0" xr:uid="{AAECF0AC-984A-4810-B8C6-1F46B63CE628}">
      <text>
        <r>
          <rPr>
            <b/>
            <sz val="9"/>
            <color indexed="81"/>
            <rFont val="Tahoma"/>
            <family val="2"/>
          </rPr>
          <t>Rachel Fuentes:</t>
        </r>
        <r>
          <rPr>
            <sz val="9"/>
            <color indexed="81"/>
            <rFont val="Tahoma"/>
            <family val="2"/>
          </rPr>
          <t xml:space="preserve">
NEW for July. Due to Panera constraint.</t>
        </r>
      </text>
    </comment>
    <comment ref="D10" authorId="0" shapeId="0" xr:uid="{ECE16B57-BC6A-4C24-9A43-F2C9203DAA02}">
      <text>
        <r>
          <rPr>
            <b/>
            <sz val="9"/>
            <color indexed="81"/>
            <rFont val="Tahoma"/>
            <family val="2"/>
          </rPr>
          <t>Rachel Fuentes:</t>
        </r>
        <r>
          <rPr>
            <sz val="9"/>
            <color indexed="81"/>
            <rFont val="Tahoma"/>
            <family val="2"/>
          </rPr>
          <t xml:space="preserve">
38K Received from Titan w/ freight</t>
        </r>
      </text>
    </comment>
    <comment ref="H10" authorId="0" shapeId="0" xr:uid="{F86AFFDB-B208-4058-B70B-78C989ED670A}">
      <text>
        <r>
          <rPr>
            <b/>
            <sz val="9"/>
            <color indexed="81"/>
            <rFont val="Tahoma"/>
            <charset val="1"/>
          </rPr>
          <t>Rachel Fuentes:</t>
        </r>
        <r>
          <rPr>
            <sz val="9"/>
            <color indexed="81"/>
            <rFont val="Tahoma"/>
            <charset val="1"/>
          </rPr>
          <t xml:space="preserve">
Received 43K from Titan</t>
        </r>
      </text>
    </comment>
    <comment ref="D14" authorId="0" shapeId="0" xr:uid="{BE73FA00-968A-495F-B738-76BFAAFA8667}">
      <text>
        <r>
          <rPr>
            <b/>
            <sz val="9"/>
            <color indexed="81"/>
            <rFont val="Tahoma"/>
            <family val="2"/>
          </rPr>
          <t>Rachel Fuentes:</t>
        </r>
        <r>
          <rPr>
            <sz val="9"/>
            <color indexed="81"/>
            <rFont val="Tahoma"/>
            <family val="2"/>
          </rPr>
          <t xml:space="preserve">
From May - Received 36,720K lbs with this freight rate. everything we have in inventory is essentially this new load.
No new receipts in June.
No new receipts in July.
No new receipts in Aug.
March - Received 36,706 with no freight. Can assume based on FIFO that about 1k remains in inventory with freight of $0.0252
May 2025 - No Receipts
June 2025 - No receipts
July2025 - No Receipts</t>
        </r>
      </text>
    </comment>
    <comment ref="D15" authorId="0" shapeId="0" xr:uid="{37C1B001-7D66-4778-9160-EB48B92D4858}">
      <text>
        <r>
          <rPr>
            <b/>
            <sz val="9"/>
            <color indexed="81"/>
            <rFont val="Tahoma"/>
            <family val="2"/>
          </rPr>
          <t>Rachel Fuentes:</t>
        </r>
        <r>
          <rPr>
            <sz val="9"/>
            <color indexed="81"/>
            <rFont val="Tahoma"/>
            <family val="2"/>
          </rPr>
          <t xml:space="preserve">
received 38112 in june w/ freight of $0.1023. may freight rate was 0.095.
No receipts in July.
No new receipts in Aug.
May 2025 - Rec. 34K w freight of .1977
June - No Receipts
July 2025 - No receipts</t>
        </r>
      </text>
    </comment>
    <comment ref="D16" authorId="0" shapeId="0" xr:uid="{70F31E0A-935D-4DA6-B3F4-DC7ACDC82677}">
      <text>
        <r>
          <rPr>
            <b/>
            <sz val="9"/>
            <color indexed="81"/>
            <rFont val="Tahoma"/>
            <family val="2"/>
          </rPr>
          <t>Rachel Fuentes:</t>
        </r>
        <r>
          <rPr>
            <sz val="9"/>
            <color indexed="81"/>
            <rFont val="Tahoma"/>
            <family val="2"/>
          </rPr>
          <t xml:space="preserve">
Oct Note: 152k received no freight
Dec Note: 29k received no freight
Jan: 193k lb received, no freight
Feb: 51K lb received, freight $0.3100. can assume based on FIFO 71k left with no freight.
March - Received 191k with no freight.
April - Received 203k with no freight.
May2025 - Rec. 51K no freight
June 2025 - Rec 355K no freight
July 2025 - Rec 101K no freight</t>
        </r>
      </text>
    </comment>
    <comment ref="H16" authorId="1" shapeId="0" xr:uid="{560A68C0-1836-4BBA-96AF-8024E229087F}">
      <text>
        <r>
          <rPr>
            <b/>
            <sz val="9"/>
            <color indexed="81"/>
            <rFont val="Tahoma"/>
            <family val="2"/>
          </rPr>
          <t>Transferred from FL: $8k per transfer truckload and 38,808 LBs per truck</t>
        </r>
      </text>
    </comment>
    <comment ref="D17" authorId="1" shapeId="0" xr:uid="{FB52EF9E-DB64-4473-887F-FC98C7181DFA}">
      <text>
        <r>
          <rPr>
            <b/>
            <sz val="9"/>
            <color indexed="81"/>
            <rFont val="Tahoma"/>
            <family val="2"/>
          </rPr>
          <t>note from may</t>
        </r>
        <r>
          <rPr>
            <sz val="9"/>
            <color indexed="81"/>
            <rFont val="Tahoma"/>
            <family val="2"/>
          </rPr>
          <t xml:space="preserve">: we received a PO in October for 37,920 w/ freight of .0183. with only 17K in inventory currently - assuming FIFO - this is the inventory we have currently
</t>
        </r>
        <r>
          <rPr>
            <b/>
            <sz val="9"/>
            <color indexed="81"/>
            <rFont val="Tahoma"/>
            <family val="2"/>
          </rPr>
          <t>June</t>
        </r>
        <r>
          <rPr>
            <sz val="9"/>
            <color indexed="81"/>
            <rFont val="Tahoma"/>
            <family val="2"/>
          </rPr>
          <t xml:space="preserve"> OH - 6K lbs.
</t>
        </r>
        <r>
          <rPr>
            <b/>
            <sz val="9"/>
            <color indexed="81"/>
            <rFont val="Tahoma"/>
            <family val="2"/>
          </rPr>
          <t>July</t>
        </r>
        <r>
          <rPr>
            <sz val="9"/>
            <color indexed="81"/>
            <rFont val="Tahoma"/>
            <family val="2"/>
          </rPr>
          <t xml:space="preserve"> - Receipt of 54K lbs w/ freight of $.0062. Could prorate using the previous freight rate (.0183 but the difference is nomial so using this new freight rate.
Aug - No receipts
</t>
        </r>
        <r>
          <rPr>
            <b/>
            <sz val="9"/>
            <color indexed="81"/>
            <rFont val="Tahoma"/>
            <family val="2"/>
          </rPr>
          <t xml:space="preserve">Dec: </t>
        </r>
        <r>
          <rPr>
            <sz val="9"/>
            <color indexed="81"/>
            <rFont val="Tahoma"/>
            <family val="2"/>
          </rPr>
          <t>Received 38,400 w no freight. 39,477 in ending inventory, so 1,077 in invenotry with freight rate of $0.0062
Nothing received Jan/Feb/Mar
April - Received 38k no freight.
May 2025 - No receipts
June 2025 - Rec 19K no freight
July 2025 - Rec 19K no freight</t>
        </r>
      </text>
    </comment>
    <comment ref="D23" authorId="0" shapeId="0" xr:uid="{8D579EE9-6170-4DB9-A68A-9089D4668092}">
      <text>
        <r>
          <rPr>
            <b/>
            <sz val="9"/>
            <color indexed="81"/>
            <rFont val="Tahoma"/>
            <family val="2"/>
          </rPr>
          <t>Rachel Fuentes:</t>
        </r>
        <r>
          <rPr>
            <sz val="9"/>
            <color indexed="81"/>
            <rFont val="Tahoma"/>
            <family val="2"/>
          </rPr>
          <t xml:space="preserve">
May2025 - Rec. 214K no freight.
June 2025 - No recs
July2025 - Rec 109K no freight</t>
        </r>
      </text>
    </comment>
    <comment ref="H23" authorId="1" shapeId="0" xr:uid="{68B08D2D-AD14-446D-9CEE-970652ED06DF}">
      <text>
        <r>
          <rPr>
            <b/>
            <sz val="9"/>
            <color indexed="81"/>
            <rFont val="Tahoma"/>
            <family val="2"/>
          </rPr>
          <t>Transferred from FL: $8k per transfer truckload and 38,808 LBs per truck
Feb: 17640 transfer from FL</t>
        </r>
      </text>
    </comment>
    <comment ref="D24" authorId="0" shapeId="0" xr:uid="{FBCBE882-2EAC-427E-8BF2-56C05F9BAD88}">
      <text>
        <r>
          <rPr>
            <b/>
            <sz val="9"/>
            <color indexed="81"/>
            <rFont val="Tahoma"/>
            <family val="2"/>
          </rPr>
          <t>note from may</t>
        </r>
        <r>
          <rPr>
            <sz val="9"/>
            <color indexed="81"/>
            <rFont val="Tahoma"/>
            <family val="2"/>
          </rPr>
          <t xml:space="preserve">: removed freight rate -  the last PO that had freight was from july 2023… we've ordered 2.6m pounds since then. That inventory is cycled out
</t>
        </r>
        <r>
          <rPr>
            <b/>
            <sz val="9"/>
            <color indexed="81"/>
            <rFont val="Tahoma"/>
            <family val="2"/>
          </rPr>
          <t>July</t>
        </r>
        <r>
          <rPr>
            <sz val="9"/>
            <color indexed="81"/>
            <rFont val="Tahoma"/>
            <family val="2"/>
          </rPr>
          <t xml:space="preserve">: Received 40K lbs no freight.
</t>
        </r>
        <r>
          <rPr>
            <b/>
            <sz val="9"/>
            <color indexed="81"/>
            <rFont val="Tahoma"/>
            <family val="2"/>
          </rPr>
          <t>Aug-</t>
        </r>
        <r>
          <rPr>
            <sz val="9"/>
            <color indexed="81"/>
            <rFont val="Tahoma"/>
            <family val="2"/>
          </rPr>
          <t xml:space="preserve"> No receipts
</t>
        </r>
        <r>
          <rPr>
            <b/>
            <sz val="9"/>
            <color indexed="81"/>
            <rFont val="Tahoma"/>
            <family val="2"/>
          </rPr>
          <t>Sept:</t>
        </r>
        <r>
          <rPr>
            <sz val="9"/>
            <color indexed="81"/>
            <rFont val="Tahoma"/>
            <family val="2"/>
          </rPr>
          <t xml:space="preserve"> Received 40K lbs no freight
</t>
        </r>
        <r>
          <rPr>
            <b/>
            <sz val="9"/>
            <color indexed="81"/>
            <rFont val="Tahoma"/>
            <family val="2"/>
          </rPr>
          <t>Jan:</t>
        </r>
        <r>
          <rPr>
            <sz val="9"/>
            <color indexed="81"/>
            <rFont val="Tahoma"/>
            <family val="2"/>
          </rPr>
          <t xml:space="preserve"> Received 40K lbs no freight
</t>
        </r>
        <r>
          <rPr>
            <b/>
            <sz val="9"/>
            <color indexed="81"/>
            <rFont val="Tahoma"/>
            <family val="2"/>
          </rPr>
          <t>Feb</t>
        </r>
        <r>
          <rPr>
            <sz val="9"/>
            <color indexed="81"/>
            <rFont val="Tahoma"/>
            <family val="2"/>
          </rPr>
          <t xml:space="preserve">: No receipts
</t>
        </r>
        <r>
          <rPr>
            <b/>
            <sz val="9"/>
            <color indexed="81"/>
            <rFont val="Tahoma"/>
            <family val="2"/>
          </rPr>
          <t>Mar</t>
        </r>
        <r>
          <rPr>
            <sz val="9"/>
            <color indexed="81"/>
            <rFont val="Tahoma"/>
            <family val="2"/>
          </rPr>
          <t xml:space="preserve">: No receipts
</t>
        </r>
        <r>
          <rPr>
            <b/>
            <sz val="9"/>
            <color indexed="81"/>
            <rFont val="Tahoma"/>
            <family val="2"/>
          </rPr>
          <t>Apr</t>
        </r>
        <r>
          <rPr>
            <sz val="9"/>
            <color indexed="81"/>
            <rFont val="Tahoma"/>
            <family val="2"/>
          </rPr>
          <t xml:space="preserve">: No receipts
</t>
        </r>
        <r>
          <rPr>
            <b/>
            <sz val="9"/>
            <color indexed="81"/>
            <rFont val="Tahoma"/>
            <family val="2"/>
          </rPr>
          <t>May 2025</t>
        </r>
        <r>
          <rPr>
            <sz val="9"/>
            <color indexed="81"/>
            <rFont val="Tahoma"/>
            <family val="2"/>
          </rPr>
          <t xml:space="preserve">: Received 51K no freight.
</t>
        </r>
        <r>
          <rPr>
            <b/>
            <sz val="9"/>
            <color indexed="81"/>
            <rFont val="Tahoma"/>
            <family val="2"/>
          </rPr>
          <t xml:space="preserve">June 2025: </t>
        </r>
        <r>
          <rPr>
            <sz val="9"/>
            <color indexed="81"/>
            <rFont val="Tahoma"/>
            <family val="2"/>
          </rPr>
          <t xml:space="preserve">Rec 39840 w freight of .0954. Have to adjust formula was inventory goes below this amount
</t>
        </r>
        <r>
          <rPr>
            <b/>
            <sz val="9"/>
            <color indexed="81"/>
            <rFont val="Tahoma"/>
            <family val="2"/>
          </rPr>
          <t>July 2025:</t>
        </r>
        <r>
          <rPr>
            <sz val="9"/>
            <color indexed="81"/>
            <rFont val="Tahoma"/>
            <family val="2"/>
          </rPr>
          <t xml:space="preserve"> No receipts</t>
        </r>
      </text>
    </comment>
    <comment ref="H24" authorId="0" shapeId="0" xr:uid="{3EF80F93-BD89-4074-8E3E-94D76DEEF86D}">
      <text>
        <r>
          <rPr>
            <b/>
            <sz val="9"/>
            <color indexed="81"/>
            <rFont val="Tahoma"/>
            <family val="2"/>
          </rPr>
          <t>Transferred from FL</t>
        </r>
      </text>
    </comment>
    <comment ref="D32" authorId="1" shapeId="0" xr:uid="{6560CA42-2EAF-48E1-AD8B-B55015C39B45}">
      <text>
        <r>
          <rPr>
            <sz val="9"/>
            <color indexed="81"/>
            <rFont val="Tahoma"/>
            <family val="2"/>
          </rPr>
          <t>Removed cap rate - this item is discontinued and will only be used for testing in Davenport</t>
        </r>
      </text>
    </comment>
    <comment ref="H32" authorId="1" shapeId="0" xr:uid="{3EB24CF4-EE9B-4A15-B14A-552B06B6552B}">
      <text>
        <r>
          <rPr>
            <sz val="9"/>
            <color indexed="81"/>
            <rFont val="Tahoma"/>
            <family val="2"/>
          </rPr>
          <t>Removed cap rate - this item is discontinued and will only be used for testing in Davenport</t>
        </r>
      </text>
    </comment>
    <comment ref="D44" authorId="1" shapeId="0" xr:uid="{D1A647E0-7B25-454B-B469-8DAF963BF4B1}">
      <text>
        <r>
          <rPr>
            <b/>
            <sz val="9"/>
            <color indexed="81"/>
            <rFont val="Tahoma"/>
            <family val="2"/>
          </rPr>
          <t>Note from May:</t>
        </r>
        <r>
          <rPr>
            <sz val="9"/>
            <color indexed="81"/>
            <rFont val="Tahoma"/>
            <family val="2"/>
          </rPr>
          <t xml:space="preserve"> 38,800 with IB freight of $0.1004 &amp; 38,800 with IB freight of .0876 REC in May
202,800 received with no freight in May
</t>
        </r>
        <r>
          <rPr>
            <b/>
            <sz val="9"/>
            <color indexed="81"/>
            <rFont val="Tahoma"/>
            <family val="2"/>
          </rPr>
          <t>Note for June</t>
        </r>
        <r>
          <rPr>
            <sz val="9"/>
            <color indexed="81"/>
            <rFont val="Tahoma"/>
            <family val="2"/>
          </rPr>
          <t xml:space="preserve">: 77,600 received w/ freight of $0.0870
</t>
        </r>
        <r>
          <rPr>
            <b/>
            <sz val="9"/>
            <color indexed="81"/>
            <rFont val="Tahoma"/>
            <family val="2"/>
          </rPr>
          <t xml:space="preserve">Note for July: </t>
        </r>
        <r>
          <rPr>
            <sz val="9"/>
            <color indexed="81"/>
            <rFont val="Tahoma"/>
            <family val="2"/>
          </rPr>
          <t xml:space="preserve">Received 180K lbs total (Citrofrut 77,600 w/ freight of .0928 &amp; Fruxo 101,400 w/ NO freight.) Fruxo POs after Citrofrut so can assume this amount in inventory does not have freight associated with it. Assuming the 77K lbs from May were consumed. So capitalizing on the Citrofrut POs received. Then still need to incorporate June &amp; May inventory that had freight as well. Instead of doing 3 different calcs - looking at sum of May-July from Citrofrut (w. freight) and multiplying by the aggerate freight rate. (232*.0913)
</t>
        </r>
        <r>
          <rPr>
            <b/>
            <sz val="9"/>
            <color indexed="81"/>
            <rFont val="Tahoma"/>
            <family val="2"/>
          </rPr>
          <t>Note for Aug:</t>
        </r>
        <r>
          <rPr>
            <sz val="9"/>
            <color indexed="81"/>
            <rFont val="Tahoma"/>
            <family val="2"/>
          </rPr>
          <t xml:space="preserve"> Received 140K lbs (Citrofrut 39K lbs w/ freight of .0883 &amp; Fruxo 101K lbs no freight.) Fruxo POs after Citrofrut, so can assume this amount in inventory does not have freight. Assume May inventory was consumed already. Need to capitalize on the June - Aug inventory received with freight. Using aggregate freight rate (194002 lbs *.0896.) If decrease, dont worry about recalculating the freight rate
</t>
        </r>
        <r>
          <rPr>
            <b/>
            <sz val="9"/>
            <color indexed="81"/>
            <rFont val="Tahoma"/>
            <family val="2"/>
          </rPr>
          <t xml:space="preserve">Note for Sept: </t>
        </r>
        <r>
          <rPr>
            <sz val="9"/>
            <color indexed="81"/>
            <rFont val="Tahoma"/>
            <family val="2"/>
          </rPr>
          <t xml:space="preserve">Decrease - leaving as is per Aug note
</t>
        </r>
        <r>
          <rPr>
            <b/>
            <sz val="9"/>
            <color indexed="81"/>
            <rFont val="Tahoma"/>
            <family val="2"/>
          </rPr>
          <t>Note For Oct</t>
        </r>
        <r>
          <rPr>
            <sz val="9"/>
            <color indexed="81"/>
            <rFont val="Tahoma"/>
            <family val="2"/>
          </rPr>
          <t xml:space="preserve">: Received 203K no freight. Can assume remaining 98K lbs (current 301-203) is from Aug Fruxo PO's with no freight. Therefore, no more freight to capitalize on.
</t>
        </r>
        <r>
          <rPr>
            <b/>
            <sz val="9"/>
            <color indexed="81"/>
            <rFont val="Tahoma"/>
            <family val="2"/>
          </rPr>
          <t>Jan:</t>
        </r>
        <r>
          <rPr>
            <sz val="9"/>
            <color indexed="81"/>
            <rFont val="Tahoma"/>
            <family val="2"/>
          </rPr>
          <t xml:space="preserve"> 300k lb recieved w/ no freight
Feb: 101K received w/ no freight
Mar: 304k received w/ no freight
Apr: 101k received no freight.
May 2025: Received 203K no freight.
June 2025: Rec 101K no freight
July 2025: Rec 406K no freight</t>
        </r>
      </text>
    </comment>
    <comment ref="H44" authorId="0" shapeId="0" xr:uid="{F6BC5916-404C-4F06-A78D-7CA8F1D86FEA}">
      <text>
        <r>
          <rPr>
            <b/>
            <sz val="9"/>
            <color indexed="81"/>
            <rFont val="Tahoma"/>
            <family val="2"/>
          </rPr>
          <t>Transferred from FL</t>
        </r>
      </text>
    </comment>
    <comment ref="D53" authorId="0" shapeId="0" xr:uid="{73EE5548-A635-42CB-A898-3D959705BA63}">
      <text>
        <r>
          <rPr>
            <b/>
            <sz val="9"/>
            <color indexed="81"/>
            <rFont val="Tahoma"/>
            <family val="2"/>
          </rPr>
          <t>Rachel Fuentes:</t>
        </r>
        <r>
          <rPr>
            <sz val="9"/>
            <color indexed="81"/>
            <rFont val="Tahoma"/>
            <family val="2"/>
          </rPr>
          <t xml:space="preserve">
July 2025: Rec 40K no freight</t>
        </r>
      </text>
    </comment>
    <comment ref="H54" authorId="0" shapeId="0" xr:uid="{F2948697-5501-4494-9C51-C57F4D2D1DE7}">
      <text>
        <r>
          <rPr>
            <b/>
            <sz val="9"/>
            <color indexed="81"/>
            <rFont val="Tahoma"/>
            <family val="2"/>
          </rPr>
          <t>Rachel Fuentes:</t>
        </r>
        <r>
          <rPr>
            <sz val="9"/>
            <color indexed="81"/>
            <rFont val="Tahoma"/>
            <family val="2"/>
          </rPr>
          <t xml:space="preserve">
June 2025: Rec 3640 from Ventura w/ freight of .5495
July 2025: Rec 3600 from Delano w/freight of .5556</t>
        </r>
      </text>
    </comment>
    <comment ref="D56" authorId="0" shapeId="0" xr:uid="{0106DD4E-1F3F-47DB-8157-46D1608555CB}">
      <text>
        <r>
          <rPr>
            <b/>
            <sz val="9"/>
            <color indexed="81"/>
            <rFont val="Tahoma"/>
            <family val="2"/>
          </rPr>
          <t>Rachel Fuentes:</t>
        </r>
        <r>
          <rPr>
            <sz val="9"/>
            <color indexed="81"/>
            <rFont val="Tahoma"/>
            <family val="2"/>
          </rPr>
          <t xml:space="preserve">
latest freight rate from Aug POs</t>
        </r>
      </text>
    </comment>
    <comment ref="D57" authorId="0" shapeId="0" xr:uid="{44A420AD-FC65-495D-955E-FC6B0046BAB5}">
      <text>
        <r>
          <rPr>
            <b/>
            <sz val="9"/>
            <color indexed="81"/>
            <rFont val="Tahoma"/>
            <family val="2"/>
          </rPr>
          <t>Rachel Fuentes:</t>
        </r>
        <r>
          <rPr>
            <sz val="9"/>
            <color indexed="81"/>
            <rFont val="Tahoma"/>
            <family val="2"/>
          </rPr>
          <t xml:space="preserve">
1 PO rec in May w/ this freight
July: Receipt of 22K w/ freight of .152. Nominal difference from before so leaving as is
Aug: Receipt of 22K same freight 
Sept: No Receipts
Jan: 22k lb received with freight of $0.165
Feb: No receipts
Mar: No receipts
Apr: Received 22k with freight of $0.1905
May 2025: Received 22K w/ freight of .1452. Meaning 4936 remaining in inventory with last months freight of .1905.
June 2025 - No rec. Inv went down 8K so can assume the 4936 w/ freight of .1905 was consumed. Inventory remaining has the freight of .1452.
July 2025: Rec 22K w/ freight of .1542. Remaining inventory (~6746 lbs has last months freight rate of .1452. Have to adjust this next month once June's inventory is depleted.</t>
        </r>
      </text>
    </comment>
    <comment ref="D58" authorId="0" shapeId="0" xr:uid="{5A7E543A-DD5F-48A8-BACB-B0F2076C3D7A}">
      <text>
        <r>
          <rPr>
            <b/>
            <sz val="9"/>
            <color indexed="81"/>
            <rFont val="Tahoma"/>
            <family val="2"/>
          </rPr>
          <t>Rachel Fuentes:</t>
        </r>
        <r>
          <rPr>
            <sz val="9"/>
            <color indexed="81"/>
            <rFont val="Tahoma"/>
            <family val="2"/>
          </rPr>
          <t xml:space="preserve">
rec 85K in May w/ no freight
July: 85K received no frieght
aug: 127K no freight
sept: no receipts
octL 564K no freight
Jan: no freight
Feb: 43K received no freight
Apr: received 85k no freight
may2025: received 43K no freight
June2025: Rec 85K no freight
July2025: Rec 43K no freight</t>
        </r>
      </text>
    </comment>
    <comment ref="D60" authorId="0" shapeId="0" xr:uid="{9C0BBF7C-DB4C-4507-AC04-76DF5940F26A}">
      <text>
        <r>
          <rPr>
            <b/>
            <sz val="9"/>
            <color indexed="81"/>
            <rFont val="Tahoma"/>
            <family val="2"/>
          </rPr>
          <t>Rachel Fuentes:</t>
        </r>
        <r>
          <rPr>
            <sz val="9"/>
            <color indexed="81"/>
            <rFont val="Tahoma"/>
            <family val="2"/>
          </rPr>
          <t xml:space="preserve">
june - received 42K from natural west corp w/ no freight
july - 43K received natural west corp no freight
aug - 128K received natural west corp no freight
sept- no receipts
oct- no receipts
Feb-no receipts
Apr-no receipts
may2025 - no receipts
June 2025 - Rec 42K no freight
July 2025 - Rec 43K no freight</t>
        </r>
      </text>
    </comment>
    <comment ref="H60" authorId="0" shapeId="0" xr:uid="{7AFC6426-EE0C-48B3-9F39-7170CC53D04F}">
      <text>
        <r>
          <rPr>
            <b/>
            <sz val="9"/>
            <color indexed="81"/>
            <rFont val="Tahoma"/>
            <charset val="1"/>
          </rPr>
          <t>Rachel Fuentes:</t>
        </r>
        <r>
          <rPr>
            <sz val="9"/>
            <color indexed="81"/>
            <rFont val="Tahoma"/>
            <charset val="1"/>
          </rPr>
          <t xml:space="preserve">
July 2025: Rec 43K lbs no Freight</t>
        </r>
      </text>
    </comment>
    <comment ref="D62" authorId="0" shapeId="0" xr:uid="{13B9F61B-433B-4531-B09A-47E83811DC4D}">
      <text>
        <r>
          <rPr>
            <b/>
            <sz val="9"/>
            <color indexed="81"/>
            <rFont val="Tahoma"/>
            <family val="2"/>
          </rPr>
          <t>Rachel Fuentes:</t>
        </r>
        <r>
          <rPr>
            <sz val="9"/>
            <color indexed="81"/>
            <rFont val="Tahoma"/>
            <family val="2"/>
          </rPr>
          <t xml:space="preserve">
June note - received 84K from domino w/ freight of .0156. going to leave as the rounded up .02. miniscule difference (erring on the side of caution - same logic as may)
Aug note - same note as june
Sept - No receipts
oct - no receipts
Feb - 84k received, no freight
Mar - 42k received, no freight
Apr - no receipts however, remaining inventory is from Feb/Mar which both had no freight costs. removing freight of $0.02
May 2025 - Received 84K no freight.
June 2025- Rec 68K no freight
July 2025 - Rec 167K no freight</t>
        </r>
      </text>
    </comment>
    <comment ref="H62" authorId="0" shapeId="0" xr:uid="{B9C9C586-E198-4692-B7C0-9FC4F9E7B40D}">
      <text>
        <r>
          <rPr>
            <b/>
            <sz val="9"/>
            <color indexed="81"/>
            <rFont val="Tahoma"/>
            <family val="2"/>
          </rPr>
          <t>Rachel Fuentes:</t>
        </r>
        <r>
          <rPr>
            <sz val="9"/>
            <color indexed="81"/>
            <rFont val="Tahoma"/>
            <family val="2"/>
          </rPr>
          <t xml:space="preserve">
no change - 41800 rec in May w/ freight of .0705. last po was in feb for 41800 w/ freight of .0807 and then jan 42K with .0837 freight
Feb 2025: 42k received with no freight. Based on FIFO 33K left in inventory with freight of $0.0705
Mar: no receipts
June2025: Rec 109lbs from Domino w/ freight of .1727. Only 12K of SWT008T Left in inventory. Based on FIFO, can assume this is the apart of the 42K w/ no freight received in Feb 2025.
July 2025: Rec 84K from Domino w/ freight of .0955</t>
        </r>
      </text>
    </comment>
    <comment ref="D63" authorId="1" shapeId="0" xr:uid="{DAEDB08E-5BF9-41CB-8F96-D35BA350E974}">
      <text>
        <r>
          <rPr>
            <sz val="9"/>
            <color indexed="81"/>
            <rFont val="Tahoma"/>
            <family val="2"/>
          </rPr>
          <t>June note - received 647k from evergreen &amp; united w/ no freight
aug - 704K received from united sugar w/ no freight
sept - 431K received from evergreen/united sugar no freight
oct - 125K evergreen &amp; 396K united sugar received no freight
dec - 748k received from united sugar, no freight
feb: 695k received no freight
may2025: rec. 780K no freight
june2025: rec 808K no freight
july 2025 - rec 784K no freight</t>
        </r>
      </text>
    </comment>
    <comment ref="H63" authorId="1" shapeId="0" xr:uid="{04F3E51F-C47E-4E79-95BD-691AD4C0B95A}">
      <text>
        <r>
          <rPr>
            <b/>
            <sz val="9"/>
            <color indexed="81"/>
            <rFont val="Tahoma"/>
            <family val="2"/>
          </rPr>
          <t>Melissa Saler:</t>
        </r>
        <r>
          <rPr>
            <sz val="9"/>
            <color indexed="81"/>
            <rFont val="Tahoma"/>
            <family val="2"/>
          </rPr>
          <t xml:space="preserve">
Only Domino with freight </t>
        </r>
        <r>
          <rPr>
            <i/>
            <sz val="9"/>
            <color indexed="81"/>
            <rFont val="Tahoma"/>
            <family val="2"/>
          </rPr>
          <t>(changed in July 2024 though - moved to delivered pricing)</t>
        </r>
        <r>
          <rPr>
            <sz val="9"/>
            <color indexed="81"/>
            <rFont val="Tahoma"/>
            <family val="2"/>
          </rPr>
          <t xml:space="preserve">
June Note: Received 248K lbs. 164k from Domino w freight average of .0432 &amp; 84K from Evergreen w/ no freight. Using FIFO - majority of Evergreen used first. Therefore, leaving freight at .05 (miniscule different - same logic as May)
July Note: Received 410K lbs. 326K lbs from Domino (freight of .0403 for only 3 PO's and rest w/ no freight) &amp; 84K from Evergreen (no freight). Gut - Miniscule difference - leave as is. However, Evergreen PO's were placed last so I could assume 84K of the current 181K have no freight. * Confirm w/ Tracie if Domino moved to delivered pricing. Assuming YES for now so removing freight completey.
Aug - Received 292K from Domino &amp; evergreen (both no freight - Domino moved to delivered pricing)
Sept - Received 295K from Domino no freight) 
Oct - Received 334K from Domino no freight
Nov - Received 369 from Domino no freight
Jan - 294k lb received from Domino and Evergreen, neither with freight
Feb - 377K received, no freight
Mar - 126k received, no freight
Apr - 385k received, no freight
May 2025 - 417K received, no freight
June 2025 - 377K rec no freight
July 2025 - 335 rec no freight</t>
        </r>
      </text>
    </comment>
    <comment ref="D64" authorId="0" shapeId="0" xr:uid="{48A54E0F-FA38-4BB2-BBF3-EEA4BC46F4EE}">
      <text>
        <r>
          <rPr>
            <b/>
            <sz val="9"/>
            <color indexed="81"/>
            <rFont val="Tahoma"/>
            <family val="2"/>
          </rPr>
          <t>Rachel Fuentes:</t>
        </r>
        <r>
          <rPr>
            <sz val="9"/>
            <color indexed="81"/>
            <rFont val="Tahoma"/>
            <family val="2"/>
          </rPr>
          <t xml:space="preserve">
1 po rec in may w/ this freight
july 2025 - no recepts</t>
        </r>
      </text>
    </comment>
    <comment ref="H64" authorId="1" shapeId="0" xr:uid="{5E2F6F72-1B34-48BD-A9CB-0758F515497A}">
      <text>
        <r>
          <rPr>
            <b/>
            <sz val="9"/>
            <color indexed="81"/>
            <rFont val="Tahoma"/>
            <family val="2"/>
          </rPr>
          <t xml:space="preserve">Dec 2024- </t>
        </r>
        <r>
          <rPr>
            <sz val="9"/>
            <color indexed="81"/>
            <rFont val="Tahoma"/>
            <family val="2"/>
          </rPr>
          <t xml:space="preserve">4,248 received with freight of $0.3364
</t>
        </r>
        <r>
          <rPr>
            <b/>
            <sz val="9"/>
            <color indexed="81"/>
            <rFont val="Tahoma"/>
            <family val="2"/>
          </rPr>
          <t>Apr 2025</t>
        </r>
        <r>
          <rPr>
            <sz val="9"/>
            <color indexed="81"/>
            <rFont val="Tahoma"/>
            <family val="2"/>
          </rPr>
          <t xml:space="preserve"> - 4,248 received freight of .3450
July 2025 - no receipts</t>
        </r>
      </text>
    </comment>
    <comment ref="D65" authorId="2" shapeId="0" xr:uid="{B8B0FE43-7F32-4391-BAEB-ACB909B47760}">
      <text>
        <r>
          <rPr>
            <b/>
            <sz val="9"/>
            <color indexed="81"/>
            <rFont val="Tahoma"/>
            <family val="2"/>
          </rPr>
          <t xml:space="preserve">Andrew Sorenson:
</t>
        </r>
        <r>
          <rPr>
            <sz val="9"/>
            <color indexed="81"/>
            <rFont val="Tahoma"/>
            <family val="2"/>
          </rPr>
          <t>Jan - Received 44 lbs with $1.8466 freight
April - Received 44 lbs with $1.92 freight. 
June 2025: Rec 44 lbs w freight of $1.92
July 2025: Rec 88lbs w/ freight of .9609</t>
        </r>
      </text>
    </comment>
    <comment ref="H65" authorId="2" shapeId="0" xr:uid="{F32EF3FC-2B58-4CC5-AA60-6BA67BEA46D2}">
      <text>
        <r>
          <rPr>
            <sz val="9"/>
            <color indexed="81"/>
            <rFont val="Tahoma"/>
            <family val="2"/>
          </rPr>
          <t xml:space="preserve">
Apr - 44 lbs rec no freight
July 2025 - Rec 44 lbs. Freight in PBI is incorrect (44.02 - Cary is correcting will reflect tomorrow to .97227 </t>
        </r>
      </text>
    </comment>
    <comment ref="C74" authorId="1" shapeId="0" xr:uid="{D6E3DE1C-163C-4312-9E57-54ECA9B94140}">
      <text>
        <r>
          <rPr>
            <b/>
            <sz val="9"/>
            <color indexed="81"/>
            <rFont val="Tahoma"/>
            <family val="2"/>
          </rPr>
          <t>Melissa Saler:</t>
        </r>
        <r>
          <rPr>
            <sz val="9"/>
            <color indexed="81"/>
            <rFont val="Tahoma"/>
            <family val="2"/>
          </rPr>
          <t xml:space="preserve">
Fix to include PUR057 please!</t>
        </r>
      </text>
    </comment>
    <comment ref="C78" authorId="0" shapeId="0" xr:uid="{291C2568-5BC3-42A7-9303-4E55E6E44282}">
      <text>
        <r>
          <rPr>
            <b/>
            <sz val="9"/>
            <color indexed="81"/>
            <rFont val="Tahoma"/>
            <family val="2"/>
          </rPr>
          <t>Rachel Fuentes:</t>
        </r>
        <r>
          <rPr>
            <sz val="9"/>
            <color indexed="81"/>
            <rFont val="Tahoma"/>
            <family val="2"/>
          </rPr>
          <t xml:space="preserve">
Updated FY25 RATES (confirmed w/Mel)
19.95 storage cost per pallet per month times 2 assuming it stays for 2ms on average. 16.80 per pallet for handling, 12.08 freezer, 11.25 unloading </t>
        </r>
      </text>
    </comment>
    <comment ref="G78" authorId="0" shapeId="0" xr:uid="{D758CE72-8940-4A1E-9B84-94C1AB370A5E}">
      <text>
        <r>
          <rPr>
            <b/>
            <sz val="9"/>
            <color indexed="81"/>
            <rFont val="Tahoma"/>
            <family val="2"/>
          </rPr>
          <t>Rachel Fuentes:</t>
        </r>
        <r>
          <rPr>
            <sz val="9"/>
            <color indexed="81"/>
            <rFont val="Tahoma"/>
            <family val="2"/>
          </rPr>
          <t xml:space="preserve">
Confirmed w/ Mel
LY - Was referencing PUR017 in Alameda Cap file so assuming we want to reference the same sku (assuming this is the case b/c this sku typically has the most inventory that needs freezer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Shawn Brierley</author>
    <author>Melissa Saler</author>
    <author>Rachel Fuentes</author>
    <author>Andrew Sorenson</author>
  </authors>
  <commentList>
    <comment ref="A1" authorId="0" shapeId="0" xr:uid="{00000000-0006-0000-0300-000001000000}">
      <text>
        <r>
          <rPr>
            <b/>
            <sz val="8"/>
            <color indexed="81"/>
            <rFont val="Tahoma"/>
            <family val="2"/>
          </rPr>
          <t>Use Inventory Value Report</t>
        </r>
      </text>
    </comment>
    <comment ref="G10" authorId="1" shapeId="0" xr:uid="{23071C7F-32D2-46F9-BEDB-7CD32D735341}">
      <text>
        <r>
          <rPr>
            <b/>
            <sz val="9"/>
            <color indexed="81"/>
            <rFont val="Tahoma"/>
            <family val="2"/>
          </rPr>
          <t>$0.02 per LB of fruit and 101.6 yield</t>
        </r>
      </text>
    </comment>
    <comment ref="G11" authorId="1" shapeId="0" xr:uid="{D8354AFD-32E9-42C8-9211-BB1642369ADE}">
      <text>
        <r>
          <rPr>
            <b/>
            <sz val="9"/>
            <color indexed="81"/>
            <rFont val="Tahoma"/>
            <family val="2"/>
          </rPr>
          <t>$0.02 per LB of fruit and 101.6 yield</t>
        </r>
      </text>
    </comment>
    <comment ref="G13" authorId="1" shapeId="0" xr:uid="{FB80013D-8B7B-4015-AF28-4AECBE43EEEC}">
      <text>
        <r>
          <rPr>
            <b/>
            <sz val="9"/>
            <color indexed="81"/>
            <rFont val="Tahoma"/>
            <family val="2"/>
          </rPr>
          <t>Most lemon loads priced delivered</t>
        </r>
      </text>
    </comment>
    <comment ref="G19" authorId="1" shapeId="0" xr:uid="{E942721D-EC31-4EA5-8ACD-C7FB248AAB9E}">
      <text>
        <r>
          <rPr>
            <b/>
            <sz val="9"/>
            <color indexed="81"/>
            <rFont val="Tahoma"/>
            <family val="2"/>
          </rPr>
          <t>Most lemon loads priced delivered</t>
        </r>
      </text>
    </comment>
    <comment ref="G29" authorId="1" shapeId="0" xr:uid="{2B1E5E04-0B33-4676-8765-AA535F0F75AB}">
      <text>
        <r>
          <rPr>
            <b/>
            <sz val="9"/>
            <color indexed="81"/>
            <rFont val="Tahoma"/>
            <family val="2"/>
          </rPr>
          <t>Melissa Saler:</t>
        </r>
        <r>
          <rPr>
            <sz val="9"/>
            <color indexed="81"/>
            <rFont val="Tahoma"/>
            <family val="2"/>
          </rPr>
          <t xml:space="preserve">
Equal to J7507 IB Freight as this is drummed off tankers</t>
        </r>
      </text>
    </comment>
    <comment ref="G47" authorId="1" shapeId="0" xr:uid="{7E8474D1-675F-4D47-A64B-3C1B76DA1742}">
      <text>
        <r>
          <rPr>
            <b/>
            <sz val="9"/>
            <color indexed="81"/>
            <rFont val="Tahoma"/>
            <family val="2"/>
          </rPr>
          <t>July Note:</t>
        </r>
        <r>
          <rPr>
            <sz val="9"/>
            <color indexed="81"/>
            <rFont val="Tahoma"/>
            <family val="2"/>
          </rPr>
          <t xml:space="preserve"> Received 29K gls of J8040 w/ freight of 0.6143. Received as tanker but then drummed off therefore need to encapsulate this freight rate
</t>
        </r>
        <r>
          <rPr>
            <b/>
            <sz val="9"/>
            <color indexed="81"/>
            <rFont val="Tahoma"/>
            <family val="2"/>
          </rPr>
          <t>Aug:</t>
        </r>
        <r>
          <rPr>
            <sz val="9"/>
            <color indexed="81"/>
            <rFont val="Tahoma"/>
            <family val="2"/>
          </rPr>
          <t xml:space="preserve"> Received 5300 gls of J8040 w/ freight of 0.5189. Weighted freight calc (9601 [OH minus new aug receipt to see how much inventory from last month remains]* July freight rate) +(5300 * Aug freight rate)
</t>
        </r>
        <r>
          <rPr>
            <b/>
            <sz val="9"/>
            <color indexed="81"/>
            <rFont val="Tahoma"/>
            <family val="2"/>
          </rPr>
          <t>Sept</t>
        </r>
        <r>
          <rPr>
            <sz val="9"/>
            <color indexed="81"/>
            <rFont val="Tahoma"/>
            <family val="2"/>
          </rPr>
          <t xml:space="preserve">: No receipts of J8040
MS: formula needs to be updated - adding too much freight
</t>
        </r>
        <r>
          <rPr>
            <b/>
            <sz val="9"/>
            <color indexed="81"/>
            <rFont val="Tahoma"/>
            <family val="2"/>
          </rPr>
          <t>Oct:</t>
        </r>
        <r>
          <rPr>
            <sz val="9"/>
            <color indexed="81"/>
            <rFont val="Tahoma"/>
            <family val="2"/>
          </rPr>
          <t xml:space="preserve"> No receipts of J8040. Depleted Inventory of J8506 therefore nothing to capitalize on.
</t>
        </r>
        <r>
          <rPr>
            <b/>
            <sz val="9"/>
            <color indexed="81"/>
            <rFont val="Tahoma"/>
            <family val="2"/>
          </rPr>
          <t>May 2025</t>
        </r>
        <r>
          <rPr>
            <sz val="9"/>
            <color indexed="81"/>
            <rFont val="Tahoma"/>
            <family val="2"/>
          </rPr>
          <t xml:space="preserve"> - Received 11K of J8040 / freight of .6568. Current inventory all has freight.
</t>
        </r>
        <r>
          <rPr>
            <b/>
            <sz val="9"/>
            <color indexed="81"/>
            <rFont val="Tahoma"/>
            <family val="2"/>
          </rPr>
          <t>June 2025</t>
        </r>
        <r>
          <rPr>
            <sz val="9"/>
            <color indexed="81"/>
            <rFont val="Tahoma"/>
            <family val="2"/>
          </rPr>
          <t xml:space="preserve"> - Rec 11K of J8040 w freight of 0.6549
</t>
        </r>
        <r>
          <rPr>
            <b/>
            <sz val="9"/>
            <color indexed="81"/>
            <rFont val="Tahoma"/>
            <family val="2"/>
          </rPr>
          <t>July 2025</t>
        </r>
        <r>
          <rPr>
            <sz val="9"/>
            <color indexed="81"/>
            <rFont val="Tahoma"/>
            <family val="2"/>
          </rPr>
          <t xml:space="preserve"> - Rec 17K of J8040 w freight of 0.6274</t>
        </r>
      </text>
    </comment>
    <comment ref="G97" authorId="2" shapeId="0" xr:uid="{9224BC34-D81A-40CD-BD1D-F65512AF9F88}">
      <text>
        <r>
          <rPr>
            <b/>
            <sz val="9"/>
            <color indexed="81"/>
            <rFont val="Tahoma"/>
            <family val="2"/>
          </rPr>
          <t>Rachel Fuentes:</t>
        </r>
        <r>
          <rPr>
            <sz val="9"/>
            <color indexed="81"/>
            <rFont val="Tahoma"/>
            <family val="2"/>
          </rPr>
          <t xml:space="preserve">
Oct note: Received 97K from Ventura w/ freight of .5629. Can assume all inventory OH currently has freight.
</t>
        </r>
        <r>
          <rPr>
            <b/>
            <sz val="9"/>
            <color indexed="81"/>
            <rFont val="Tahoma"/>
            <family val="2"/>
          </rPr>
          <t xml:space="preserve">Dec: </t>
        </r>
        <r>
          <rPr>
            <sz val="9"/>
            <color indexed="81"/>
            <rFont val="Tahoma"/>
            <family val="2"/>
          </rPr>
          <t xml:space="preserve">4 tankers on hand at end of the month. 2 from Limex w no freight, one from Ventura w freight of $0.595 and one from Vita-Pakt w freight of $0.495
</t>
        </r>
        <r>
          <rPr>
            <b/>
            <sz val="9"/>
            <color indexed="81"/>
            <rFont val="Tahoma"/>
            <family val="2"/>
          </rPr>
          <t xml:space="preserve">Jan: </t>
        </r>
        <r>
          <rPr>
            <sz val="9"/>
            <color indexed="81"/>
            <rFont val="Tahoma"/>
            <family val="2"/>
          </rPr>
          <t xml:space="preserve">Zero inventory at end of month. Reevaluate in Feb.
</t>
        </r>
        <r>
          <rPr>
            <b/>
            <sz val="9"/>
            <color indexed="81"/>
            <rFont val="Tahoma"/>
            <family val="2"/>
          </rPr>
          <t xml:space="preserve">May 2025: </t>
        </r>
        <r>
          <rPr>
            <sz val="9"/>
            <color indexed="81"/>
            <rFont val="Tahoma"/>
            <family val="2"/>
          </rPr>
          <t xml:space="preserve">Received 75K from Ventura (avg .5802 freight) &amp; 23K from Vitapakt (avg .6179 freight.) Based on FIFO, Vitapakt remaining in inventory (last 2 POs.)
</t>
        </r>
        <r>
          <rPr>
            <b/>
            <sz val="9"/>
            <color indexed="81"/>
            <rFont val="Tahoma"/>
            <family val="2"/>
          </rPr>
          <t>June 2025</t>
        </r>
        <r>
          <rPr>
            <sz val="9"/>
            <color indexed="81"/>
            <rFont val="Tahoma"/>
            <family val="2"/>
          </rPr>
          <t xml:space="preserve">: Rec 71K from Ventura w. avg freight of .594. But no inv OH so nothing to capitalize on.
</t>
        </r>
        <r>
          <rPr>
            <b/>
            <sz val="9"/>
            <color indexed="81"/>
            <rFont val="Tahoma"/>
            <family val="2"/>
          </rPr>
          <t>July 2025:</t>
        </r>
        <r>
          <rPr>
            <sz val="9"/>
            <color indexed="81"/>
            <rFont val="Tahoma"/>
            <family val="2"/>
          </rPr>
          <t xml:space="preserve"> Rec 168K from Ventura with freight. Last 7POs (40K GL = Current OH) have weighted average freight of .6027</t>
        </r>
      </text>
    </comment>
    <comment ref="G120" authorId="2" shapeId="0" xr:uid="{B767AC14-45A9-4616-96ED-1F96E0C94E1E}">
      <text>
        <r>
          <rPr>
            <b/>
            <sz val="9"/>
            <color indexed="81"/>
            <rFont val="Tahoma"/>
            <family val="2"/>
          </rPr>
          <t>Rachel Fuentes:
Note from April:</t>
        </r>
        <r>
          <rPr>
            <sz val="9"/>
            <color indexed="81"/>
            <rFont val="Tahoma"/>
            <family val="2"/>
          </rPr>
          <t xml:space="preserve">11575 lbs in inventory at .717/lb (inv OH from last month. Last receipt was in Dec.) Rest w/ no inb freight
</t>
        </r>
        <r>
          <rPr>
            <b/>
            <sz val="9"/>
            <color indexed="81"/>
            <rFont val="Tahoma"/>
            <family val="2"/>
          </rPr>
          <t>May:</t>
        </r>
        <r>
          <rPr>
            <sz val="9"/>
            <color indexed="81"/>
            <rFont val="Tahoma"/>
            <family val="2"/>
          </rPr>
          <t xml:space="preserve"> No change/receipts
</t>
        </r>
        <r>
          <rPr>
            <b/>
            <sz val="9"/>
            <color indexed="81"/>
            <rFont val="Tahoma"/>
            <family val="2"/>
          </rPr>
          <t>June:</t>
        </r>
        <r>
          <rPr>
            <sz val="9"/>
            <color indexed="81"/>
            <rFont val="Tahoma"/>
            <family val="2"/>
          </rPr>
          <t xml:space="preserve"> No change/receipts. However, most of what we have in inventory is actually from transfers (may transfers.) Updating freight rate to transfer rate:
Freight rate = $4400/4,572 GL =.96238 (fits on a truck - rate confirmed w/Kim &amp; Carry)
</t>
        </r>
        <r>
          <rPr>
            <b/>
            <sz val="9"/>
            <color indexed="81"/>
            <rFont val="Tahoma"/>
            <family val="2"/>
          </rPr>
          <t xml:space="preserve">July: </t>
        </r>
        <r>
          <rPr>
            <sz val="9"/>
            <color indexed="81"/>
            <rFont val="Tahoma"/>
            <family val="2"/>
          </rPr>
          <t xml:space="preserve">Received 20,955K gl from Citrus Team/ no freight. Total of 26K gl OH now. Most of inventory OH has no freight now so going to prorate~ 5K gl ONLY with the transfer rate from June 
</t>
        </r>
        <r>
          <rPr>
            <b/>
            <sz val="9"/>
            <color indexed="81"/>
            <rFont val="Tahoma"/>
            <family val="2"/>
          </rPr>
          <t>Aug</t>
        </r>
        <r>
          <rPr>
            <sz val="9"/>
            <color indexed="81"/>
            <rFont val="Tahoma"/>
            <family val="2"/>
          </rPr>
          <t xml:space="preserve">: Received 17K gl from Citrus Team/no freight. 32K gl OH now. Can assume all inventory with freight has been consumed now. Removed freight rate
</t>
        </r>
        <r>
          <rPr>
            <b/>
            <sz val="9"/>
            <color indexed="81"/>
            <rFont val="Tahoma"/>
            <family val="2"/>
          </rPr>
          <t>Sept</t>
        </r>
        <r>
          <rPr>
            <sz val="9"/>
            <color indexed="81"/>
            <rFont val="Tahoma"/>
            <family val="2"/>
          </rPr>
          <t xml:space="preserve">: No Receipts
</t>
        </r>
        <r>
          <rPr>
            <b/>
            <sz val="9"/>
            <color indexed="81"/>
            <rFont val="Tahoma"/>
            <family val="2"/>
          </rPr>
          <t xml:space="preserve">Oct: </t>
        </r>
        <r>
          <rPr>
            <sz val="9"/>
            <color indexed="81"/>
            <rFont val="Tahoma"/>
            <family val="2"/>
          </rPr>
          <t>No Receipts
June 2025: Rec 8K no freight</t>
        </r>
      </text>
    </comment>
    <comment ref="G121" authorId="2" shapeId="0" xr:uid="{3661E0B0-B556-4E27-96CA-46E72D1D6C62}">
      <text>
        <r>
          <rPr>
            <b/>
            <sz val="9"/>
            <color indexed="81"/>
            <rFont val="Tahoma"/>
            <family val="2"/>
          </rPr>
          <t>Rachel Fuentes:</t>
        </r>
        <r>
          <rPr>
            <sz val="9"/>
            <color indexed="81"/>
            <rFont val="Tahoma"/>
            <family val="2"/>
          </rPr>
          <t xml:space="preserve">
No freight</t>
        </r>
      </text>
    </comment>
    <comment ref="G127" authorId="2" shapeId="0" xr:uid="{E4953E6C-292A-4147-B672-34C576677F08}">
      <text>
        <r>
          <rPr>
            <b/>
            <sz val="9"/>
            <color indexed="81"/>
            <rFont val="Tahoma"/>
            <family val="2"/>
          </rPr>
          <t>Rachel Fuentes:</t>
        </r>
        <r>
          <rPr>
            <sz val="9"/>
            <color indexed="81"/>
            <rFont val="Tahoma"/>
            <family val="2"/>
          </rPr>
          <t xml:space="preserve">
</t>
        </r>
        <r>
          <rPr>
            <b/>
            <sz val="9"/>
            <color indexed="81"/>
            <rFont val="Tahoma"/>
            <family val="2"/>
          </rPr>
          <t>Sept</t>
        </r>
        <r>
          <rPr>
            <sz val="9"/>
            <color indexed="81"/>
            <rFont val="Tahoma"/>
            <family val="2"/>
          </rPr>
          <t xml:space="preserve">: Received 13K w/ freight rate of $0.5671
</t>
        </r>
        <r>
          <rPr>
            <b/>
            <sz val="9"/>
            <color indexed="81"/>
            <rFont val="Tahoma"/>
            <family val="2"/>
          </rPr>
          <t>Oct</t>
        </r>
        <r>
          <rPr>
            <sz val="9"/>
            <color indexed="81"/>
            <rFont val="Tahoma"/>
            <family val="2"/>
          </rPr>
          <t xml:space="preserve">: Received 4K w/ same freight of $0.5671
</t>
        </r>
        <r>
          <rPr>
            <b/>
            <sz val="9"/>
            <color indexed="81"/>
            <rFont val="Tahoma"/>
            <family val="2"/>
          </rPr>
          <t xml:space="preserve">Jan: </t>
        </r>
        <r>
          <rPr>
            <sz val="9"/>
            <color indexed="81"/>
            <rFont val="Tahoma"/>
            <family val="2"/>
          </rPr>
          <t>Received 4K w/ same freight of $0.5671
Feb: No receipts
Mar: No receipts
May 2025: No receipts
June 2025: No receipts
July 2025: Rec 13K w/ freight of .5671</t>
        </r>
      </text>
    </comment>
    <comment ref="G130" authorId="2" shapeId="0" xr:uid="{0943AFB5-861B-43F0-BE37-6D2521FE6304}">
      <text>
        <r>
          <rPr>
            <b/>
            <sz val="9"/>
            <color indexed="81"/>
            <rFont val="Tahoma"/>
            <family val="2"/>
          </rPr>
          <t>internal blend - no freight</t>
        </r>
      </text>
    </comment>
    <comment ref="I130" authorId="2" shapeId="0" xr:uid="{E775FD3B-0F4E-4A4E-B288-2D4D7ACF3825}">
      <text>
        <r>
          <rPr>
            <b/>
            <sz val="9"/>
            <color indexed="81"/>
            <rFont val="Tahoma"/>
            <family val="2"/>
          </rPr>
          <t>Rachel Fuentes:</t>
        </r>
        <r>
          <rPr>
            <sz val="9"/>
            <color indexed="81"/>
            <rFont val="Tahoma"/>
            <family val="2"/>
          </rPr>
          <t xml:space="preserve">
Blends have rate of $0.51</t>
        </r>
      </text>
    </comment>
    <comment ref="G132" authorId="2" shapeId="0" xr:uid="{06D84428-D327-46A3-BB7A-025E158F57CA}">
      <text>
        <r>
          <rPr>
            <b/>
            <sz val="9"/>
            <color indexed="81"/>
            <rFont val="Tahoma"/>
            <family val="2"/>
          </rPr>
          <t>Rachel Fuentes:</t>
        </r>
        <r>
          <rPr>
            <sz val="9"/>
            <color indexed="81"/>
            <rFont val="Tahoma"/>
            <family val="2"/>
          </rPr>
          <t xml:space="preserve">
Received 4320 in July w/ freight of .5671
Sept: Received 13K w/ freight of $0.5671
Oct: received 26K from Limex w/ same freight rate of .5671.
Dec: Received 17k w/ same freight of $0.5671
Feb: 8.6k received, freight $0.5530. Miniscule difference
Mar: no receipts
May 2025: No receipts
June 2025: No receipts
July 2025: No receipts</t>
        </r>
      </text>
    </comment>
    <comment ref="G145" authorId="2" shapeId="0" xr:uid="{9E472D3D-23E5-4050-A695-29E13EC1B13D}">
      <text>
        <r>
          <rPr>
            <b/>
            <sz val="9"/>
            <color indexed="81"/>
            <rFont val="Tahoma"/>
            <family val="2"/>
          </rPr>
          <t>Rachel Fuentes:</t>
        </r>
        <r>
          <rPr>
            <sz val="9"/>
            <color indexed="81"/>
            <rFont val="Tahoma"/>
            <family val="2"/>
          </rPr>
          <t xml:space="preserve">
July 2025: Rec 66K from Citrofrut w/ no freight</t>
        </r>
      </text>
    </comment>
    <comment ref="G149" authorId="2" shapeId="0" xr:uid="{5A310BD0-E300-4790-B692-856D9E52C566}">
      <text>
        <r>
          <rPr>
            <b/>
            <sz val="9"/>
            <color indexed="81"/>
            <rFont val="Tahoma"/>
            <family val="2"/>
          </rPr>
          <t>Rachel Fuentes:</t>
        </r>
        <r>
          <rPr>
            <sz val="9"/>
            <color indexed="81"/>
            <rFont val="Tahoma"/>
            <family val="2"/>
          </rPr>
          <t xml:space="preserve">
June 2025: Rec 4180 w freight of .61
July 2025: Rec 17K from Citrofrut w/ freight of .61</t>
        </r>
      </text>
    </comment>
    <comment ref="I149" authorId="2" shapeId="0" xr:uid="{346F950A-F42E-47C2-8ACF-B7BE511691E3}">
      <text>
        <r>
          <rPr>
            <b/>
            <sz val="9"/>
            <color indexed="81"/>
            <rFont val="Tahoma"/>
            <family val="2"/>
          </rPr>
          <t>Rachel Fuentes:</t>
        </r>
        <r>
          <rPr>
            <sz val="9"/>
            <color indexed="81"/>
            <rFont val="Tahoma"/>
            <family val="2"/>
          </rPr>
          <t xml:space="preserve">
Mimicking Mex OJ Tote rate</t>
        </r>
      </text>
    </comment>
    <comment ref="G155" authorId="2" shapeId="0" xr:uid="{9C6A72F4-3BFD-4FB5-8ED6-34CA54D8F885}">
      <text>
        <r>
          <rPr>
            <b/>
            <sz val="9"/>
            <color indexed="81"/>
            <rFont val="Tahoma"/>
            <family val="2"/>
          </rPr>
          <t>Rachel Fuentes:</t>
        </r>
        <r>
          <rPr>
            <sz val="9"/>
            <color indexed="81"/>
            <rFont val="Tahoma"/>
            <family val="2"/>
          </rPr>
          <t xml:space="preserve">
June 2025: Rec 17K w freight but nothing OH so nothing to capitalize on 
July 2025: No receipts</t>
        </r>
      </text>
    </comment>
    <comment ref="G158" authorId="2" shapeId="0" xr:uid="{6EA25653-1C3D-4479-AD33-FD8A93043AB4}">
      <text>
        <r>
          <rPr>
            <b/>
            <sz val="9"/>
            <color indexed="81"/>
            <rFont val="Tahoma"/>
            <family val="2"/>
          </rPr>
          <t>leave as is for now b/c production uses this as an extraction sku currently. (sku is being used for extraction (ff717). Use this freight weight (zero) with yield assumption from j7912)</t>
        </r>
      </text>
    </comment>
    <comment ref="G161" authorId="2" shapeId="0" xr:uid="{E01CD9E0-3FAD-4B9A-A8F4-14E4CD73AB2C}">
      <text>
        <r>
          <rPr>
            <b/>
            <sz val="9"/>
            <color indexed="81"/>
            <rFont val="Tahoma"/>
            <family val="2"/>
          </rPr>
          <t>Rachel Fuentes:</t>
        </r>
        <r>
          <rPr>
            <sz val="9"/>
            <color indexed="81"/>
            <rFont val="Tahoma"/>
            <family val="2"/>
          </rPr>
          <t xml:space="preserve">
aug - barely anything OH but received 44K in aug w/ freight of 0.53
oct - barely anything OH but received 140K from ventura w/ rate of .5877
May 2025 - barely anything reamining OH but received 97K from Ventura w/ freight of .6196
June 2025 = Rec 143K w avg freight of .6177 but nothing OH so nothing to capitalize on
July 2025 = Rec 127K from Ventura w/ freight. Last PO (6K GL = more than current OH of 4K) has freight of .5809</t>
        </r>
      </text>
    </comment>
    <comment ref="G162" authorId="3" shapeId="0" xr:uid="{863C79C2-1A56-4B2F-A245-17EC47EC50C8}">
      <text>
        <r>
          <rPr>
            <b/>
            <sz val="9"/>
            <color indexed="81"/>
            <rFont val="Tahoma"/>
            <family val="2"/>
          </rPr>
          <t>FEB:</t>
        </r>
        <r>
          <rPr>
            <sz val="9"/>
            <color indexed="81"/>
            <rFont val="Tahoma"/>
            <family val="2"/>
          </rPr>
          <t xml:space="preserve"> Received 22K no freight</t>
        </r>
      </text>
    </comment>
    <comment ref="C169" authorId="3" shapeId="0" xr:uid="{5ADDE959-9EAC-41D1-859D-1976526E0A85}">
      <text>
        <r>
          <rPr>
            <b/>
            <sz val="9"/>
            <color indexed="81"/>
            <rFont val="Tahoma"/>
            <family val="2"/>
          </rPr>
          <t>Andrew Sorenson:</t>
        </r>
        <r>
          <rPr>
            <sz val="9"/>
            <color indexed="81"/>
            <rFont val="Tahoma"/>
            <family val="2"/>
          </rPr>
          <t xml:space="preserve">
Drummed extraction OJ</t>
        </r>
      </text>
    </comment>
    <comment ref="I169" authorId="3" shapeId="0" xr:uid="{D7DFE9DC-43AE-4549-BB1B-1A842DC3DD26}">
      <text>
        <r>
          <rPr>
            <b/>
            <sz val="9"/>
            <color indexed="81"/>
            <rFont val="Tahoma"/>
            <family val="2"/>
          </rPr>
          <t>Andrew Sorenson:</t>
        </r>
        <r>
          <rPr>
            <sz val="9"/>
            <color indexed="81"/>
            <rFont val="Tahoma"/>
            <family val="2"/>
          </rPr>
          <t xml:space="preserve">
NEW SKU - using J7912 as a reference until new rates
</t>
        </r>
      </text>
    </comment>
    <comment ref="G176" authorId="2" shapeId="0" xr:uid="{C1D63C45-3C37-4607-A727-4A5CA0408FB2}">
      <text>
        <r>
          <rPr>
            <b/>
            <sz val="9"/>
            <color indexed="81"/>
            <rFont val="Tahoma"/>
            <family val="2"/>
          </rPr>
          <t xml:space="preserve">Rachel Fuentes:
Nov 2024: </t>
        </r>
        <r>
          <rPr>
            <sz val="9"/>
            <color indexed="81"/>
            <rFont val="Tahoma"/>
            <family val="2"/>
          </rPr>
          <t>Received 7920 w/ freight of .6596</t>
        </r>
        <r>
          <rPr>
            <b/>
            <sz val="9"/>
            <color indexed="81"/>
            <rFont val="Tahoma"/>
            <family val="2"/>
          </rPr>
          <t xml:space="preserve">
Dec 2024: </t>
        </r>
        <r>
          <rPr>
            <sz val="9"/>
            <color indexed="81"/>
            <rFont val="Tahoma"/>
            <family val="2"/>
          </rPr>
          <t xml:space="preserve">Received 7920 w/ freight of .6596
</t>
        </r>
        <r>
          <rPr>
            <b/>
            <sz val="9"/>
            <color indexed="81"/>
            <rFont val="Tahoma"/>
            <family val="2"/>
          </rPr>
          <t>Jan 2025</t>
        </r>
        <r>
          <rPr>
            <sz val="9"/>
            <color indexed="81"/>
            <rFont val="Tahoma"/>
            <family val="2"/>
          </rPr>
          <t xml:space="preserve"> - No Receipts.</t>
        </r>
        <r>
          <rPr>
            <b/>
            <sz val="9"/>
            <color indexed="81"/>
            <rFont val="Tahoma"/>
            <family val="2"/>
          </rPr>
          <t xml:space="preserve">
Feb 2025: </t>
        </r>
        <r>
          <rPr>
            <sz val="9"/>
            <color indexed="81"/>
            <rFont val="Tahoma"/>
            <family val="2"/>
          </rPr>
          <t xml:space="preserve">Received 7920 w/ freight of .6313
</t>
        </r>
        <r>
          <rPr>
            <b/>
            <sz val="9"/>
            <color indexed="81"/>
            <rFont val="Tahoma"/>
            <family val="2"/>
          </rPr>
          <t>March 2025:</t>
        </r>
        <r>
          <rPr>
            <sz val="9"/>
            <color indexed="81"/>
            <rFont val="Tahoma"/>
            <family val="2"/>
          </rPr>
          <t xml:space="preserve"> Received 19800 w/ freight of .6187)
</t>
        </r>
        <r>
          <rPr>
            <b/>
            <sz val="9"/>
            <color indexed="81"/>
            <rFont val="Tahoma"/>
            <family val="2"/>
          </rPr>
          <t>Apr 2025:</t>
        </r>
        <r>
          <rPr>
            <sz val="9"/>
            <color indexed="81"/>
            <rFont val="Tahoma"/>
            <family val="2"/>
          </rPr>
          <t xml:space="preserve"> Received 11880K w/ freight of .6187.
</t>
        </r>
        <r>
          <rPr>
            <b/>
            <sz val="9"/>
            <color indexed="81"/>
            <rFont val="Tahoma"/>
            <family val="2"/>
          </rPr>
          <t>May 2025</t>
        </r>
        <r>
          <rPr>
            <sz val="9"/>
            <color indexed="81"/>
            <rFont val="Tahoma"/>
            <family val="2"/>
          </rPr>
          <t xml:space="preserve">: No receipts
(formula: May receipts, march receipts,avg of nov-feb receipts; review formula once inventory starts to deplete)
June 2025: No receipts
July 2025: No Receipts </t>
        </r>
      </text>
    </comment>
    <comment ref="G179" authorId="1" shapeId="0" xr:uid="{53CF2399-6A42-406A-A9FE-6DF5E6DCF3B6}">
      <text>
        <r>
          <rPr>
            <b/>
            <sz val="9"/>
            <color indexed="81"/>
            <rFont val="Tahoma"/>
            <family val="2"/>
          </rPr>
          <t>.1742 = amt of lemon in BOM</t>
        </r>
      </text>
    </comment>
    <comment ref="K219" authorId="1" shapeId="0" xr:uid="{A761EADE-D9F1-4214-A021-9A07D3B6057F}">
      <text>
        <r>
          <rPr>
            <b/>
            <sz val="9"/>
            <color indexed="81"/>
            <rFont val="Tahoma"/>
            <family val="2"/>
          </rPr>
          <t>Positive = Increase
Negative = Decrease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Shawn Brierley</author>
    <author>Melissa Saler</author>
    <author>Rachel Fuentes</author>
  </authors>
  <commentList>
    <comment ref="A1" authorId="0" shapeId="0" xr:uid="{00000000-0006-0000-0400-000001000000}">
      <text>
        <r>
          <rPr>
            <b/>
            <sz val="8"/>
            <color indexed="81"/>
            <rFont val="Tahoma"/>
            <family val="2"/>
          </rPr>
          <t>Use Inventory Value Report</t>
        </r>
      </text>
    </comment>
    <comment ref="H8" authorId="1" shapeId="0" xr:uid="{E0DFE797-5AC1-45FE-B460-B3533B6F2FD2}">
      <text>
        <r>
          <rPr>
            <b/>
            <sz val="9"/>
            <color indexed="81"/>
            <rFont val="Tahoma"/>
            <family val="2"/>
          </rPr>
          <t>Stored at Suco (BIN RATE) $9.50/pallet receipt + storage @ 2 months</t>
        </r>
      </text>
    </comment>
    <comment ref="H9" authorId="1" shapeId="0" xr:uid="{50BC08D6-7F04-4C6C-BDAD-7D1BEE956F14}">
      <text>
        <r>
          <rPr>
            <b/>
            <sz val="9"/>
            <color indexed="81"/>
            <rFont val="Tahoma"/>
            <family val="2"/>
          </rPr>
          <t>storage + handing + slow freeze + unloading (Per Oct 2024 invoices)</t>
        </r>
      </text>
    </comment>
    <comment ref="H10" authorId="1" shapeId="0" xr:uid="{B778CD5E-3DA6-4F18-B092-E6DC034EB8C7}">
      <text>
        <r>
          <rPr>
            <b/>
            <sz val="9"/>
            <color indexed="81"/>
            <rFont val="Tahoma"/>
            <family val="2"/>
          </rPr>
          <t>Stored at Suco (BIN RATE)</t>
        </r>
      </text>
    </comment>
    <comment ref="H11" authorId="1" shapeId="0" xr:uid="{EA0C2AF0-7C89-487A-BAE0-B362388B0176}">
      <text>
        <r>
          <rPr>
            <b/>
            <sz val="9"/>
            <color indexed="81"/>
            <rFont val="Tahoma"/>
            <family val="2"/>
          </rPr>
          <t>Stored at Suco (BIN RATE)</t>
        </r>
      </text>
    </comment>
    <comment ref="H12" authorId="1" shapeId="0" xr:uid="{87E882D2-D5AA-43A0-8A07-BB2BEEFAC38B}">
      <text>
        <r>
          <rPr>
            <b/>
            <sz val="9"/>
            <color indexed="81"/>
            <rFont val="Tahoma"/>
            <family val="2"/>
          </rPr>
          <t>Stored at Suco (BIN RATE)</t>
        </r>
      </text>
    </comment>
    <comment ref="H43" authorId="1" shapeId="0" xr:uid="{57DBFF75-7AAB-40B0-B1AD-CEA133F42004}">
      <text>
        <r>
          <rPr>
            <b/>
            <sz val="9"/>
            <color indexed="81"/>
            <rFont val="Tahoma"/>
            <family val="2"/>
          </rPr>
          <t>Stored at Suco (DRUM RATE)</t>
        </r>
      </text>
    </comment>
    <comment ref="H117" authorId="1" shapeId="0" xr:uid="{FDBFCC33-D0BF-4D6F-9D07-D5341352C938}">
      <text>
        <r>
          <rPr>
            <b/>
            <sz val="9"/>
            <color indexed="81"/>
            <rFont val="Tahoma"/>
            <family val="2"/>
          </rPr>
          <t>This is tankers</t>
        </r>
      </text>
    </comment>
    <comment ref="H121" authorId="1" shapeId="0" xr:uid="{50FAB5E2-B3C1-400D-98A4-EDDEFB98C72F}">
      <text>
        <r>
          <rPr>
            <b/>
            <sz val="9"/>
            <color indexed="81"/>
            <rFont val="Tahoma"/>
            <family val="2"/>
          </rPr>
          <t>Stored at Suco (DRUM RATE)</t>
        </r>
      </text>
    </comment>
    <comment ref="H158" authorId="1" shapeId="0" xr:uid="{3A071A29-0719-407C-8712-BD74865E7997}">
      <text>
        <r>
          <rPr>
            <b/>
            <sz val="9"/>
            <color indexed="81"/>
            <rFont val="Tahoma"/>
            <family val="2"/>
          </rPr>
          <t>Stored at Suco (BIN RATE)</t>
        </r>
      </text>
    </comment>
    <comment ref="I158" authorId="1" shapeId="0" xr:uid="{FFED4AE3-1ECB-4999-B288-809C55826C1B}">
      <text>
        <r>
          <rPr>
            <b/>
            <sz val="9"/>
            <color indexed="81"/>
            <rFont val="Tahoma"/>
            <family val="2"/>
          </rPr>
          <t>Melissa Saler:</t>
        </r>
        <r>
          <rPr>
            <sz val="9"/>
            <color indexed="81"/>
            <rFont val="Tahoma"/>
            <family val="2"/>
          </rPr>
          <t xml:space="preserve">
Fill me in plz!</t>
        </r>
      </text>
    </comment>
    <comment ref="H165" authorId="1" shapeId="0" xr:uid="{D27DC93C-0D4A-4F7D-9530-CF0DE64DD561}">
      <text>
        <r>
          <rPr>
            <b/>
            <sz val="9"/>
            <color indexed="81"/>
            <rFont val="Tahoma"/>
            <family val="2"/>
          </rPr>
          <t>Stored at Suco (DRUM RATE)</t>
        </r>
      </text>
    </comment>
    <comment ref="H179" authorId="1" shapeId="0" xr:uid="{188A616D-0442-46A8-8DD5-E6459F54A1A8}">
      <text>
        <r>
          <rPr>
            <b/>
            <sz val="9"/>
            <color indexed="81"/>
            <rFont val="Tahoma"/>
            <family val="2"/>
          </rPr>
          <t>Stored at Suco (BIN RATE)</t>
        </r>
      </text>
    </comment>
    <comment ref="H180" authorId="1" shapeId="0" xr:uid="{C9DADCC6-C0D3-497C-9DA8-9A54B4448889}">
      <text>
        <r>
          <rPr>
            <b/>
            <sz val="9"/>
            <color indexed="81"/>
            <rFont val="Tahoma"/>
            <family val="2"/>
          </rPr>
          <t>Stored at Suco (DRUM RATE)</t>
        </r>
      </text>
    </comment>
    <comment ref="I185" authorId="2" shapeId="0" xr:uid="{A7E012FB-0534-4CE3-A1EE-7A9F0F5A7988}">
      <text>
        <r>
          <rPr>
            <b/>
            <sz val="9"/>
            <color indexed="81"/>
            <rFont val="Tahoma"/>
            <family val="2"/>
          </rPr>
          <t>Rachel Fuentes:</t>
        </r>
        <r>
          <rPr>
            <sz val="9"/>
            <color indexed="81"/>
            <rFont val="Tahoma"/>
            <family val="2"/>
          </rPr>
          <t xml:space="preserve">
added for july 2025</t>
        </r>
      </text>
    </comment>
    <comment ref="H194" authorId="1" shapeId="0" xr:uid="{C9E7ED38-0CA3-4414-A936-4B1F2979E54E}">
      <text>
        <r>
          <rPr>
            <b/>
            <sz val="9"/>
            <color indexed="81"/>
            <rFont val="Tahoma"/>
            <family val="2"/>
          </rPr>
          <t xml:space="preserve">Stored at Suco (DRUM RATE)
</t>
        </r>
        <r>
          <rPr>
            <sz val="9"/>
            <color indexed="81"/>
            <rFont val="Tahoma"/>
            <family val="2"/>
          </rPr>
          <t>5,380 at Suco. Any more than this in invenotry is in a tank in the plant and should be prorated (Ops incorrect sku use for drumming but they should be using this OJ first)</t>
        </r>
      </text>
    </comment>
    <comment ref="I194" authorId="1" shapeId="0" xr:uid="{D113FD85-FB9D-4E15-8056-754BEB0B4D57}">
      <text>
        <r>
          <rPr>
            <b/>
            <sz val="9"/>
            <color indexed="81"/>
            <rFont val="Tahoma"/>
            <family val="2"/>
          </rPr>
          <t>Melissa Saler:</t>
        </r>
        <r>
          <rPr>
            <sz val="9"/>
            <color indexed="81"/>
            <rFont val="Tahoma"/>
            <family val="2"/>
          </rPr>
          <t xml:space="preserve">
Fill me in plz!</t>
        </r>
      </text>
    </comment>
    <comment ref="H198" authorId="1" shapeId="0" xr:uid="{E9F04229-92E1-4F67-BE95-A0352CF98EA9}">
      <text>
        <r>
          <rPr>
            <b/>
            <sz val="9"/>
            <color indexed="81"/>
            <rFont val="Tahoma"/>
            <family val="2"/>
          </rPr>
          <t>Stored at Suco (BIN RATE)</t>
        </r>
      </text>
    </comment>
    <comment ref="H221" authorId="1" shapeId="0" xr:uid="{A2F68EC0-6507-4CE5-8C91-5045F42CB374}">
      <text>
        <r>
          <rPr>
            <b/>
            <sz val="9"/>
            <color indexed="81"/>
            <rFont val="Tahoma"/>
            <family val="2"/>
          </rPr>
          <t>Stored at Suco (DRUM RATE)</t>
        </r>
      </text>
    </comment>
    <comment ref="I221" authorId="1" shapeId="0" xr:uid="{EDBB68D9-60B7-47E8-9E7B-27945AF6BD56}">
      <text>
        <r>
          <rPr>
            <b/>
            <sz val="9"/>
            <color indexed="81"/>
            <rFont val="Tahoma"/>
            <family val="2"/>
          </rPr>
          <t>Melissa Saler:</t>
        </r>
        <r>
          <rPr>
            <sz val="9"/>
            <color indexed="81"/>
            <rFont val="Tahoma"/>
            <family val="2"/>
          </rPr>
          <t xml:space="preserve">
Fill me in plz!</t>
        </r>
      </text>
    </comment>
    <comment ref="I222" authorId="1" shapeId="0" xr:uid="{05A57875-FBDF-493B-9BC9-A9DB44B9AE99}">
      <text>
        <r>
          <rPr>
            <b/>
            <sz val="9"/>
            <color indexed="81"/>
            <rFont val="Tahoma"/>
            <family val="2"/>
          </rPr>
          <t>Melissa Saler:</t>
        </r>
        <r>
          <rPr>
            <sz val="9"/>
            <color indexed="81"/>
            <rFont val="Tahoma"/>
            <family val="2"/>
          </rPr>
          <t xml:space="preserve">
Fill me in plz!</t>
        </r>
      </text>
    </comment>
    <comment ref="D273" authorId="1" shapeId="0" xr:uid="{3408459A-814C-4D72-876F-543E2ABDB68C}">
      <text>
        <r>
          <rPr>
            <b/>
            <sz val="9"/>
            <color indexed="81"/>
            <rFont val="Tahoma"/>
            <family val="2"/>
          </rPr>
          <t xml:space="preserve">J6040 usually only lime sku with freight. J6041 will occasionally have freight - need to check each month.
May Note:
</t>
        </r>
        <r>
          <rPr>
            <sz val="9"/>
            <color indexed="81"/>
            <rFont val="Tahoma"/>
            <family val="2"/>
          </rPr>
          <t xml:space="preserve">Received 189K from succo, but only have 27K on hand currently. Therefore, we are calcuating the freight rate based on what is left in inventory ONLY.
J6041 - Only 5K OH. Received POs from Louis Dreyfus (has freight) and Prodalim. Referenced PO # cadence to assume that what we in stock currently is Prodalim (based on FIFO) therefore no freight on J6041 this month.
</t>
        </r>
        <r>
          <rPr>
            <b/>
            <sz val="9"/>
            <color indexed="81"/>
            <rFont val="Tahoma"/>
            <family val="2"/>
          </rPr>
          <t xml:space="preserve">
June Note:
</t>
        </r>
        <r>
          <rPr>
            <sz val="9"/>
            <color indexed="81"/>
            <rFont val="Tahoma"/>
            <family val="2"/>
          </rPr>
          <t xml:space="preserve">J6040 - Received 105K from suco (half with freight half w/o freight) &amp; 27K from Louis Dreyfus with freight. Based on PO# cadence, what we have left in inventory is 10,907 lbs (2 PO's) from Louis Dreyfus w/ freight of .0925 and the rest Suco w/ no freight. Therefore, calcuating the freight rate based on what is left in inventory only.
</t>
        </r>
        <r>
          <rPr>
            <b/>
            <sz val="9"/>
            <color indexed="81"/>
            <rFont val="Tahoma"/>
            <family val="2"/>
          </rPr>
          <t xml:space="preserve">
</t>
        </r>
        <r>
          <rPr>
            <sz val="9"/>
            <color indexed="81"/>
            <rFont val="Tahoma"/>
            <family val="2"/>
          </rPr>
          <t xml:space="preserve">J6041 - Received 49K in June but none OH - depleted it all. Therefore, nothing to capitalize on.
</t>
        </r>
        <r>
          <rPr>
            <b/>
            <sz val="9"/>
            <color indexed="81"/>
            <rFont val="Tahoma"/>
            <family val="2"/>
          </rPr>
          <t xml:space="preserve">July Note: </t>
        </r>
        <r>
          <rPr>
            <sz val="9"/>
            <color indexed="81"/>
            <rFont val="Tahoma"/>
            <family val="2"/>
          </rPr>
          <t xml:space="preserve">
J6040 - Received 50K from Louis Dreyfus w/ avg freight of .1022. Received total of 123,137 from Citrosuco &amp; Food Partners w/ no freight. Based on PO# cadence, what we have left in inventory is 33,522lbs (6 POs) from Louis Drefus w/ avg freight of .1022 and the rest is Suco w/ no freight. Calculating fright rate based on what is left in inventory only
Summary: NO inventory left so nothing to capitalize on.
J6003 - Received 154K from Citrofrut no freight
J6041 - No receipts.
J6146 - Received 11K lbs Limex no freight.
</t>
        </r>
        <r>
          <rPr>
            <b/>
            <sz val="9"/>
            <color indexed="81"/>
            <rFont val="Tahoma"/>
            <family val="2"/>
          </rPr>
          <t xml:space="preserve">Aug Note:
</t>
        </r>
        <r>
          <rPr>
            <sz val="9"/>
            <color indexed="81"/>
            <rFont val="Tahoma"/>
            <family val="2"/>
          </rPr>
          <t xml:space="preserve">J6040 - Received 44K from Louis Dreyfus w/ avg freight of .1095. Received total of 136,892 from Suco &amp; Food Partners w/ no freight. Based on PO cadence, 6K of current total OH inventory coming from Food Partners (no freight.) Already consumed the rest.
J6041 - Received 5,433 from Louis Dreyfus w/ freight of .1105. But NO inventory left so nothing to capitalize on.
</t>
        </r>
        <r>
          <rPr>
            <b/>
            <sz val="9"/>
            <color indexed="81"/>
            <rFont val="Tahoma"/>
            <family val="2"/>
          </rPr>
          <t xml:space="preserve">Sept Note:
</t>
        </r>
        <r>
          <rPr>
            <sz val="9"/>
            <color indexed="81"/>
            <rFont val="Tahoma"/>
            <family val="2"/>
          </rPr>
          <t xml:space="preserve">J6040 - Received 6K from Food Partners w/ no freight. Received 99K from Louis Dreyfus w/ avg freight of .0989. Based on PO number cadence, assuming the 5K that's OH is from Louis Dreyfus with freight. Last PO received had freight on .1072 so using this - but then need to prorate it off of the amount received and the TOTAL lime amount.
J6041 - Received 79K from Louis Dreyfus w/ freight rate of 0.1005. But NO inventory left so nothing to capitalize on.
</t>
        </r>
        <r>
          <rPr>
            <b/>
            <sz val="9"/>
            <color indexed="81"/>
            <rFont val="Tahoma"/>
            <family val="2"/>
          </rPr>
          <t xml:space="preserve">Oct Note:
J6040 - </t>
        </r>
        <r>
          <rPr>
            <sz val="9"/>
            <color indexed="81"/>
            <rFont val="Tahoma"/>
            <family val="2"/>
          </rPr>
          <t xml:space="preserve">Received 55K from Louis Dreyfus w/ aggregate freight rate of .1041. But nothing OH so nothing to capitalize on.
J6041 - Received 100K from Louis Dreyfus w/ freight rate of .1029 &amp; 11K from Prodalim w/ freight rate of 0.0238. Based on PO cadence, can assume the tiny 300 gls on hand is from Louis w/ freight.
</t>
        </r>
        <r>
          <rPr>
            <b/>
            <sz val="9"/>
            <color indexed="81"/>
            <rFont val="Tahoma"/>
            <family val="2"/>
          </rPr>
          <t>Nov Note:</t>
        </r>
        <r>
          <rPr>
            <sz val="9"/>
            <color indexed="81"/>
            <rFont val="Tahoma"/>
            <family val="2"/>
          </rPr>
          <t xml:space="preserve">
J6003 - Received 64K w/ no freight
J6041 - Received 199K w/ freight of 0.0881 but nothing OH so nothing to capitalize on.
</t>
        </r>
        <r>
          <rPr>
            <b/>
            <sz val="9"/>
            <color indexed="81"/>
            <rFont val="Tahoma"/>
            <family val="2"/>
          </rPr>
          <t xml:space="preserve">Dec Note:
</t>
        </r>
        <r>
          <rPr>
            <sz val="9"/>
            <color indexed="81"/>
            <rFont val="Tahoma"/>
            <family val="2"/>
          </rPr>
          <t xml:space="preserve">J6003 - Received 84k from citrus team w/ no freight
J6041 - Had 5 tankers on hand at the end of the month, 2 w/ no freight from Prodalim and 3 w/ freight of $0.1123 from LDC
</t>
        </r>
        <r>
          <rPr>
            <b/>
            <sz val="9"/>
            <color indexed="81"/>
            <rFont val="Tahoma"/>
            <family val="2"/>
          </rPr>
          <t xml:space="preserve">Jan Note:
</t>
        </r>
        <r>
          <rPr>
            <sz val="9"/>
            <color indexed="81"/>
            <rFont val="Tahoma"/>
            <family val="2"/>
          </rPr>
          <t xml:space="preserve">J6041 - Had 5 tankers on hadn at the end of the month, all with an average freight of $0.10
</t>
        </r>
        <r>
          <rPr>
            <b/>
            <sz val="9"/>
            <color indexed="81"/>
            <rFont val="Tahoma"/>
            <family val="2"/>
          </rPr>
          <t>Feb Note:</t>
        </r>
        <r>
          <rPr>
            <sz val="9"/>
            <color indexed="81"/>
            <rFont val="Tahoma"/>
            <family val="2"/>
          </rPr>
          <t xml:space="preserve">
J6041 - Had 8 tankers on hand at eom, average freight of $0.0377
</t>
        </r>
        <r>
          <rPr>
            <b/>
            <sz val="9"/>
            <color indexed="81"/>
            <rFont val="Tahoma"/>
            <family val="2"/>
          </rPr>
          <t xml:space="preserve">Mar Note:
</t>
        </r>
        <r>
          <rPr>
            <sz val="9"/>
            <color indexed="81"/>
            <rFont val="Tahoma"/>
            <family val="2"/>
          </rPr>
          <t xml:space="preserve">J6041 - 6 tankers left on hand at eom, freight of $0.11 &amp; $0.02
</t>
        </r>
        <r>
          <rPr>
            <b/>
            <sz val="9"/>
            <color indexed="81"/>
            <rFont val="Tahoma"/>
            <family val="2"/>
          </rPr>
          <t>Apr Note:</t>
        </r>
        <r>
          <rPr>
            <sz val="9"/>
            <color indexed="81"/>
            <rFont val="Tahoma"/>
            <family val="2"/>
          </rPr>
          <t xml:space="preserve">
J6041 - 3 tankers left on hand at eom, freight of $0.11
</t>
        </r>
        <r>
          <rPr>
            <b/>
            <sz val="9"/>
            <color indexed="81"/>
            <rFont val="Tahoma"/>
            <family val="2"/>
          </rPr>
          <t>May 2025:</t>
        </r>
        <r>
          <rPr>
            <sz val="9"/>
            <color indexed="81"/>
            <rFont val="Tahoma"/>
            <family val="2"/>
          </rPr>
          <t xml:space="preserve">
J6003 - Rec 29K no freight
J6041 - Rec 240K w/ freight of .1227
ending inventory of J6041 is negative... nothing to capitalize on.
</t>
        </r>
        <r>
          <rPr>
            <b/>
            <sz val="9"/>
            <color indexed="81"/>
            <rFont val="Tahoma"/>
            <family val="2"/>
          </rPr>
          <t>June 2025:</t>
        </r>
        <r>
          <rPr>
            <sz val="9"/>
            <color indexed="81"/>
            <rFont val="Tahoma"/>
            <family val="2"/>
          </rPr>
          <t xml:space="preserve">
j6003 = rec 4K no freight
j6040 - rec 55K no freight
j6041 - rec 277K (some with freight and some w/o. but only 312 gal OH - last PO had freight of .078. nominal. not going to worry about it.)
j6146 - rec 11K w/ no freight
</t>
        </r>
        <r>
          <rPr>
            <b/>
            <sz val="9"/>
            <color indexed="81"/>
            <rFont val="Tahoma"/>
            <family val="2"/>
          </rPr>
          <t>July 2025:</t>
        </r>
        <r>
          <rPr>
            <sz val="9"/>
            <color indexed="81"/>
            <rFont val="Tahoma"/>
            <family val="2"/>
          </rPr>
          <t xml:space="preserve">
J6003 = rec 51K w/ no freight
j6040 = rec 150K (55K from citrofrut w/ no freight and 94K from Limex (some POs with freight and some without.) Only 653 gal OH. Last PO came from Limex with NO freight.
j6041 - received 110K from Louis Dreyfus w/ avg freight of .1058 (only 312 OH... nominal impact ($33), not going to worry about.)
J6146 = No receipts </t>
        </r>
      </text>
    </comment>
    <comment ref="D274" authorId="2" shapeId="0" xr:uid="{0B880683-08F0-42A0-8696-CB0D2CBCE076}">
      <text>
        <r>
          <rPr>
            <b/>
            <sz val="9"/>
            <color indexed="81"/>
            <rFont val="Tahoma"/>
            <family val="2"/>
          </rPr>
          <t>Rachel Fuentes:</t>
        </r>
        <r>
          <rPr>
            <sz val="9"/>
            <color indexed="81"/>
            <rFont val="Tahoma"/>
            <family val="2"/>
          </rPr>
          <t xml:space="preserve">
J4040 has freight though. Do we need to include? Received 65K from Citrofrut w/ avg freight of .1382. Based on PO # cadence we can assume what we have OH current is Citrofrut w/ freight. Nomimal no change
</t>
        </r>
        <r>
          <rPr>
            <b/>
            <sz val="9"/>
            <color indexed="81"/>
            <rFont val="Tahoma"/>
            <family val="2"/>
          </rPr>
          <t xml:space="preserve">Aug: </t>
        </r>
        <r>
          <rPr>
            <sz val="9"/>
            <color indexed="81"/>
            <rFont val="Tahoma"/>
            <family val="2"/>
          </rPr>
          <t xml:space="preserve">J4040 - Received 49K from Citrofrut w/ avg freight of .1255. Received 62K from Citrus Team w/ no freight. Based on PO number cadence, whats currently remaining in inventory is Citrus Team w/ no freight.
J4003 - Aug receipts but no frieght
</t>
        </r>
        <r>
          <rPr>
            <b/>
            <sz val="9"/>
            <color indexed="81"/>
            <rFont val="Tahoma"/>
            <family val="2"/>
          </rPr>
          <t xml:space="preserve">Sept: 
</t>
        </r>
        <r>
          <rPr>
            <sz val="9"/>
            <color indexed="81"/>
            <rFont val="Tahoma"/>
            <family val="2"/>
          </rPr>
          <t xml:space="preserve">J4040 - Received 11K from Citrofrut w/ freight of .1518. Received 87K from Citrus Team w/ no freight. However, nothing OH so nothing to capitalize on.
J4003/J4008/J4009 - Receipts but no freight.
</t>
        </r>
        <r>
          <rPr>
            <b/>
            <sz val="9"/>
            <color indexed="81"/>
            <rFont val="Tahoma"/>
            <family val="2"/>
          </rPr>
          <t>Oct:</t>
        </r>
        <r>
          <rPr>
            <sz val="9"/>
            <color indexed="81"/>
            <rFont val="Tahoma"/>
            <family val="2"/>
          </rPr>
          <t xml:space="preserve">
J4040- Received 8K from Citro fruit w/ freight of .2303. Received 178K from Citrus Team with no freight rate. However, nothing OH so nothing to capitalize on.
J4003/J4008 receipts but no freight.
</t>
        </r>
        <r>
          <rPr>
            <b/>
            <sz val="9"/>
            <color indexed="81"/>
            <rFont val="Tahoma"/>
            <family val="2"/>
          </rPr>
          <t>Nov note:</t>
        </r>
        <r>
          <rPr>
            <sz val="9"/>
            <color indexed="81"/>
            <rFont val="Tahoma"/>
            <family val="2"/>
          </rPr>
          <t xml:space="preserve">
Received 117K of J4040 from Citrus Team no freight. Received 6K from WFF no freight. Received 114K from Citrofrut &amp; Citrus Team both no freight.
</t>
        </r>
        <r>
          <rPr>
            <b/>
            <sz val="9"/>
            <color indexed="81"/>
            <rFont val="Tahoma"/>
            <family val="2"/>
          </rPr>
          <t xml:space="preserve">Apr note:
</t>
        </r>
        <r>
          <rPr>
            <sz val="9"/>
            <color indexed="81"/>
            <rFont val="Tahoma"/>
            <family val="2"/>
          </rPr>
          <t xml:space="preserve">Receivied 495k gls of J4003, 48k gls from riverbend had freight of $0.2949 but remaining inventory should only be food partners. no freight
</t>
        </r>
        <r>
          <rPr>
            <b/>
            <sz val="9"/>
            <color indexed="81"/>
            <rFont val="Tahoma"/>
            <family val="2"/>
          </rPr>
          <t xml:space="preserve">May 2025:
</t>
        </r>
        <r>
          <rPr>
            <sz val="9"/>
            <color indexed="81"/>
            <rFont val="Tahoma"/>
            <family val="2"/>
          </rPr>
          <t xml:space="preserve">J4003 - Rec 192K total (144K w/ no freight (food partners &amp; wff), 48K w/ freight from Riverbend.) Remaining inventory should be WFF no frieght
</t>
        </r>
        <r>
          <rPr>
            <b/>
            <sz val="9"/>
            <color indexed="81"/>
            <rFont val="Tahoma"/>
            <family val="2"/>
          </rPr>
          <t>June2025:</t>
        </r>
        <r>
          <rPr>
            <sz val="9"/>
            <color indexed="81"/>
            <rFont val="Tahoma"/>
            <family val="2"/>
          </rPr>
          <t xml:space="preserve">
J4003 - Rec 408k total (63K w/ no freight (wff), 244K total from food partners (52,385 w avg freight of .047456 &amp; 191,631 w/ NO freight), and 101K from riverbend w/ avg freight of .2891.) remaining inventory is last month w/ no freight
</t>
        </r>
        <r>
          <rPr>
            <b/>
            <sz val="9"/>
            <color indexed="81"/>
            <rFont val="Tahoma"/>
            <family val="2"/>
          </rPr>
          <t>July 2025:</t>
        </r>
        <r>
          <rPr>
            <sz val="9"/>
            <color indexed="81"/>
            <rFont val="Tahoma"/>
            <family val="2"/>
          </rPr>
          <t xml:space="preserve">
J4003 - Rec 227K total (57K from FP no freight, 69K WFF no freight, 101K from Riverbend w/ avergae freight of .289.
J4009 - Rec 19K no freight
Formula logic/explanation: Current OH = 345K. Received 227K in july, meaning 118K is leftover from June. June held mixed freight &amp; non freight inventory. By looking at PO #'s and assuming FIFO, I can assume the inventory left from June is Food Partners (which had mixed POs with freight and some without.) Based on that last PO's, the average weighted freight rate was $0.015197.
(118252 * .015195)+(101252*.289))/ 345535 (current july OH)
ADJUST FORUMLA NEXT MONTH WHEN INVENTORY CHANGES</t>
        </r>
      </text>
    </comment>
    <comment ref="D275" authorId="1" shapeId="0" xr:uid="{35BE0FA6-0A77-4EB6-87E7-7C87AD9FA867}">
      <text>
        <r>
          <rPr>
            <b/>
            <sz val="9"/>
            <color indexed="81"/>
            <rFont val="Tahoma"/>
            <family val="2"/>
          </rPr>
          <t>April 2024: Rev 23K no freight
Note from May :</t>
        </r>
        <r>
          <rPr>
            <sz val="9"/>
            <color indexed="81"/>
            <rFont val="Tahoma"/>
            <family val="2"/>
          </rPr>
          <t xml:space="preserve">GL of J7544 with $1.33 freight </t>
        </r>
        <r>
          <rPr>
            <b/>
            <sz val="9"/>
            <color indexed="81"/>
            <rFont val="Tahoma"/>
            <family val="2"/>
          </rPr>
          <t xml:space="preserve">
June note:</t>
        </r>
        <r>
          <rPr>
            <sz val="9"/>
            <color indexed="81"/>
            <rFont val="Tahoma"/>
            <family val="2"/>
          </rPr>
          <t xml:space="preserve"> j7053 &amp; j7545 no freight. No inventory of j7544.
</t>
        </r>
        <r>
          <rPr>
            <b/>
            <sz val="9"/>
            <color indexed="81"/>
            <rFont val="Tahoma"/>
            <family val="2"/>
          </rPr>
          <t xml:space="preserve">July Note: </t>
        </r>
        <r>
          <rPr>
            <sz val="9"/>
            <color indexed="81"/>
            <rFont val="Tahoma"/>
            <family val="2"/>
          </rPr>
          <t xml:space="preserve">Received 77K gl Vitapakt of j7544 w/ freight of .1293. No receipts of j7545.
</t>
        </r>
        <r>
          <rPr>
            <b/>
            <sz val="9"/>
            <color indexed="81"/>
            <rFont val="Tahoma"/>
            <family val="2"/>
          </rPr>
          <t>Aug Note</t>
        </r>
        <r>
          <rPr>
            <sz val="9"/>
            <color indexed="81"/>
            <rFont val="Tahoma"/>
            <family val="2"/>
          </rPr>
          <t xml:space="preserve">: Received 72K gl of Vitapakt J7545 w/ freight of .128. But nothing in inventory so nothing to capitalize on. 
</t>
        </r>
        <r>
          <rPr>
            <b/>
            <sz val="9"/>
            <color indexed="81"/>
            <rFont val="Tahoma"/>
            <family val="2"/>
          </rPr>
          <t xml:space="preserve">Sept Note: </t>
        </r>
        <r>
          <rPr>
            <sz val="9"/>
            <color indexed="81"/>
            <rFont val="Tahoma"/>
            <family val="2"/>
          </rPr>
          <t xml:space="preserve">Received 77K of J7544 from Vitapakt w/ avg freight of .1164. Currently 16K OH - can assume thats Vitapakt inventory and need to prorate over TOTAL OJ accordingly.
</t>
        </r>
        <r>
          <rPr>
            <b/>
            <sz val="9"/>
            <color indexed="81"/>
            <rFont val="Tahoma"/>
            <family val="2"/>
          </rPr>
          <t>Oct Note:</t>
        </r>
        <r>
          <rPr>
            <sz val="9"/>
            <color indexed="81"/>
            <rFont val="Tahoma"/>
            <family val="2"/>
          </rPr>
          <t xml:space="preserve"> Received 27K of J7544 from Vitapakt w/ avg freight rate of .1290. But nothing in inventory so nothing to capitalize on. Received 70K total of J7043 &amp; J7542 but no inventory so nothing to capitalize on.
</t>
        </r>
        <r>
          <rPr>
            <b/>
            <sz val="9"/>
            <color indexed="81"/>
            <rFont val="Tahoma"/>
            <family val="2"/>
          </rPr>
          <t>Nov Note</t>
        </r>
        <r>
          <rPr>
            <sz val="9"/>
            <color indexed="81"/>
            <rFont val="Tahoma"/>
            <family val="2"/>
          </rPr>
          <t xml:space="preserve">: Received 48K of J7043 Valencia Tanker w/ freight of .01419. No inventory but nothing to capitalize on
</t>
        </r>
        <r>
          <rPr>
            <b/>
            <sz val="9"/>
            <color indexed="81"/>
            <rFont val="Tahoma"/>
            <family val="2"/>
          </rPr>
          <t>Apr Note:</t>
        </r>
        <r>
          <rPr>
            <sz val="9"/>
            <color indexed="81"/>
            <rFont val="Tahoma"/>
            <family val="2"/>
          </rPr>
          <t xml:space="preserve">
2 tankers left on hand at eom with avg freight of $1.37185
</t>
        </r>
        <r>
          <rPr>
            <b/>
            <sz val="9"/>
            <color indexed="81"/>
            <rFont val="Tahoma"/>
            <family val="2"/>
          </rPr>
          <t xml:space="preserve">May Note:
</t>
        </r>
        <r>
          <rPr>
            <sz val="9"/>
            <color indexed="81"/>
            <rFont val="Tahoma"/>
            <family val="2"/>
          </rPr>
          <t xml:space="preserve">J7544 - Received 60K w/ avg freight of 1.3347. But none left in inventory so nothing to capitalize on.
</t>
        </r>
        <r>
          <rPr>
            <b/>
            <sz val="9"/>
            <color indexed="81"/>
            <rFont val="Tahoma"/>
            <family val="2"/>
          </rPr>
          <t xml:space="preserve">June Note
</t>
        </r>
        <r>
          <rPr>
            <sz val="9"/>
            <color indexed="81"/>
            <rFont val="Tahoma"/>
            <family val="2"/>
          </rPr>
          <t xml:space="preserve">J7554 - Rec 60K w/ avg freight of 1.3193 but only 19 gl left in inventory. Not going to worry about it.
J7053 - Rec 37K w/ avg freight of .9614
</t>
        </r>
        <r>
          <rPr>
            <b/>
            <sz val="9"/>
            <color indexed="81"/>
            <rFont val="Tahoma"/>
            <family val="2"/>
          </rPr>
          <t>jULY:</t>
        </r>
        <r>
          <rPr>
            <sz val="9"/>
            <color indexed="81"/>
            <rFont val="Tahoma"/>
            <family val="2"/>
          </rPr>
          <t xml:space="preserve">
J7053 Rec 21K W/ avg freight of .9570
J7544 Rec 71K from ventura w/ avg freight of 1.3485
Formula = June inventory of 7053 * freight rate + july inventory of 7053* freight rate + (current OH of j7544 (16653) * freight july freight rate divided by total OH. ADJUST FORMULA NEXT MONTH</t>
        </r>
      </text>
    </comment>
    <comment ref="D276" authorId="2" shapeId="0" xr:uid="{39A0C495-B041-4E21-BDC0-7E7952C60F0E}">
      <text>
        <r>
          <rPr>
            <b/>
            <sz val="9"/>
            <color indexed="81"/>
            <rFont val="Tahoma"/>
            <family val="2"/>
          </rPr>
          <t>Rachel Fuentes:</t>
        </r>
        <r>
          <rPr>
            <sz val="9"/>
            <color indexed="81"/>
            <rFont val="Tahoma"/>
            <family val="2"/>
          </rPr>
          <t xml:space="preserve">
Oct: No New Receipts
Feb: No new receipts
Apr: received 148k gls with avg freight of $0.8940.  Existing inventory of 139k gls had prev freight of $0.91
</t>
        </r>
        <r>
          <rPr>
            <b/>
            <sz val="9"/>
            <color indexed="81"/>
            <rFont val="Tahoma"/>
            <family val="2"/>
          </rPr>
          <t xml:space="preserve">May 2025: </t>
        </r>
        <r>
          <rPr>
            <sz val="9"/>
            <color indexed="81"/>
            <rFont val="Tahoma"/>
            <family val="2"/>
          </rPr>
          <t xml:space="preserve">J7099 Negative Receipt? No freight. J7913 - No receipts. Based on FIFO, can assume the consumption of 51,390 from this month was apart of the 139K from March exsisting inventory. 139423 from April minus consumption of 51,390 = 88,033 remaining w/ freight of .91. Rest of inventory is w/ the May freight rate of .8940.
</t>
        </r>
        <r>
          <rPr>
            <b/>
            <sz val="9"/>
            <color indexed="81"/>
            <rFont val="Tahoma"/>
            <family val="2"/>
          </rPr>
          <t xml:space="preserve">June 2025: </t>
        </r>
        <r>
          <rPr>
            <sz val="9"/>
            <color indexed="81"/>
            <rFont val="Tahoma"/>
            <family val="2"/>
          </rPr>
          <t xml:space="preserve">No receipts of either, but have to adjust formula due to consumption (assuming FIFO april inventory was consumed; 88,033 - june consumption of 20,192 = 67841 w/ freight rate of .91 and the rest is the may inventory w/ the freight rate of .894.
</t>
        </r>
        <r>
          <rPr>
            <b/>
            <sz val="9"/>
            <color indexed="81"/>
            <rFont val="Tahoma"/>
            <family val="2"/>
          </rPr>
          <t>July 2025</t>
        </r>
        <r>
          <rPr>
            <sz val="9"/>
            <color indexed="81"/>
            <rFont val="Tahoma"/>
            <family val="2"/>
          </rPr>
          <t>. J7099 -  negative receipts with no freight? Plugging in .894 because thats the freight of the last positive receipt (april 2025)?
 Depleted inventory of J7913.</t>
        </r>
      </text>
    </comment>
    <comment ref="D277" authorId="2" shapeId="0" xr:uid="{9AF6EDAA-93EF-48EB-A931-4350C9CF7EBC}">
      <text>
        <r>
          <rPr>
            <b/>
            <sz val="9"/>
            <color indexed="81"/>
            <rFont val="Tahoma"/>
            <family val="2"/>
          </rPr>
          <t>May Note</t>
        </r>
        <r>
          <rPr>
            <sz val="9"/>
            <color indexed="81"/>
            <rFont val="Tahoma"/>
            <family val="2"/>
          </rPr>
          <t xml:space="preserve">: no inventory end of may - but leaving here as a reference for next month (just in case)
</t>
        </r>
        <r>
          <rPr>
            <b/>
            <sz val="9"/>
            <color indexed="81"/>
            <rFont val="Tahoma"/>
            <family val="2"/>
          </rPr>
          <t xml:space="preserve">
June Note</t>
        </r>
        <r>
          <rPr>
            <sz val="9"/>
            <color indexed="81"/>
            <rFont val="Tahoma"/>
            <family val="2"/>
          </rPr>
          <t xml:space="preserve">: No inventory.
</t>
        </r>
        <r>
          <rPr>
            <b/>
            <sz val="9"/>
            <color indexed="81"/>
            <rFont val="Tahoma"/>
            <family val="2"/>
          </rPr>
          <t>July Note:</t>
        </r>
        <r>
          <rPr>
            <sz val="9"/>
            <color indexed="81"/>
            <rFont val="Tahoma"/>
            <family val="2"/>
          </rPr>
          <t xml:space="preserve"> Inventory went up 5Klbs but not seeing any receipts to validate freight? Look at source sku J7507 (tanker that was drummed off to the internal drum). Has a June receipt &amp; freight of $1.30. Backstory: J7512 transferred to FL from AZ for the first time (back in May.) However, was not caught until recently and then a cost was added to the sku/warehouse combo. Have to look at original May receipt of 7507 in AZ and capture that freight rate (.57/gl.)
</t>
        </r>
        <r>
          <rPr>
            <b/>
            <sz val="9"/>
            <color indexed="81"/>
            <rFont val="Tahoma"/>
            <family val="2"/>
          </rPr>
          <t xml:space="preserve">Aug Note: </t>
        </r>
        <r>
          <rPr>
            <sz val="9"/>
            <color indexed="81"/>
            <rFont val="Tahoma"/>
            <family val="2"/>
          </rPr>
          <t xml:space="preserve">No change/receipts from LM. Left as is
</t>
        </r>
        <r>
          <rPr>
            <b/>
            <sz val="9"/>
            <color indexed="81"/>
            <rFont val="Tahoma"/>
            <family val="2"/>
          </rPr>
          <t>Sept Note:</t>
        </r>
        <r>
          <rPr>
            <sz val="9"/>
            <color indexed="81"/>
            <rFont val="Tahoma"/>
            <family val="2"/>
          </rPr>
          <t xml:space="preserve"> No change/receipts from LM. Left as is
</t>
        </r>
        <r>
          <rPr>
            <b/>
            <sz val="9"/>
            <color indexed="81"/>
            <rFont val="Tahoma"/>
            <family val="2"/>
          </rPr>
          <t>Oct Note</t>
        </r>
        <r>
          <rPr>
            <sz val="9"/>
            <color indexed="81"/>
            <rFont val="Tahoma"/>
            <family val="2"/>
          </rPr>
          <t xml:space="preserve">: No change/receipts from LM. Left as is
</t>
        </r>
        <r>
          <rPr>
            <b/>
            <sz val="9"/>
            <color indexed="81"/>
            <rFont val="Tahoma"/>
            <family val="2"/>
          </rPr>
          <t>Nov Note:</t>
        </r>
        <r>
          <rPr>
            <sz val="9"/>
            <color indexed="81"/>
            <rFont val="Tahoma"/>
            <family val="2"/>
          </rPr>
          <t xml:space="preserve">  Received 16K of J7507 from Vitapakt w/ freight of 1.2866 but nothing OH so nothing to capitalize on. Inv of j7512 from previous months so no change.
</t>
        </r>
        <r>
          <rPr>
            <b/>
            <sz val="9"/>
            <color indexed="81"/>
            <rFont val="Tahoma"/>
            <family val="2"/>
          </rPr>
          <t>Dec Note:</t>
        </r>
        <r>
          <rPr>
            <sz val="9"/>
            <color indexed="81"/>
            <rFont val="Tahoma"/>
            <family val="2"/>
          </rPr>
          <t xml:space="preserve"> Received 22k J7507 w/ freight, but none left in inventory at month end so nothing to capitalize. Inv of j7512 from previous months so no change.
</t>
        </r>
        <r>
          <rPr>
            <b/>
            <sz val="9"/>
            <color indexed="81"/>
            <rFont val="Tahoma"/>
            <family val="2"/>
          </rPr>
          <t xml:space="preserve">Feb Note: </t>
        </r>
        <r>
          <rPr>
            <sz val="9"/>
            <color indexed="81"/>
            <rFont val="Tahoma"/>
            <family val="2"/>
          </rPr>
          <t xml:space="preserve">No receipts. inventory on hand drummed off from prev months. maintain cap rate
</t>
        </r>
        <r>
          <rPr>
            <b/>
            <sz val="9"/>
            <color indexed="81"/>
            <rFont val="Tahoma"/>
            <family val="2"/>
          </rPr>
          <t xml:space="preserve">Mar Note: </t>
        </r>
        <r>
          <rPr>
            <sz val="9"/>
            <color indexed="81"/>
            <rFont val="Tahoma"/>
            <family val="2"/>
          </rPr>
          <t>No receipts. Maintain cap rate</t>
        </r>
        <r>
          <rPr>
            <b/>
            <sz val="9"/>
            <color indexed="81"/>
            <rFont val="Tahoma"/>
            <family val="2"/>
          </rPr>
          <t xml:space="preserve">
Apr Note:</t>
        </r>
        <r>
          <rPr>
            <sz val="9"/>
            <color indexed="81"/>
            <rFont val="Tahoma"/>
            <family val="2"/>
          </rPr>
          <t xml:space="preserve"> No receipts.
</t>
        </r>
        <r>
          <rPr>
            <b/>
            <sz val="9"/>
            <color indexed="81"/>
            <rFont val="Tahoma"/>
            <family val="2"/>
          </rPr>
          <t xml:space="preserve">May 205: </t>
        </r>
        <r>
          <rPr>
            <sz val="9"/>
            <color indexed="81"/>
            <rFont val="Tahoma"/>
            <family val="2"/>
          </rPr>
          <t>No receipts.
June 2025: No receipts.
July 2025: No Receipts.</t>
        </r>
      </text>
    </comment>
    <comment ref="D278" authorId="2" shapeId="0" xr:uid="{30F33BB6-1DA1-48DC-A9D7-98203E9A0646}">
      <text>
        <r>
          <rPr>
            <b/>
            <sz val="9"/>
            <color indexed="81"/>
            <rFont val="Tahoma"/>
            <family val="2"/>
          </rPr>
          <t>Rachel Fuentes:</t>
        </r>
        <r>
          <rPr>
            <sz val="9"/>
            <color indexed="81"/>
            <rFont val="Tahoma"/>
            <family val="2"/>
          </rPr>
          <t xml:space="preserve">
June Note: Receipt of 20K lbs w/ freight of 1.6012. Only have 16K OH.
July Note. Receipt of 20K from Fruitsmart w/ freight of 1.6055. Minsucle difference from LM - keeping as is.
Aug: Recept of 10K from Fruitsmart freight of $1.5728 &amp; 5K fom Hood River freight of $1.6759. Based on PO cadence, remaining 5K of inventory is from Hood River w/ freight.
Sept: Receipt of 25K from Fruitsmart w/ freight of $1.5804. 13K OH so assuming all of this inventory is from this load.
Oct: receupt of 10K from Fruitsmart w/ freight of 1.5531. Receipt of 10K from Hood River w/ freight of 1.6107 (last Po of 5K has rate of 1.5933). Only 2K left OH - using PO cadence - can assume Hood River is left in inventory.
Nov: J3400 Receipt of 20K from Hood River w/ freight of 1.6134. Assuming drummed off tanker to internal drum sku J3401. So freight rate assumed for all inventory.
Dec: J3400 receipts of 20k gl with same freight rate of $1.61 so leave as-is
Feb: Received 20k gallons. Most of which went straight to bottle. 
mar: received 20k. 5k left on hand at eom with $1.5528 freight
Apr: received 25k, 4k left on hand at eom with $1.5391 freight
May 2025: received 20K w/ freight of 1.5352. 2K left OH.
June 2025: Rec 31K total w/ freight (Foodsmart * HoodRiver). Based on FIFO, assuming remaning inventory is from Hood River w/ freight of 1.4382
July 2025: Rec 25K w/ freight of 1.6366</t>
        </r>
      </text>
    </comment>
    <comment ref="D281" authorId="2" shapeId="0" xr:uid="{18031F79-9A0C-4C14-8E7F-139D51C5F261}">
      <text>
        <r>
          <rPr>
            <b/>
            <sz val="9"/>
            <color indexed="81"/>
            <rFont val="Tahoma"/>
            <family val="2"/>
          </rPr>
          <t>Rachel Fuentes:</t>
        </r>
        <r>
          <rPr>
            <sz val="9"/>
            <color indexed="81"/>
            <rFont val="Tahoma"/>
            <family val="2"/>
          </rPr>
          <t xml:space="preserve">
did not include j4003 LM. Adding it in june</t>
        </r>
      </text>
    </comment>
    <comment ref="D290" authorId="2" shapeId="0" xr:uid="{B1D401C6-6F35-426C-975C-F2BA13BDD400}">
      <text>
        <r>
          <rPr>
            <b/>
            <sz val="9"/>
            <color indexed="81"/>
            <rFont val="Tahoma"/>
            <family val="2"/>
          </rPr>
          <t>Rachel Fuentes:</t>
        </r>
        <r>
          <rPr>
            <sz val="9"/>
            <color indexed="81"/>
            <rFont val="Tahoma"/>
            <family val="2"/>
          </rPr>
          <t xml:space="preserve">
june 2025 - added j4003 to formula</t>
        </r>
      </text>
    </comment>
    <comment ref="F296" authorId="2" shapeId="0" xr:uid="{201C4976-B0AA-4AC5-8DFA-E9CBDB436599}">
      <text>
        <r>
          <rPr>
            <b/>
            <sz val="9"/>
            <color indexed="81"/>
            <rFont val="Tahoma"/>
            <family val="2"/>
          </rPr>
          <t>Rachel Fuentes:</t>
        </r>
        <r>
          <rPr>
            <sz val="9"/>
            <color indexed="81"/>
            <rFont val="Tahoma"/>
            <family val="2"/>
          </rPr>
          <t xml:space="preserve">
freight vs lm</t>
        </r>
      </text>
    </comment>
    <comment ref="F298" authorId="1" shapeId="0" xr:uid="{5E621AB6-7A18-48E2-B749-66B0FC6BEA51}">
      <text>
        <r>
          <rPr>
            <b/>
            <sz val="9"/>
            <color indexed="81"/>
            <rFont val="Tahoma"/>
            <family val="2"/>
          </rPr>
          <t>Positive = Decrease
Negative = Increase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Shawn Brierley</author>
    <author>Melissa Saler</author>
  </authors>
  <commentList>
    <comment ref="A1" authorId="0" shapeId="0" xr:uid="{9C8C7C56-7D50-4F53-A945-A990E50331D0}">
      <text>
        <r>
          <rPr>
            <b/>
            <sz val="8"/>
            <color indexed="81"/>
            <rFont val="Tahoma"/>
            <family val="2"/>
          </rPr>
          <t>Use Inventory Value Report</t>
        </r>
      </text>
    </comment>
    <comment ref="F47" authorId="1" shapeId="0" xr:uid="{4C0C0184-662F-4665-A89E-9EA345035960}">
      <text>
        <r>
          <rPr>
            <b/>
            <sz val="9"/>
            <color indexed="81"/>
            <rFont val="Tahoma"/>
            <family val="2"/>
          </rPr>
          <t>Positive = Decrease
Negative = Increase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Shawn Brierley</author>
    <author>Rachel Fuentes</author>
    <author>Andrew Sorenson</author>
  </authors>
  <commentList>
    <comment ref="A1" authorId="0" shapeId="0" xr:uid="{00000000-0006-0000-0500-000001000000}">
      <text>
        <r>
          <rPr>
            <b/>
            <sz val="8"/>
            <color indexed="81"/>
            <rFont val="Tahoma"/>
            <family val="2"/>
          </rPr>
          <t>Use Inventory Value Report</t>
        </r>
      </text>
    </comment>
    <comment ref="G91" authorId="1" shapeId="0" xr:uid="{6D18702C-D732-4051-B416-027CD26E58BF}">
      <text>
        <r>
          <rPr>
            <b/>
            <sz val="9"/>
            <color indexed="81"/>
            <rFont val="Tahoma"/>
            <family val="2"/>
          </rPr>
          <t>Rachel Fuentes:</t>
        </r>
        <r>
          <rPr>
            <sz val="9"/>
            <color indexed="81"/>
            <rFont val="Tahoma"/>
            <family val="2"/>
          </rPr>
          <t xml:space="preserve">
using 9454 as a comparable sku b/c rts but uses a puree</t>
        </r>
      </text>
    </comment>
    <comment ref="G94" authorId="2" shapeId="0" xr:uid="{C5BC40AA-E35B-4262-8FAB-25E03B343957}">
      <text>
        <r>
          <rPr>
            <b/>
            <sz val="9"/>
            <color indexed="81"/>
            <rFont val="Tahoma"/>
            <family val="2"/>
          </rPr>
          <t>Andrew Sorenson:</t>
        </r>
        <r>
          <rPr>
            <sz val="9"/>
            <color indexed="81"/>
            <rFont val="Tahoma"/>
            <family val="2"/>
          </rPr>
          <t xml:space="preserve">
Per Mel use $0.22 for freezer cap rate on 12oz</t>
        </r>
      </text>
    </comment>
    <comment ref="G132" authorId="1" shapeId="0" xr:uid="{6CC59F56-CFB6-49D5-8868-2C394B6CE399}">
      <text>
        <r>
          <rPr>
            <b/>
            <sz val="9"/>
            <color indexed="81"/>
            <rFont val="Tahoma"/>
            <family val="2"/>
          </rPr>
          <t>Rachel Fuentes:</t>
        </r>
        <r>
          <rPr>
            <sz val="9"/>
            <color indexed="81"/>
            <rFont val="Tahoma"/>
            <family val="2"/>
          </rPr>
          <t xml:space="preserve">
Using 9955 as a like-as comparison </t>
        </r>
      </text>
    </comment>
    <comment ref="G173" authorId="1" shapeId="0" xr:uid="{BA18BA95-72E4-4AF2-B0F4-BEA141C082B8}">
      <text>
        <r>
          <rPr>
            <b/>
            <sz val="9"/>
            <color indexed="81"/>
            <rFont val="Tahoma"/>
            <family val="2"/>
          </rPr>
          <t>Rachel Fuentes:</t>
        </r>
        <r>
          <rPr>
            <sz val="9"/>
            <color indexed="81"/>
            <rFont val="Tahoma"/>
            <family val="2"/>
          </rPr>
          <t xml:space="preserve">
Only produced in FL rn but adding as a placeholder just in case. Using 6227 as reference until update alameda cap for budget</t>
        </r>
      </text>
    </comment>
    <comment ref="G205" authorId="1" shapeId="0" xr:uid="{4890A18D-DEAF-42DD-9CBE-5175B7C08A4A}">
      <text>
        <r>
          <rPr>
            <b/>
            <sz val="9"/>
            <color indexed="81"/>
            <rFont val="Tahoma"/>
            <family val="2"/>
          </rPr>
          <t>Rachel Fuentes:</t>
        </r>
        <r>
          <rPr>
            <sz val="9"/>
            <color indexed="81"/>
            <rFont val="Tahoma"/>
            <family val="2"/>
          </rPr>
          <t xml:space="preserve">
may2025 - need to add a cap rate if there's inventory next month</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Melissa Saler</author>
    <author>Rachel Fuentes</author>
  </authors>
  <commentList>
    <comment ref="B375" authorId="0" shapeId="0" xr:uid="{B584366E-B008-4EF0-94D1-7FA2B291D78E}">
      <text>
        <r>
          <rPr>
            <b/>
            <sz val="9"/>
            <color indexed="81"/>
            <rFont val="Tahoma"/>
            <family val="2"/>
          </rPr>
          <t>Melissa Saler:</t>
        </r>
        <r>
          <rPr>
            <sz val="9"/>
            <color indexed="81"/>
            <rFont val="Tahoma"/>
            <family val="2"/>
          </rPr>
          <t xml:space="preserve">
Excludes 9910</t>
        </r>
      </text>
    </comment>
    <comment ref="C380" authorId="0" shapeId="0" xr:uid="{8D2AF3C5-2EE4-4271-952D-F4887B5BE3B6}">
      <text>
        <r>
          <rPr>
            <b/>
            <sz val="9"/>
            <color indexed="81"/>
            <rFont val="Tahoma"/>
            <family val="2"/>
          </rPr>
          <t>200 = average gallons per pallet
Already udpdated to FY25 rates</t>
        </r>
      </text>
    </comment>
    <comment ref="I380" authorId="1" shapeId="0" xr:uid="{C672FADF-CBD5-4203-9BF4-A94B0C75B443}">
      <text>
        <r>
          <rPr>
            <b/>
            <sz val="9"/>
            <color indexed="81"/>
            <rFont val="Tahoma"/>
            <family val="2"/>
          </rPr>
          <t>Rachel Fuentes:</t>
        </r>
        <r>
          <rPr>
            <sz val="9"/>
            <color indexed="81"/>
            <rFont val="Tahoma"/>
            <family val="2"/>
          </rPr>
          <t xml:space="preserve">
note from april 2024: capitalizing top note freight. If lemon &amp; lime had freight in WIP, it would need to be added to this tab as well.
</t>
        </r>
      </text>
    </comment>
    <comment ref="C388" authorId="0" shapeId="0" xr:uid="{F4444A77-4211-45E1-B03A-DE9B2936B489}">
      <text>
        <r>
          <rPr>
            <b/>
            <sz val="9"/>
            <color indexed="81"/>
            <rFont val="Tahoma"/>
            <family val="2"/>
          </rPr>
          <t>$19.95 1 month storage
avg 200 GL per pallet</t>
        </r>
      </text>
    </comment>
    <comment ref="C390" authorId="0" shapeId="0" xr:uid="{3D275FAB-2A50-4A46-8DAE-E4660C840A42}">
      <text>
        <r>
          <rPr>
            <b/>
            <sz val="9"/>
            <color indexed="81"/>
            <rFont val="Tahoma"/>
            <family val="2"/>
          </rPr>
          <t>$12.50/pallet
100 CS/pallet
2.3766 GL/CS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Shawn Brierley</author>
  </authors>
  <commentList>
    <comment ref="A1" authorId="0" shapeId="0" xr:uid="{16019192-00CC-4E4D-994E-973F67621535}">
      <text>
        <r>
          <rPr>
            <b/>
            <sz val="8"/>
            <color indexed="81"/>
            <rFont val="Tahoma"/>
            <family val="2"/>
          </rPr>
          <t>Use Inventory Value Report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Shawn Brierley</author>
  </authors>
  <commentList>
    <comment ref="A1" authorId="0" shapeId="0" xr:uid="{00000000-0006-0000-0700-000001000000}">
      <text>
        <r>
          <rPr>
            <b/>
            <sz val="8"/>
            <color indexed="81"/>
            <rFont val="Tahoma"/>
            <family val="2"/>
          </rPr>
          <t>Returns to Vendor
Inventory Value Report
PO Receipts to inventory</t>
        </r>
      </text>
    </comment>
    <comment ref="B6" authorId="0" shapeId="0" xr:uid="{00000000-0006-0000-0700-000002000000}">
      <text>
        <r>
          <rPr>
            <b/>
            <sz val="8"/>
            <color indexed="81"/>
            <rFont val="Tahoma"/>
            <family val="2"/>
          </rPr>
          <t>Use all "FF" numbers</t>
        </r>
        <r>
          <rPr>
            <sz val="8"/>
            <color indexed="81"/>
            <rFont val="Tahoma"/>
            <family val="2"/>
          </rPr>
          <t xml:space="preserve">
</t>
        </r>
      </text>
    </comment>
    <comment ref="C6" authorId="0" shapeId="0" xr:uid="{00000000-0006-0000-0700-000003000000}">
      <text>
        <r>
          <rPr>
            <b/>
            <sz val="8"/>
            <color indexed="81"/>
            <rFont val="Tahoma"/>
            <family val="2"/>
          </rPr>
          <t xml:space="preserve">Use "Box"+"BTL"+"L"+"PAL"
</t>
        </r>
      </text>
    </comment>
    <comment ref="E6" authorId="0" shapeId="0" xr:uid="{00000000-0006-0000-0700-000004000000}">
      <text>
        <r>
          <rPr>
            <b/>
            <sz val="8"/>
            <color indexed="81"/>
            <rFont val="Tahoma"/>
            <family val="2"/>
          </rPr>
          <t xml:space="preserve">Use "J" Numbers
</t>
        </r>
      </text>
    </comment>
    <comment ref="A17" authorId="0" shapeId="0" xr:uid="{00000000-0006-0000-0700-000005000000}">
      <text>
        <r>
          <rPr>
            <sz val="8"/>
            <color indexed="81"/>
            <rFont val="Tahoma"/>
            <family val="2"/>
          </rPr>
          <t xml:space="preserve">PO Receipts To Inventory Report - Full Month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Shawn Brierley</author>
    <author xml:space="preserve"> </author>
  </authors>
  <commentList>
    <comment ref="A1" authorId="0" shapeId="0" xr:uid="{00000000-0006-0000-0A00-000001000000}">
      <text>
        <r>
          <rPr>
            <b/>
            <sz val="8"/>
            <color indexed="81"/>
            <rFont val="Tahoma"/>
            <family val="2"/>
          </rPr>
          <t>Use Inventory Value Report</t>
        </r>
        <r>
          <rPr>
            <sz val="8"/>
            <color indexed="81"/>
            <rFont val="Tahoma"/>
            <family val="2"/>
          </rPr>
          <t xml:space="preserve">
</t>
        </r>
      </text>
    </comment>
    <comment ref="A24" authorId="1" shapeId="0" xr:uid="{00000000-0006-0000-0A00-000002000000}">
      <text>
        <r>
          <rPr>
            <b/>
            <sz val="8"/>
            <color indexed="81"/>
            <rFont val="Tahoma"/>
            <family val="2"/>
          </rPr>
          <t xml:space="preserve"> :</t>
        </r>
        <r>
          <rPr>
            <sz val="8"/>
            <color indexed="81"/>
            <rFont val="Tahoma"/>
            <family val="2"/>
          </rPr>
          <t xml:space="preserve">
Combined with hidden 1343</t>
        </r>
      </text>
    </comment>
  </commentList>
</comments>
</file>

<file path=xl/sharedStrings.xml><?xml version="1.0" encoding="utf-8"?>
<sst xmlns="http://schemas.openxmlformats.org/spreadsheetml/2006/main" count="11478" uniqueCount="2930">
  <si>
    <t>Previous Month</t>
  </si>
  <si>
    <t>Current month</t>
  </si>
  <si>
    <t>Whs</t>
  </si>
  <si>
    <t>Product</t>
  </si>
  <si>
    <t>Description</t>
  </si>
  <si>
    <t>UM</t>
  </si>
  <si>
    <t>Pack</t>
  </si>
  <si>
    <t>Qty</t>
  </si>
  <si>
    <t>Weight</t>
  </si>
  <si>
    <t>$</t>
  </si>
  <si>
    <t>Category</t>
  </si>
  <si>
    <t>FL/AZ</t>
  </si>
  <si>
    <t>$/UM</t>
  </si>
  <si>
    <t>Note</t>
  </si>
  <si>
    <t>BOX321WAV2</t>
  </si>
  <si>
    <t>WHT 4/Gln Wrap Around V2</t>
  </si>
  <si>
    <t>EA</t>
  </si>
  <si>
    <t>500/PLT</t>
  </si>
  <si>
    <t>Packaging</t>
  </si>
  <si>
    <t>FL</t>
  </si>
  <si>
    <t>L69052NV2</t>
  </si>
  <si>
    <t>Rykoff Sexton Marg Mix 64oz Nutrition V2</t>
  </si>
  <si>
    <t>5,000/RL</t>
  </si>
  <si>
    <t>AZ</t>
  </si>
  <si>
    <t>CPBK08</t>
  </si>
  <si>
    <t>BLACK DBJ Cap</t>
  </si>
  <si>
    <t>2,500/Box</t>
  </si>
  <si>
    <t>SOI Orange Juice Gln 4pk</t>
  </si>
  <si>
    <t>CS</t>
  </si>
  <si>
    <t>4/CS</t>
  </si>
  <si>
    <t>FG</t>
  </si>
  <si>
    <t>Key Lime Juice 12pk Qt Rykoff Sexton</t>
  </si>
  <si>
    <t>12/CS</t>
  </si>
  <si>
    <t>J5806</t>
  </si>
  <si>
    <t>GL</t>
  </si>
  <si>
    <t>WIP</t>
  </si>
  <si>
    <t>Meyer Lemon Juice Blend 12pk Qt Rykoff Sexton</t>
  </si>
  <si>
    <t>L03033</t>
  </si>
  <si>
    <t>Lemon Juice Qt</t>
  </si>
  <si>
    <t>L06051V2</t>
  </si>
  <si>
    <t>Marg Mix Gln V2</t>
  </si>
  <si>
    <t>SEA001</t>
  </si>
  <si>
    <t>Sea Salt</t>
  </si>
  <si>
    <t>LB</t>
  </si>
  <si>
    <t>RM</t>
  </si>
  <si>
    <t>L3114829NV3</t>
  </si>
  <si>
    <t>MM Mixed Berries Smoothie Label 10oz Nutrition V3</t>
  </si>
  <si>
    <t>FLV089</t>
  </si>
  <si>
    <t>Mango (Bell) 85.20948 (no PG) Panera</t>
  </si>
  <si>
    <t>SEA006</t>
  </si>
  <si>
    <t>Ground Red Pepper</t>
  </si>
  <si>
    <t>PUR009</t>
  </si>
  <si>
    <t>Banana Puree</t>
  </si>
  <si>
    <t>SOI 3+1 Sweet Strw LA FZN 9pk HGln 61.5oz</t>
  </si>
  <si>
    <t>9/CS</t>
  </si>
  <si>
    <t>Bloody Mary Mix 6pk Hgln Rykoff Sexton</t>
  </si>
  <si>
    <t>6/CS</t>
  </si>
  <si>
    <t>L4143N</t>
  </si>
  <si>
    <t>Natural Brands Lemon Juice Qt Nutrition</t>
  </si>
  <si>
    <t>TX</t>
  </si>
  <si>
    <t>L03301</t>
  </si>
  <si>
    <t>Orange Juice Gln</t>
  </si>
  <si>
    <t>SOI Marg Mix Cond 3+1 HGln 9pk</t>
  </si>
  <si>
    <t>L03043</t>
  </si>
  <si>
    <t>Lime Juice Qt</t>
  </si>
  <si>
    <t>900/PLT</t>
  </si>
  <si>
    <t>L06101V2</t>
  </si>
  <si>
    <t>LA Gln V2</t>
  </si>
  <si>
    <t>SO Limeade Base 3+1 FZN HGln 6pk</t>
  </si>
  <si>
    <t>CPGD08</t>
  </si>
  <si>
    <t>GOLD DBJ Cap</t>
  </si>
  <si>
    <t>J9700</t>
  </si>
  <si>
    <t>LA Auntie Annes 3+1 RTB</t>
  </si>
  <si>
    <t>J8504</t>
  </si>
  <si>
    <t>Texas Rio Red Grapefruit Juice Drum</t>
  </si>
  <si>
    <t>SOI 50/50 Lemon Lime Juice HGln 6pk</t>
  </si>
  <si>
    <t>BOX322WAV2</t>
  </si>
  <si>
    <t>WHT 6 HGln Wrap Around V2</t>
  </si>
  <si>
    <t>Natural Brands Lime Juice Gln 4pk</t>
  </si>
  <si>
    <t>L03101</t>
  </si>
  <si>
    <t>LA Gln</t>
  </si>
  <si>
    <t>L4151</t>
  </si>
  <si>
    <t>Natural Brands Lime Juice Gln</t>
  </si>
  <si>
    <t>L3114629NV3</t>
  </si>
  <si>
    <t>MM Mango Smoothie Label 10oz Nutrition V3</t>
  </si>
  <si>
    <t>L06301V2</t>
  </si>
  <si>
    <t>Orange Juice Gln V2</t>
  </si>
  <si>
    <t>Natural Brands Margarita Lime Sour Gln 4pk</t>
  </si>
  <si>
    <t>1/EA</t>
  </si>
  <si>
    <t>SOI Lemon Juice Gln 4pk</t>
  </si>
  <si>
    <t>L0104LFV3</t>
  </si>
  <si>
    <t>100 % Lime Juice HGln FZN V3</t>
  </si>
  <si>
    <t>BOX323WAV2</t>
  </si>
  <si>
    <t>WHT 6/Qt Wrap Around V2</t>
  </si>
  <si>
    <t>750/PLT</t>
  </si>
  <si>
    <t>MRM060</t>
  </si>
  <si>
    <t>Beta Carotene No Added Sugar</t>
  </si>
  <si>
    <t>L011492</t>
  </si>
  <si>
    <t>50/50 Lemon Lime Juice HGln v.1</t>
  </si>
  <si>
    <t>SOI Old Fashioned 4+1 Lemonade Mix Hgln 6pk FZN</t>
  </si>
  <si>
    <t>L0106LV3</t>
  </si>
  <si>
    <t>Marg Mix Cond Gln V3</t>
  </si>
  <si>
    <t>Markon Orange Juice Gln 4pk</t>
  </si>
  <si>
    <t>L03390</t>
  </si>
  <si>
    <t>Blueberry Lavender Tea 6pk/64oz</t>
  </si>
  <si>
    <t>SOI Grapefruit Juice 30.5oz 6pk FZN</t>
  </si>
  <si>
    <t>L030412</t>
  </si>
  <si>
    <t>Sysco Lime Juice Gln v1.</t>
  </si>
  <si>
    <t>SOI Orange Juice HGln 6pk</t>
  </si>
  <si>
    <t>L01062FV2</t>
  </si>
  <si>
    <t>SOI Margarita Mix 3+1 HGln V2</t>
  </si>
  <si>
    <t>SOI Lemon Juice HGln 6pk</t>
  </si>
  <si>
    <t>J7540</t>
  </si>
  <si>
    <t>OJ No Pulp</t>
  </si>
  <si>
    <t>PUR007</t>
  </si>
  <si>
    <t>Rasp Puree 9 Brix</t>
  </si>
  <si>
    <t>SOI Lemon Juice Qt 6pk</t>
  </si>
  <si>
    <t>L0110LV2</t>
  </si>
  <si>
    <t>SOI LA Lg v.2.</t>
  </si>
  <si>
    <t>L94132FW</t>
  </si>
  <si>
    <t>Wendy's LA 3+1 HGln</t>
  </si>
  <si>
    <t>PLP001</t>
  </si>
  <si>
    <t>Lemon Cells</t>
  </si>
  <si>
    <t>PLP002</t>
  </si>
  <si>
    <t>Valencia Cells</t>
  </si>
  <si>
    <t>PLP005</t>
  </si>
  <si>
    <t>Blended Orange Pulp Cells</t>
  </si>
  <si>
    <t>SYSCO Lemon Juice Qt 6pk</t>
  </si>
  <si>
    <t>J2752</t>
  </si>
  <si>
    <t>Panera Mango Base W\Vitamins NSA</t>
  </si>
  <si>
    <t>SOI Marg Mix Gln 4pk</t>
  </si>
  <si>
    <t>SEA002</t>
  </si>
  <si>
    <t>Whole Celery Seed</t>
  </si>
  <si>
    <t>CPOG08</t>
  </si>
  <si>
    <t>Dark Orange DBJ Cap</t>
  </si>
  <si>
    <t>PUR020</t>
  </si>
  <si>
    <t>Apple Puree .033 screen</t>
  </si>
  <si>
    <t>Wendy's LA 3+1 FZN HGln 6pk</t>
  </si>
  <si>
    <t>SWT009</t>
  </si>
  <si>
    <t>Cane Sugar Totes</t>
  </si>
  <si>
    <t>2,204/Tote</t>
  </si>
  <si>
    <t>J4003</t>
  </si>
  <si>
    <t>Lemon Juice-Spanish Aseptic Bins in gals</t>
  </si>
  <si>
    <t>0/Tote</t>
  </si>
  <si>
    <t>J7544</t>
  </si>
  <si>
    <t>Pasteurized California Mixed Varietal Orange Juice Tanker</t>
  </si>
  <si>
    <t>0/Tanker</t>
  </si>
  <si>
    <t>SO 100% Valencia Orange Juice HGln 6pk</t>
  </si>
  <si>
    <t>L013112</t>
  </si>
  <si>
    <t>SO Frozen Grapefruit 30.5oz</t>
  </si>
  <si>
    <t>PUR032</t>
  </si>
  <si>
    <t>Aseptic Peach Puree</t>
  </si>
  <si>
    <t>L01303V2</t>
  </si>
  <si>
    <t>Orange Juice Qt V2</t>
  </si>
  <si>
    <t>LMLT5</t>
  </si>
  <si>
    <t>4X6 RFID Box Label</t>
  </si>
  <si>
    <t>5,800/RL</t>
  </si>
  <si>
    <t>BOX164AWAV3</t>
  </si>
  <si>
    <t>6 Hgln Val OJ Wrap Around V3</t>
  </si>
  <si>
    <t>L01333</t>
  </si>
  <si>
    <t>Snooze Orange Juice Gln RTS</t>
  </si>
  <si>
    <t>L1369</t>
  </si>
  <si>
    <t>SOI Limeade FZN 30.5 oz Sample Label</t>
  </si>
  <si>
    <t>Kennesaw Orange Juice 8oz 50pk</t>
  </si>
  <si>
    <t>Cava Blueberry Lavender Puree FZN 6pk 30.5oz</t>
  </si>
  <si>
    <t>SYSCO Lemon Juice Gln 4pk</t>
  </si>
  <si>
    <t>J7512</t>
  </si>
  <si>
    <t>Debittered Navel OJ USA Internal Drum 45GL</t>
  </si>
  <si>
    <t>SHF03V3</t>
  </si>
  <si>
    <t>Shrink Film Sam's 10oz V3 (in impressions/eaches)</t>
  </si>
  <si>
    <t>PUR017</t>
  </si>
  <si>
    <t>Strw Puree 7 Brix - seedless</t>
  </si>
  <si>
    <t>SOI NP Orange Juice FZN 61.5oz 6pk</t>
  </si>
  <si>
    <t>J6003</t>
  </si>
  <si>
    <t>Lime Juice Tote in Gallons Mexico</t>
  </si>
  <si>
    <t>SEA004</t>
  </si>
  <si>
    <t>Ground Cloves</t>
  </si>
  <si>
    <t>J7930</t>
  </si>
  <si>
    <t>NFC Orange California Top Note Internal Drum</t>
  </si>
  <si>
    <t>Auntie Annes FZN LA 3+1 HGln 6pk</t>
  </si>
  <si>
    <t>L690202V2</t>
  </si>
  <si>
    <t>RS 100% Premium Red Gft Juice 64oz V2</t>
  </si>
  <si>
    <t>CON003B</t>
  </si>
  <si>
    <t>White Grape Juice Con Bin Brix 68</t>
  </si>
  <si>
    <t>L0111LV3</t>
  </si>
  <si>
    <t>LA 4+1 Gln v3</t>
  </si>
  <si>
    <t>Condensed Strawberry Lemonade Base REF 270Gln Tote</t>
  </si>
  <si>
    <t>TT</t>
  </si>
  <si>
    <t>1/TT</t>
  </si>
  <si>
    <t>FLV091</t>
  </si>
  <si>
    <t>Wild Flavors Nat Taste Modifier 223</t>
  </si>
  <si>
    <t>FLV080</t>
  </si>
  <si>
    <t>Flavorchem Vanilla 93.7309</t>
  </si>
  <si>
    <t>SOI Lemon Juice FZN Qt 6pk</t>
  </si>
  <si>
    <t>SOI CP Lemon Oil Drum</t>
  </si>
  <si>
    <t>400/LB</t>
  </si>
  <si>
    <t>J4100</t>
  </si>
  <si>
    <t>Meyer Lemon Juice Internal Drum</t>
  </si>
  <si>
    <t>45/DR</t>
  </si>
  <si>
    <t>SWT008T</t>
  </si>
  <si>
    <t>Evaporated Cane Juice Tote</t>
  </si>
  <si>
    <t>2,200/Tote</t>
  </si>
  <si>
    <t>VEG018</t>
  </si>
  <si>
    <t>Chili Pepper Puree</t>
  </si>
  <si>
    <t>L01652F</t>
  </si>
  <si>
    <t>SOI Sweet &amp; Sour Mix 3+1</t>
  </si>
  <si>
    <t>L01132F</t>
  </si>
  <si>
    <t>SOI 3+1 Sweet LA Mix HGln</t>
  </si>
  <si>
    <t>CON008</t>
  </si>
  <si>
    <t>Cran Juice Concentrate</t>
  </si>
  <si>
    <t>MRM001</t>
  </si>
  <si>
    <t>Citric Acid</t>
  </si>
  <si>
    <t>50/BAG</t>
  </si>
  <si>
    <t>MRM013</t>
  </si>
  <si>
    <t>Enzyme Processing Aid</t>
  </si>
  <si>
    <t>VEG013</t>
  </si>
  <si>
    <t>Horseradish</t>
  </si>
  <si>
    <t>SWT013</t>
  </si>
  <si>
    <t>Stevia</t>
  </si>
  <si>
    <t>LIN003</t>
  </si>
  <si>
    <t>Drum Liner .003 ML Clear Length 38"W X 72" L</t>
  </si>
  <si>
    <t>75/box</t>
  </si>
  <si>
    <t>L11701FV2</t>
  </si>
  <si>
    <t>Cava Blueberry Lavender Puree Label V2</t>
  </si>
  <si>
    <t>L69012AV2</t>
  </si>
  <si>
    <t>AZ Valencia Orange Juice 64oz V2</t>
  </si>
  <si>
    <t>DRM006</t>
  </si>
  <si>
    <t>55 Gln Plastic Drum Filled</t>
  </si>
  <si>
    <t>1/DRM</t>
  </si>
  <si>
    <t>VEG009</t>
  </si>
  <si>
    <t>Spirulina Powder</t>
  </si>
  <si>
    <t>VEG001</t>
  </si>
  <si>
    <t>Tomato Paste 37% NTSS .33 Screen</t>
  </si>
  <si>
    <t>L69012ANV2</t>
  </si>
  <si>
    <t>AZ Valencia Orange Juice 64oz Nutrition V2</t>
  </si>
  <si>
    <t>SYSCO Orange Juice Gln 4pk</t>
  </si>
  <si>
    <t>Sun Orchard Orange Juice Qt 6pk</t>
  </si>
  <si>
    <t>Panera 5+1 Agave Lemonade with Concentrate FZN 64 oz 6pk</t>
  </si>
  <si>
    <t>GOSH Ent. LA Cond FZN 4+1 Gln 4pk</t>
  </si>
  <si>
    <t>FLV090</t>
  </si>
  <si>
    <t>Strawberry Flavor 090</t>
  </si>
  <si>
    <t>500/Roll</t>
  </si>
  <si>
    <t>L011183</t>
  </si>
  <si>
    <t>Creative Bev Sweet Lemon Juice Hgln Fzn</t>
  </si>
  <si>
    <t>J8506</t>
  </si>
  <si>
    <t>Grapefruit Juice USA Internal Drum</t>
  </si>
  <si>
    <t>Premium Lime Lemon FZN 4pk 123oz</t>
  </si>
  <si>
    <t>SWT001</t>
  </si>
  <si>
    <t>Sugar</t>
  </si>
  <si>
    <t>DRM002</t>
  </si>
  <si>
    <t>Plastic 55 Gln Drum Empty</t>
  </si>
  <si>
    <t>J7043</t>
  </si>
  <si>
    <t>OJ Mexican Valencia Tanker</t>
  </si>
  <si>
    <t>L02132V3</t>
  </si>
  <si>
    <t>LA 3+1 Gln v.3</t>
  </si>
  <si>
    <t>LIN006</t>
  </si>
  <si>
    <t>Tote Liner Cassette 275G &amp; Shroud</t>
  </si>
  <si>
    <t>24/box</t>
  </si>
  <si>
    <t>CON017</t>
  </si>
  <si>
    <t>Concord Grape Concentrate</t>
  </si>
  <si>
    <t>SEA013</t>
  </si>
  <si>
    <t>White Vinegar, 100 grain distilled</t>
  </si>
  <si>
    <t>Premium Lime Lemon 4pk Gln</t>
  </si>
  <si>
    <t>MRM043</t>
  </si>
  <si>
    <t>Protab VIT Premix w\o maltodextrin 001780</t>
  </si>
  <si>
    <t>MRM002</t>
  </si>
  <si>
    <t>Orange Aroma</t>
  </si>
  <si>
    <t>L06031V2</t>
  </si>
  <si>
    <t>Lemon Juice Gln V2</t>
  </si>
  <si>
    <t>DRM003</t>
  </si>
  <si>
    <t>Refurbished 55 Gln Drum</t>
  </si>
  <si>
    <t>L44041V2</t>
  </si>
  <si>
    <t>Lime Juice Gln V2</t>
  </si>
  <si>
    <t>J5315</t>
  </si>
  <si>
    <t>Bloody Mary Mix</t>
  </si>
  <si>
    <t>SOI LA Cond 3+1 FZN HGln 6pk</t>
  </si>
  <si>
    <t>SOI Lemon Juice FZN HGln 6pk</t>
  </si>
  <si>
    <t>SEA005</t>
  </si>
  <si>
    <t>Onion Powder</t>
  </si>
  <si>
    <t>BOX165WAV3</t>
  </si>
  <si>
    <t>6 Hgln Meyer LA Wrap Around V3</t>
  </si>
  <si>
    <t>COL015</t>
  </si>
  <si>
    <t>Exberry Valentine Color</t>
  </si>
  <si>
    <t>55/Pail</t>
  </si>
  <si>
    <t>SEA007</t>
  </si>
  <si>
    <t>Garlic Powder</t>
  </si>
  <si>
    <t>Sams Club MM Reduced Sugar &amp; Fiber Multipack 12pk 10oz</t>
  </si>
  <si>
    <t>Kroger 6+1 Blueberry Lavender Black Tea with Lemon FZN DR</t>
  </si>
  <si>
    <t>DR</t>
  </si>
  <si>
    <t>48/Drum</t>
  </si>
  <si>
    <t>L1462</t>
  </si>
  <si>
    <t>70/30 Lime Lemon Juice FZN 123oz</t>
  </si>
  <si>
    <t>Rykoff Sexton 100% Red Grapefruit Juice 6pk HGln</t>
  </si>
  <si>
    <t>J3401</t>
  </si>
  <si>
    <t>Apple Juice Internal Drum</t>
  </si>
  <si>
    <t>L01372V4</t>
  </si>
  <si>
    <t>SO Limeade 3+1 Fzn HGln V4</t>
  </si>
  <si>
    <t>CON005</t>
  </si>
  <si>
    <t>Lemon Juice Concentrate 400 GPL</t>
  </si>
  <si>
    <t>54/Drum</t>
  </si>
  <si>
    <t>J4955</t>
  </si>
  <si>
    <t>High-Acid Lemon Juice Blend</t>
  </si>
  <si>
    <t>Natural Brands Lemon Juice HGln 9pk</t>
  </si>
  <si>
    <t>CON003</t>
  </si>
  <si>
    <t>White Grape Juice Con Drum Brix 68</t>
  </si>
  <si>
    <t>SEA009</t>
  </si>
  <si>
    <t>Balsamic Vinegar, 60 grain</t>
  </si>
  <si>
    <t>J6146</t>
  </si>
  <si>
    <t>Key Lime Juice Drum</t>
  </si>
  <si>
    <t>TRAY012</t>
  </si>
  <si>
    <t>BRN 24pk 10oz Tray</t>
  </si>
  <si>
    <t>5,000/PLT</t>
  </si>
  <si>
    <t>4502F</t>
  </si>
  <si>
    <t>SOI Lemon Juice FZN Gln 4pk</t>
  </si>
  <si>
    <t>LMLT4</t>
  </si>
  <si>
    <t>4X6 Box Label</t>
  </si>
  <si>
    <t>J7053</t>
  </si>
  <si>
    <t>OJ Mexican Valencia in Totes</t>
  </si>
  <si>
    <t>J7545</t>
  </si>
  <si>
    <t>OJ Mexican Juice in Totes</t>
  </si>
  <si>
    <t>FLV156</t>
  </si>
  <si>
    <t>Premium Lemonade Flavor Base 1:50 (0322F-50)</t>
  </si>
  <si>
    <t>J9400</t>
  </si>
  <si>
    <t>LA 4+1 RTB</t>
  </si>
  <si>
    <t>SO Mixed Berry Omija 6+1 FZN HGln 6pk</t>
  </si>
  <si>
    <t>L0103SF</t>
  </si>
  <si>
    <t>Lemon Juice Qt FZN</t>
  </si>
  <si>
    <t>Panera Mango Fruit Base No Refined Sugar Added FZN</t>
  </si>
  <si>
    <t>Snooze Orange Juice Gln 4pk</t>
  </si>
  <si>
    <t>Natural Brands Orange Juice Gln 4pk</t>
  </si>
  <si>
    <t>NUT004</t>
  </si>
  <si>
    <t>Coconut Water 4 Brix Aseptic</t>
  </si>
  <si>
    <t>DRM111</t>
  </si>
  <si>
    <t>Oil Drum</t>
  </si>
  <si>
    <t>FLV146</t>
  </si>
  <si>
    <t>Banana Flavor RBT</t>
  </si>
  <si>
    <t>MRM012</t>
  </si>
  <si>
    <t>Pectin Type YM-115-L</t>
  </si>
  <si>
    <t>55/BAG</t>
  </si>
  <si>
    <t>J4105</t>
  </si>
  <si>
    <t>Meyer Lemon Juice Internal WIP</t>
  </si>
  <si>
    <t>PUR001</t>
  </si>
  <si>
    <t>Strw Puree w/seeds</t>
  </si>
  <si>
    <t>MRM059</t>
  </si>
  <si>
    <t>Inulin</t>
  </si>
  <si>
    <t>SO Agave Margarita Mix FZN 6pk 61.5</t>
  </si>
  <si>
    <t>Starbucks Lemonade 2X 50.7oz 6pk</t>
  </si>
  <si>
    <t>FLV153</t>
  </si>
  <si>
    <t>Natural Lavender Extract WONF Type 2 (23-177-3)</t>
  </si>
  <si>
    <t>J4040</t>
  </si>
  <si>
    <t>Lemon Juice Tanker</t>
  </si>
  <si>
    <t>CON016</t>
  </si>
  <si>
    <t>Rasp Juice Concentrate 65 Brix</t>
  </si>
  <si>
    <t>L01307F</t>
  </si>
  <si>
    <t>NP Orange Juice 61.5oz FZN v1</t>
  </si>
  <si>
    <t>SOI 100% Lime Juice HGln 6pk FZN</t>
  </si>
  <si>
    <t>BOX322</t>
  </si>
  <si>
    <t>WHT 6 HGln RSC</t>
  </si>
  <si>
    <t>SOI Orange Juice NP Gln 4pk</t>
  </si>
  <si>
    <t>J6006</t>
  </si>
  <si>
    <t>MRM009</t>
  </si>
  <si>
    <t>Defoamer</t>
  </si>
  <si>
    <t>FLV063</t>
  </si>
  <si>
    <t>Treat Lemon Oil Meyer Type 17684</t>
  </si>
  <si>
    <t>J1331</t>
  </si>
  <si>
    <t>MM Reduced Sugar &amp; added Fiber Strawberry Banana Smoothie Blend</t>
  </si>
  <si>
    <t>J7099</t>
  </si>
  <si>
    <t>NFC Orange Mexican Top Note in Drums</t>
  </si>
  <si>
    <t>46/DR</t>
  </si>
  <si>
    <t>5142F</t>
  </si>
  <si>
    <t>SOI Marg Mix Cond 3+1 FZN HGln 9pk</t>
  </si>
  <si>
    <t>PLP002CA</t>
  </si>
  <si>
    <t>Valencia Cells - California</t>
  </si>
  <si>
    <t>1335B</t>
  </si>
  <si>
    <t>Bottled MM Green Smoothie Blend 10oz</t>
  </si>
  <si>
    <t>High-Acid Lemon Juice with Concentrate Gln 4pk RTS</t>
  </si>
  <si>
    <t>PUR046</t>
  </si>
  <si>
    <t>Aseptic Mango Puree 16 Brix</t>
  </si>
  <si>
    <t>SOI Sweet &amp; Sour Mix 3+1 FZN Hgln 6pk</t>
  </si>
  <si>
    <t>SEA003</t>
  </si>
  <si>
    <t>Black Pepper, 22 mesh grind</t>
  </si>
  <si>
    <t>Natural Brands Grapefruit Juice Qt 12pk</t>
  </si>
  <si>
    <t>CPMN08</t>
  </si>
  <si>
    <t>Cap Maroon DBJ</t>
  </si>
  <si>
    <t>L0103LV3</t>
  </si>
  <si>
    <t>Lemon Juice Gln Version 3</t>
  </si>
  <si>
    <t>L01333N</t>
  </si>
  <si>
    <t>Snooze Orange Juice Gln RTS Nutrition</t>
  </si>
  <si>
    <t>Panera Peach Mango Base Fzn 61.5 oz 6pk</t>
  </si>
  <si>
    <t>L69563NV2</t>
  </si>
  <si>
    <t>Key Lime Juice 32oz Nutrition V2</t>
  </si>
  <si>
    <t>SWT004T</t>
  </si>
  <si>
    <t>Organic Agave Syrup in Totes</t>
  </si>
  <si>
    <t>SOI 3+1 Sweet LA Mix FZN HGln 9pk</t>
  </si>
  <si>
    <t>1335A</t>
  </si>
  <si>
    <t>Bottled MM Mixed Berries Smoothie Blend 10oz</t>
  </si>
  <si>
    <t>L01282F</t>
  </si>
  <si>
    <t>3+1 Sweet Strw LA FZN 61.5 oz v1</t>
  </si>
  <si>
    <t>Panera Strawberry Fruit Base No Refined Sugar Added FZN</t>
  </si>
  <si>
    <t>PUR057</t>
  </si>
  <si>
    <t>Aseptic Blueberry Puree</t>
  </si>
  <si>
    <t>L011402</t>
  </si>
  <si>
    <t>High-Acid Lemon Juice Blend REF 4pk/128oz</t>
  </si>
  <si>
    <t>CPGR08</t>
  </si>
  <si>
    <t>Green DBJ Cap</t>
  </si>
  <si>
    <t>SOI Lime Juice FZN Qt 16pk</t>
  </si>
  <si>
    <t>16/CS</t>
  </si>
  <si>
    <t>L1370</t>
  </si>
  <si>
    <t>SOI Limeade 3+1 32 oz Sample Label</t>
  </si>
  <si>
    <t>L01378</t>
  </si>
  <si>
    <t>SO Limeade RTS Gln</t>
  </si>
  <si>
    <t>L06032V2</t>
  </si>
  <si>
    <t>Lemon Juice HGln V2</t>
  </si>
  <si>
    <t>SO Limeade FZN 6pk 30.5oz Samples</t>
  </si>
  <si>
    <t>L0103LFV2</t>
  </si>
  <si>
    <t>Lemon Juice Gln FZN Version 2</t>
  </si>
  <si>
    <t>FLV092</t>
  </si>
  <si>
    <t>Strawberry Treatarome 9855</t>
  </si>
  <si>
    <t>BTL212</t>
  </si>
  <si>
    <t>HGln HDPE DBJ</t>
  </si>
  <si>
    <t>108/BAG</t>
  </si>
  <si>
    <t>J6040</t>
  </si>
  <si>
    <t>BRN 16/Qt Wrap Around</t>
  </si>
  <si>
    <t>L69053</t>
  </si>
  <si>
    <t>W03645</t>
  </si>
  <si>
    <t>Wendy's 3+1 LA Box Label</t>
  </si>
  <si>
    <t>L3114529V4</t>
  </si>
  <si>
    <t>MM Green Smoothie Label 10oz V4</t>
  </si>
  <si>
    <t>BOX100</t>
  </si>
  <si>
    <t>BRN Corrugated IBC 275GL Tote</t>
  </si>
  <si>
    <t>12/PLT</t>
  </si>
  <si>
    <t>L01303N</t>
  </si>
  <si>
    <t>Orange Juice Qt Nutrition</t>
  </si>
  <si>
    <t>L62018V2</t>
  </si>
  <si>
    <t>Valencia OJ 64 oz 6 pk V2</t>
  </si>
  <si>
    <t>SOI Lemon Juice FZN Qt 16pk</t>
  </si>
  <si>
    <t>1335C</t>
  </si>
  <si>
    <t>Bottled MM Mango Smoothie Blend 10oz</t>
  </si>
  <si>
    <t>SOI Lime Juice FZN Qt 6pk</t>
  </si>
  <si>
    <t>L02112V2</t>
  </si>
  <si>
    <t>Old Fashioned Lemonade Mix V2</t>
  </si>
  <si>
    <t>1335D</t>
  </si>
  <si>
    <t>Bottled MM Strawberry Banana Smoothie Blend 10oz</t>
  </si>
  <si>
    <t>PUR008</t>
  </si>
  <si>
    <t>Marion Blackberry Puree</t>
  </si>
  <si>
    <t>SOI CP Meyer Lemon Oil Drum</t>
  </si>
  <si>
    <t>1/LB</t>
  </si>
  <si>
    <t>SOI LA Strw Cond 3+1 Gln 4pk</t>
  </si>
  <si>
    <t>CON020</t>
  </si>
  <si>
    <t>Passionfruit Juice Con 50 Brix</t>
  </si>
  <si>
    <t>52/DR</t>
  </si>
  <si>
    <t>J3701</t>
  </si>
  <si>
    <t>Aseptic NFC Pineapple Juice</t>
  </si>
  <si>
    <t>BTL008</t>
  </si>
  <si>
    <t>10oz PET bottle DBJ Neck</t>
  </si>
  <si>
    <t>0/Pallet</t>
  </si>
  <si>
    <t>BTL211</t>
  </si>
  <si>
    <t>Gln HDPE DBJ</t>
  </si>
  <si>
    <t>48/BAG</t>
  </si>
  <si>
    <t>CPWT10</t>
  </si>
  <si>
    <t>Cap White Push Lock 2" w/ Logo</t>
  </si>
  <si>
    <t>L4141</t>
  </si>
  <si>
    <t>Natural Brands Lemon Juice Gln</t>
  </si>
  <si>
    <t>Natural Brands Orange Juice HGln 9pk</t>
  </si>
  <si>
    <t>L21121FV3</t>
  </si>
  <si>
    <t>LA 4+1 Gln Fzn V3</t>
  </si>
  <si>
    <t>Natural Brands Lemon Juice Gln 4pk</t>
  </si>
  <si>
    <t>L0105LV2</t>
  </si>
  <si>
    <t>Marg Mix Gln</t>
  </si>
  <si>
    <t>Condensed Lemonade Base REF 270Gln Tote</t>
  </si>
  <si>
    <t>L69573NV2</t>
  </si>
  <si>
    <t>Meyer Lemon Juice 32oz Nutritiion V2</t>
  </si>
  <si>
    <t>BOX132WAV3</t>
  </si>
  <si>
    <t>12 QT Key Lime Juice Wrap Around V3</t>
  </si>
  <si>
    <t>SOI Gft Juice HGln 6pk</t>
  </si>
  <si>
    <t>MRM020</t>
  </si>
  <si>
    <t>Velcorin</t>
  </si>
  <si>
    <t>Kroger 6+1 Peach Honey Chamomile Tea with Lemon FZN DR</t>
  </si>
  <si>
    <t>CPRD08</t>
  </si>
  <si>
    <t>Red DBJ Cap</t>
  </si>
  <si>
    <t>DRM001</t>
  </si>
  <si>
    <t>55 Gln Drum</t>
  </si>
  <si>
    <t>FLV009</t>
  </si>
  <si>
    <t>Cold Pressed Lime Oil</t>
  </si>
  <si>
    <t>CPWT08</t>
  </si>
  <si>
    <t>Cap White DBJ</t>
  </si>
  <si>
    <t>SWT012</t>
  </si>
  <si>
    <t>Molasses</t>
  </si>
  <si>
    <t>L3114729V4</t>
  </si>
  <si>
    <t>MM Strw Banana Smoothie Label 10oz V4</t>
  </si>
  <si>
    <t>L0801</t>
  </si>
  <si>
    <t>SO Mixed Berry Omija 6+1 HGln 6pk Label</t>
  </si>
  <si>
    <t>L0104LV2</t>
  </si>
  <si>
    <t>Lime Juice Gln Version 2</t>
  </si>
  <si>
    <t>J4046</t>
  </si>
  <si>
    <t>Lemon Juice Extraction Drum in Gallons</t>
  </si>
  <si>
    <t>L62018N</t>
  </si>
  <si>
    <t>Valencia OJ 64 oz 6 pk Nutrition</t>
  </si>
  <si>
    <t>CPYL08</t>
  </si>
  <si>
    <t>Cap Yellow DBJ</t>
  </si>
  <si>
    <t>BOX133WAV3</t>
  </si>
  <si>
    <t>12 QT Meyer Lemon Juice Wrap Around V3</t>
  </si>
  <si>
    <t>L3114529NV3</t>
  </si>
  <si>
    <t>MM Green Smoothie Label 10oz Nutrition V3</t>
  </si>
  <si>
    <t>J3400</t>
  </si>
  <si>
    <t>Apple Juice Tanker</t>
  </si>
  <si>
    <t>SOI All Natural Lemon Sour FZN 12pk Qt</t>
  </si>
  <si>
    <t>SYSCO Lime Juice Gln 4pk</t>
  </si>
  <si>
    <t>SO Bloody Mary Mix 6pk Hgln</t>
  </si>
  <si>
    <t>L06041V2</t>
  </si>
  <si>
    <t>Natural Brands Grapefruit Juice Pt 12pk</t>
  </si>
  <si>
    <t>SO Limeade FZN 3+1 6pk 32oz Samples</t>
  </si>
  <si>
    <t>J9604</t>
  </si>
  <si>
    <t>LA Strw 3+1 RTB</t>
  </si>
  <si>
    <t>L690202NV2</t>
  </si>
  <si>
    <t>RS 100% Premium Red Gft Juice 64oz Nut V2</t>
  </si>
  <si>
    <t>SYSCO Orange Juice NP Gln 4pk</t>
  </si>
  <si>
    <t>L62210F</t>
  </si>
  <si>
    <t>5+1 Agave Lemonade Hgln Alt Spec 3</t>
  </si>
  <si>
    <t>BTL213</t>
  </si>
  <si>
    <t>Qt HDPE DBJ</t>
  </si>
  <si>
    <t>192/BAG</t>
  </si>
  <si>
    <t>L3114829V4</t>
  </si>
  <si>
    <t>MM Mixed Berries Smoothie Label 10oz V4</t>
  </si>
  <si>
    <t>L4142</t>
  </si>
  <si>
    <t>Natural Brands Lemon Juice HGln</t>
  </si>
  <si>
    <t>BOX211WAV3</t>
  </si>
  <si>
    <t>WHT 4/Gln Wrap Around V3</t>
  </si>
  <si>
    <t>SOI Valencia Oil Drum</t>
  </si>
  <si>
    <t>1,350/PLT</t>
  </si>
  <si>
    <t>COL003</t>
  </si>
  <si>
    <t>Exberry Shade Red 153330</t>
  </si>
  <si>
    <t>BOX415WA</t>
  </si>
  <si>
    <t>COL004</t>
  </si>
  <si>
    <t>Exberry Mango Yel 450005</t>
  </si>
  <si>
    <t>BOX411</t>
  </si>
  <si>
    <t>BRN 4/Gln RSC</t>
  </si>
  <si>
    <t>J7912</t>
  </si>
  <si>
    <t>L0110LN</t>
  </si>
  <si>
    <t>SOI LA Lg Nutrition</t>
  </si>
  <si>
    <t>BOX412</t>
  </si>
  <si>
    <t>BRN 6 HGln RSC</t>
  </si>
  <si>
    <t>L3114629V4</t>
  </si>
  <si>
    <t>MM Mango Smoothie Label 10oz V4</t>
  </si>
  <si>
    <t>L69572NV2</t>
  </si>
  <si>
    <t>Meyer LA 64oz Nutrition V2</t>
  </si>
  <si>
    <t>L06042V2</t>
  </si>
  <si>
    <t>Lime Juice HGln V2</t>
  </si>
  <si>
    <t>Natural Brands 3+1 Lemonade Base &amp; Sour Mix Gln 4pk</t>
  </si>
  <si>
    <t>J7500</t>
  </si>
  <si>
    <t>OJ</t>
  </si>
  <si>
    <t>BOX150WAV3</t>
  </si>
  <si>
    <t>6 Hgln Bloody Mary Mix Wrap V3</t>
  </si>
  <si>
    <t>Natural Brands Lemon Juice Qt 12pk</t>
  </si>
  <si>
    <t>L03301NP</t>
  </si>
  <si>
    <t>NP Orange Juice Gln v1.</t>
  </si>
  <si>
    <t>Markon Lemon Juice Gln 4pk</t>
  </si>
  <si>
    <t>Natural Brands Orange Juice Qt 12pk</t>
  </si>
  <si>
    <t>Natural Brands Lemonade HGln 9pk</t>
  </si>
  <si>
    <t>FLV147</t>
  </si>
  <si>
    <t>FTNF Lemon Oil Juicy</t>
  </si>
  <si>
    <t>Margarita Mix 6pk HGln Rykoff Sexton</t>
  </si>
  <si>
    <t>L3114729NV3</t>
  </si>
  <si>
    <t>MM Strw Banana Smoothie Label 10oz Nutrition V3</t>
  </si>
  <si>
    <t>FLV136</t>
  </si>
  <si>
    <t>Treatt Lavender Treattarome 9792</t>
  </si>
  <si>
    <t>L4143</t>
  </si>
  <si>
    <t>Natural Brands Lemon Juice Qt</t>
  </si>
  <si>
    <t>BOX212WAV3</t>
  </si>
  <si>
    <t>WHT 6/HGln Wrap Around V3</t>
  </si>
  <si>
    <t>Qdoba Lime Juice Gln 4pk</t>
  </si>
  <si>
    <t>Natural Brands Lemon Juice Qt 6pk</t>
  </si>
  <si>
    <t>SYSCO Lime Juice Qt 6pk</t>
  </si>
  <si>
    <t>Natural Brands Lemonade Pt 12pk</t>
  </si>
  <si>
    <t>SOI Lime Juice Gln 4pk</t>
  </si>
  <si>
    <t>SOI Lime Juice Qt 6pk</t>
  </si>
  <si>
    <t>CPBU08</t>
  </si>
  <si>
    <t>Blue DBJ Cap</t>
  </si>
  <si>
    <t>PUR010</t>
  </si>
  <si>
    <t>Kiwi Fruit Puree</t>
  </si>
  <si>
    <t>Markon Lime Juice Gln 4pk</t>
  </si>
  <si>
    <t>Natural Brands Orange Juice Pt 12pk</t>
  </si>
  <si>
    <t>BOX152WAV3</t>
  </si>
  <si>
    <t>6 Hgln Marg Mix Wrap Around V3</t>
  </si>
  <si>
    <t>L4152</t>
  </si>
  <si>
    <t>Natural Brands Lime Juice HGln</t>
  </si>
  <si>
    <t>SOI LA Gln 4pk</t>
  </si>
  <si>
    <t>Markon LA Gln 4pk</t>
  </si>
  <si>
    <t>BOX410WAV2</t>
  </si>
  <si>
    <t>BRN 4/Gln Wrap Around V2</t>
  </si>
  <si>
    <t>520/PLT</t>
  </si>
  <si>
    <t>Natural Brands Lime Juice HGln 9pk</t>
  </si>
  <si>
    <t>J9314</t>
  </si>
  <si>
    <t>Meyer LA</t>
  </si>
  <si>
    <t>FLV109</t>
  </si>
  <si>
    <t>Robertet Blackberry Flv NV-71,606</t>
  </si>
  <si>
    <t>L030312V2</t>
  </si>
  <si>
    <t>Sysco Lemon Juice Gln v.2</t>
  </si>
  <si>
    <t>L03391</t>
  </si>
  <si>
    <t>Peach Honey Chamomile Tea 6pk/64oz</t>
  </si>
  <si>
    <t>Creative BevBlends 3+1 Sweet LA Mix FZN HGln 9pk</t>
  </si>
  <si>
    <t>FLV110</t>
  </si>
  <si>
    <t>Mango Flavor 110</t>
  </si>
  <si>
    <t>L4153</t>
  </si>
  <si>
    <t>Natural Brands Lime Juice Qt</t>
  </si>
  <si>
    <t>L01652FNV2</t>
  </si>
  <si>
    <t>SOI Sweet &amp; Sour Mix 3+1 Nutrition V2</t>
  </si>
  <si>
    <t>L14132</t>
  </si>
  <si>
    <t>LA 3+1 HGln  v2</t>
  </si>
  <si>
    <t>BOX412WAV2</t>
  </si>
  <si>
    <t>BRN 6 HGln Wrap Around V2</t>
  </si>
  <si>
    <t>Natural Brands Lime Juice Qt 12pk</t>
  </si>
  <si>
    <t>Louisburg Cider Mill Old Fashioned Apple Cider Gln 4pk</t>
  </si>
  <si>
    <t>L4153N</t>
  </si>
  <si>
    <t>Natural Brands Lime Juice Qt Nutrition</t>
  </si>
  <si>
    <t>Markon Lime Juice HGln 6pk</t>
  </si>
  <si>
    <t>L62407V2</t>
  </si>
  <si>
    <t>Panera Mango NSA 61.5oz V2</t>
  </si>
  <si>
    <t>J5314</t>
  </si>
  <si>
    <t>L03032</t>
  </si>
  <si>
    <t>Lemon Juice HGln</t>
  </si>
  <si>
    <t>BOX414WAV2</t>
  </si>
  <si>
    <t>BRN 6/Qt Wrap Around V2</t>
  </si>
  <si>
    <t>J4102</t>
  </si>
  <si>
    <t>Meyer Lemon Juice Blend</t>
  </si>
  <si>
    <t>FLV042</t>
  </si>
  <si>
    <t>Orange Oil Valencia C/P 12054/190478</t>
  </si>
  <si>
    <t>L62417V2</t>
  </si>
  <si>
    <t>Panera Strawberry NSA 61.5oz V2</t>
  </si>
  <si>
    <t>L4173</t>
  </si>
  <si>
    <t>Natural Brands Lemon Sour Qt</t>
  </si>
  <si>
    <t>J5000</t>
  </si>
  <si>
    <t>Marg Mix Reg</t>
  </si>
  <si>
    <t>J4045</t>
  </si>
  <si>
    <t>Lemon Juice Drum</t>
  </si>
  <si>
    <t>Natural Brands Lime Juice Qt 6pk</t>
  </si>
  <si>
    <t>Meyer LA 6pk Hgln Rykoff Sexton.</t>
  </si>
  <si>
    <t>SOI Lime Juice HGln 6pk</t>
  </si>
  <si>
    <t>L01282FV2</t>
  </si>
  <si>
    <t>3+1 Sweet Strw LA FZN 61.5 oz Version 2</t>
  </si>
  <si>
    <t>L4173N</t>
  </si>
  <si>
    <t>Natural Brands Lemon Sour Qt Nutrition</t>
  </si>
  <si>
    <t>BOX420WAV2</t>
  </si>
  <si>
    <t>BRN 16/Qt Wrap Around V2</t>
  </si>
  <si>
    <t>L0128LV2</t>
  </si>
  <si>
    <t>LA Strw 3+1 Gln Version 2</t>
  </si>
  <si>
    <t>L4175</t>
  </si>
  <si>
    <t>Natural Brands 3+1 Lemonade HGln</t>
  </si>
  <si>
    <t>J6585</t>
  </si>
  <si>
    <t>Limeade RTS Blend</t>
  </si>
  <si>
    <t>0/GL</t>
  </si>
  <si>
    <t>4173B</t>
  </si>
  <si>
    <t>Natural Brands Lemon Sour Ade Base &amp; Sour Qt 6pk</t>
  </si>
  <si>
    <t>L01301V2</t>
  </si>
  <si>
    <t>Orange Juice NP Gln Version 2</t>
  </si>
  <si>
    <t>BOX532WAV2</t>
  </si>
  <si>
    <t>BRN 12 QT Wrap Around V2</t>
  </si>
  <si>
    <t>MRM057</t>
  </si>
  <si>
    <t>Green Premix w/o WheatG &amp; Garlic  001973</t>
  </si>
  <si>
    <t>55/BOX</t>
  </si>
  <si>
    <t>L4177</t>
  </si>
  <si>
    <t>Natural Brands "Brewhouse" 2.5+1 Lemonade Gln</t>
  </si>
  <si>
    <t>Natural Brands 3+1 Lemonade Base HGln 9pk</t>
  </si>
  <si>
    <t>J6001</t>
  </si>
  <si>
    <t>Lime Juice</t>
  </si>
  <si>
    <t>J9000</t>
  </si>
  <si>
    <t>LA RTB</t>
  </si>
  <si>
    <t>BOX169WA</t>
  </si>
  <si>
    <t>6 Hgln 100% Red Gft WA</t>
  </si>
  <si>
    <t>L5170</t>
  </si>
  <si>
    <t>Natural Brands 3+1 Lemonade Sour Mix Gln</t>
  </si>
  <si>
    <t>Natural Brands "Brewhouse" 2.5+1 Lemonade Base Gln 4pk</t>
  </si>
  <si>
    <t>FLV120</t>
  </si>
  <si>
    <t>Sweet Flavor 120</t>
  </si>
  <si>
    <t>L69052V3</t>
  </si>
  <si>
    <t>Rykoff Sexton Margarita Mix 64oz V3</t>
  </si>
  <si>
    <t>J7010</t>
  </si>
  <si>
    <t>L691042NV3</t>
  </si>
  <si>
    <t>Bloody Mary Mix 64oz Nutrition V3</t>
  </si>
  <si>
    <t>J4001</t>
  </si>
  <si>
    <t>Lemon Juice</t>
  </si>
  <si>
    <t>FLV122</t>
  </si>
  <si>
    <t>IFF Strawberry Flv SC611352</t>
  </si>
  <si>
    <t>L691042V3</t>
  </si>
  <si>
    <t>Bloody Mary Mix 64oz V3</t>
  </si>
  <si>
    <t>L02020V2</t>
  </si>
  <si>
    <t>SO Bloody Mary Mix 64oz Version 2</t>
  </si>
  <si>
    <t>L69563V3</t>
  </si>
  <si>
    <t>Key Lime Juice 32oz V3</t>
  </si>
  <si>
    <t>FLV124</t>
  </si>
  <si>
    <t>Treat Apple Essence 1500x</t>
  </si>
  <si>
    <t>Markon Marg Mix Gln 4pk</t>
  </si>
  <si>
    <t>L02132V4</t>
  </si>
  <si>
    <t>L69572V3</t>
  </si>
  <si>
    <t>Meyer LA 64oz V3</t>
  </si>
  <si>
    <t>FLV125</t>
  </si>
  <si>
    <t>Apple Flavor 125</t>
  </si>
  <si>
    <t>L69573V3</t>
  </si>
  <si>
    <t>Meyer Lemon Juice 32oz V3</t>
  </si>
  <si>
    <t>SYSCO LA Gln 4pk</t>
  </si>
  <si>
    <t>L1230LNV2</t>
  </si>
  <si>
    <t>Orange Juice Gln Nutrition Version 2</t>
  </si>
  <si>
    <t>Markon Lemon Juice HGln 6pk</t>
  </si>
  <si>
    <t>L1230LV3</t>
  </si>
  <si>
    <t>Orange Juice Gln Version 3</t>
  </si>
  <si>
    <t>SOI LA Cond 4+1 Gln 4pk</t>
  </si>
  <si>
    <t>SYSCO Lemon Juice HGln 6pk</t>
  </si>
  <si>
    <t>J9300</t>
  </si>
  <si>
    <t>LA 3+1 RTB</t>
  </si>
  <si>
    <t>L1230NV3</t>
  </si>
  <si>
    <t>Orange Juice HGln Version 3</t>
  </si>
  <si>
    <t>Cal Val OJ 6pk Hgln Rykoff Sexton</t>
  </si>
  <si>
    <t>Sum of $</t>
  </si>
  <si>
    <t>Column Labels</t>
  </si>
  <si>
    <t>AZ Total</t>
  </si>
  <si>
    <t>FL Total</t>
  </si>
  <si>
    <t>TX Total</t>
  </si>
  <si>
    <t>Grand Total</t>
  </si>
  <si>
    <t>Row Labels</t>
  </si>
  <si>
    <t>Total Sum of Qty</t>
  </si>
  <si>
    <t>Total Sum of $</t>
  </si>
  <si>
    <t>Sum of Qty</t>
  </si>
  <si>
    <t>FL AVG $</t>
  </si>
  <si>
    <t>AZ CHECK</t>
  </si>
  <si>
    <t>FL CHECK</t>
  </si>
  <si>
    <t>TX CHECK</t>
  </si>
  <si>
    <t>RM Total</t>
  </si>
  <si>
    <t>Packaging Total</t>
  </si>
  <si>
    <t>WIP Total</t>
  </si>
  <si>
    <t>FG Total</t>
  </si>
  <si>
    <t>Sun Orchard, LLC - FL Divisions</t>
  </si>
  <si>
    <t>Calculation of Inbound freight - Raw materials</t>
  </si>
  <si>
    <t>FLORIDA</t>
  </si>
  <si>
    <t>ARIZONA</t>
  </si>
  <si>
    <t>Units</t>
  </si>
  <si>
    <t>Inb frt per UM</t>
  </si>
  <si>
    <t>Inb freight value</t>
  </si>
  <si>
    <t>FL Last Month</t>
  </si>
  <si>
    <t>AZ Last Month</t>
  </si>
  <si>
    <t>PUR001D</t>
  </si>
  <si>
    <t>PUR002</t>
  </si>
  <si>
    <t>Rasp Puree Con 28 Brix</t>
  </si>
  <si>
    <t>PUR002CA</t>
  </si>
  <si>
    <t>PUR011</t>
  </si>
  <si>
    <t>PUR013</t>
  </si>
  <si>
    <t>Blueberry Puree</t>
  </si>
  <si>
    <t>PUR014</t>
  </si>
  <si>
    <t>Mango Magdalena Puree</t>
  </si>
  <si>
    <t>PUR015</t>
  </si>
  <si>
    <t>Mango Puree 16 Brix</t>
  </si>
  <si>
    <t>PUR016</t>
  </si>
  <si>
    <t>Banana Puree 23 Brix</t>
  </si>
  <si>
    <t>PUR020FRZ</t>
  </si>
  <si>
    <t>PUR021</t>
  </si>
  <si>
    <t>YL Cling Peach Puree SS</t>
  </si>
  <si>
    <t>PUR022</t>
  </si>
  <si>
    <t>Cranberry Puree SS</t>
  </si>
  <si>
    <t>PUR027</t>
  </si>
  <si>
    <t>Pink Guava Puree</t>
  </si>
  <si>
    <t>PUR028</t>
  </si>
  <si>
    <t>Dark Sweet Cherry Puree 30 Brix</t>
  </si>
  <si>
    <t>PUR030</t>
  </si>
  <si>
    <t>SS Purple Plum Puree 16 Brix</t>
  </si>
  <si>
    <t>PUR031</t>
  </si>
  <si>
    <t>Acai Puree 2 Brix</t>
  </si>
  <si>
    <t>PUR033</t>
  </si>
  <si>
    <t>Pineaple Puree 12 Brix</t>
  </si>
  <si>
    <t>PUR035</t>
  </si>
  <si>
    <t>Carrot Puree w/Citric Acid 8 Brix</t>
  </si>
  <si>
    <t>PUR035PA</t>
  </si>
  <si>
    <t>PUR036</t>
  </si>
  <si>
    <t>Frozen Ginger Puree R61 3.3 Brix</t>
  </si>
  <si>
    <t>PUR037</t>
  </si>
  <si>
    <t>Prickly Pear Puree 12 Brix</t>
  </si>
  <si>
    <t>PUR038</t>
  </si>
  <si>
    <t>Seedless Watermelon Puree</t>
  </si>
  <si>
    <t>PUR041</t>
  </si>
  <si>
    <t>Kale Puree</t>
  </si>
  <si>
    <t>PUR042</t>
  </si>
  <si>
    <t>Organic Blueberry Puree</t>
  </si>
  <si>
    <t>PUR043</t>
  </si>
  <si>
    <t>Organic Mango Puree</t>
  </si>
  <si>
    <t>PUR044</t>
  </si>
  <si>
    <t>Organic Strawberry Puree</t>
  </si>
  <si>
    <t>PUR045</t>
  </si>
  <si>
    <t>Spinach Puree</t>
  </si>
  <si>
    <t>PUR046H</t>
  </si>
  <si>
    <t>High Brix Aseptic Mango Puree</t>
  </si>
  <si>
    <t>PUR047</t>
  </si>
  <si>
    <t>Prickly Pear Puree 12 Brix - IMP</t>
  </si>
  <si>
    <t>PUR048</t>
  </si>
  <si>
    <t>Strw Puree 9 Brix - seedless - Mexican</t>
  </si>
  <si>
    <t>PUR050</t>
  </si>
  <si>
    <t>Prickly Pear Puree Blend 12 Brix - Dom/Imp</t>
  </si>
  <si>
    <t>PUR052</t>
  </si>
  <si>
    <t>High Color Blueberry Puree</t>
  </si>
  <si>
    <t>PUR053</t>
  </si>
  <si>
    <t>Unpasteurized Strawberry Puree</t>
  </si>
  <si>
    <t>PUR055</t>
  </si>
  <si>
    <t>Marion Blackberry Puree in PAILS</t>
  </si>
  <si>
    <t>PUR056</t>
  </si>
  <si>
    <t>Premium Imported Prickly Pear Puree</t>
  </si>
  <si>
    <t>CON003TK</t>
  </si>
  <si>
    <t>White Grape Juice Con Tanker Brix 68</t>
  </si>
  <si>
    <t>Sugar bags</t>
  </si>
  <si>
    <t>SWT004</t>
  </si>
  <si>
    <t>Organic Agave Syrup in Drums</t>
  </si>
  <si>
    <t>SWT008</t>
  </si>
  <si>
    <t>Evaporated Cane Juice bags</t>
  </si>
  <si>
    <t>Evaporated Cane Juice totes</t>
  </si>
  <si>
    <t>Total inb frt value</t>
  </si>
  <si>
    <t>Variance</t>
  </si>
  <si>
    <t>Freezer</t>
  </si>
  <si>
    <t>2 months + handling + freezing + unloading, per lbs</t>
  </si>
  <si>
    <t>Total freezer valuation</t>
  </si>
  <si>
    <t>Sun Orchard, LLC - AZ Divisions</t>
  </si>
  <si>
    <t>Calculation of Labor &amp; Overhead  - Work in Process</t>
  </si>
  <si>
    <t>Gallons</t>
  </si>
  <si>
    <t>Labor &amp; OH</t>
  </si>
  <si>
    <t>Inbound Freight</t>
  </si>
  <si>
    <t>Family</t>
  </si>
  <si>
    <t>Per GL</t>
  </si>
  <si>
    <t>Total</t>
  </si>
  <si>
    <t>Cost/Gallon</t>
  </si>
  <si>
    <t>Cost\Gallon or Drum</t>
  </si>
  <si>
    <t>Increase/(decrease) vs LM</t>
  </si>
  <si>
    <t>J3792</t>
  </si>
  <si>
    <t>Del Monte NFC Pineapple Juice</t>
  </si>
  <si>
    <t>Lemon</t>
  </si>
  <si>
    <t>J4042</t>
  </si>
  <si>
    <t>Lemon Juice in drums</t>
  </si>
  <si>
    <t>Fresh Frozen Lemon Juice drums</t>
  </si>
  <si>
    <t>J4045P</t>
  </si>
  <si>
    <t>Lemon Juice Plastic Drum</t>
  </si>
  <si>
    <t>J4045V</t>
  </si>
  <si>
    <t>Lemon Juice Drum 47 Glns</t>
  </si>
  <si>
    <t>J4047</t>
  </si>
  <si>
    <t>Lemon Juice Mexican Drum in Gallons</t>
  </si>
  <si>
    <t>J4055</t>
  </si>
  <si>
    <t>Mexico Lemon Juice Drum</t>
  </si>
  <si>
    <t>J4055P</t>
  </si>
  <si>
    <t>Mexico Lemon Juice Plastic Drum</t>
  </si>
  <si>
    <t>J4903</t>
  </si>
  <si>
    <t>Lemon Juice Spanish Aseptic Drum</t>
  </si>
  <si>
    <t>J4903DR</t>
  </si>
  <si>
    <t>Lemon Juice Aseptic Drum Spain</t>
  </si>
  <si>
    <t>J4101</t>
  </si>
  <si>
    <t>Meyer Lemon Juice USA Drum</t>
  </si>
  <si>
    <t>J4145</t>
  </si>
  <si>
    <t>Meyer Lemon Drums</t>
  </si>
  <si>
    <t>J6145</t>
  </si>
  <si>
    <t>Key Lime Juice Drums</t>
  </si>
  <si>
    <t>Lime</t>
  </si>
  <si>
    <t>J6145P</t>
  </si>
  <si>
    <t>Key Lime Juice Plastic Drum</t>
  </si>
  <si>
    <t>J6900</t>
  </si>
  <si>
    <t>Lime Drums</t>
  </si>
  <si>
    <t>J6900P</t>
  </si>
  <si>
    <t>Lime Juice Plastic Drums</t>
  </si>
  <si>
    <t>J6910</t>
  </si>
  <si>
    <t>Lime Juice Tote</t>
  </si>
  <si>
    <t>J6921</t>
  </si>
  <si>
    <t>Fresh Lime Juice drum</t>
  </si>
  <si>
    <t>J7300</t>
  </si>
  <si>
    <t>OJ Mixed Drum</t>
  </si>
  <si>
    <t>J7901</t>
  </si>
  <si>
    <t>SOF Valencia OJ Drums</t>
  </si>
  <si>
    <t>J7700</t>
  </si>
  <si>
    <t>Debittered Navel OJ  Drum</t>
  </si>
  <si>
    <t>J7800</t>
  </si>
  <si>
    <t>Sumo Tangerine Juice Drum</t>
  </si>
  <si>
    <t>J7900</t>
  </si>
  <si>
    <t>POJ Drum</t>
  </si>
  <si>
    <t>J7903</t>
  </si>
  <si>
    <t>OJ Kinnow Drum</t>
  </si>
  <si>
    <t>J7904</t>
  </si>
  <si>
    <t>Val Juice Drum</t>
  </si>
  <si>
    <t>J7904P</t>
  </si>
  <si>
    <t>OJ CA/AZ Valencia Plastic Drum</t>
  </si>
  <si>
    <t>J7901F</t>
  </si>
  <si>
    <t>J7901P</t>
  </si>
  <si>
    <t>OJ Valencia Plastic Drum</t>
  </si>
  <si>
    <t>J7905</t>
  </si>
  <si>
    <t>OJ Sweets Drum</t>
  </si>
  <si>
    <t>J7907</t>
  </si>
  <si>
    <t>OJ Mex Valencia Drum</t>
  </si>
  <si>
    <t>J7907P</t>
  </si>
  <si>
    <t>J7908</t>
  </si>
  <si>
    <t>OJ SG Valencia Drum</t>
  </si>
  <si>
    <t>OJ CA Valencia Extraction Drum in Gallons</t>
  </si>
  <si>
    <t>J7920</t>
  </si>
  <si>
    <t>OJ Early Mid Drum</t>
  </si>
  <si>
    <t>J7952</t>
  </si>
  <si>
    <t>Tang Juice Drum</t>
  </si>
  <si>
    <t>J8505</t>
  </si>
  <si>
    <t>Grapefruit Juice Mexican Internal Drum</t>
  </si>
  <si>
    <t>Gft</t>
  </si>
  <si>
    <t>J8550</t>
  </si>
  <si>
    <t>ULP GFT Drum</t>
  </si>
  <si>
    <t>J8550P</t>
  </si>
  <si>
    <t>Gft Plastic Drum</t>
  </si>
  <si>
    <t>J8551</t>
  </si>
  <si>
    <t>Gft Drum Southern Gardens</t>
  </si>
  <si>
    <t>J8552</t>
  </si>
  <si>
    <t>CA Rio Red Gft Drums</t>
  </si>
  <si>
    <t>J3926</t>
  </si>
  <si>
    <t>Fuji Apple Juice Drums</t>
  </si>
  <si>
    <t>Outside</t>
  </si>
  <si>
    <t>J3901</t>
  </si>
  <si>
    <t>Apple Cider Drum</t>
  </si>
  <si>
    <t>J1301</t>
  </si>
  <si>
    <t>Kroger 5+1 Tropical Premix Juice</t>
  </si>
  <si>
    <t>J1330</t>
  </si>
  <si>
    <t>MM Reduced Sugar &amp; added Fiber Mango Smoothie Blend</t>
  </si>
  <si>
    <t>J1390</t>
  </si>
  <si>
    <t>Kroger 6+1 Blueberry Lavender Black Tea</t>
  </si>
  <si>
    <t>J1953</t>
  </si>
  <si>
    <t>5+1 Prickly Pear, Hib,Lime Agua Fresca NSA</t>
  </si>
  <si>
    <t>J2702</t>
  </si>
  <si>
    <t>Panera Mango Base w/Vitamins</t>
  </si>
  <si>
    <t>J2705</t>
  </si>
  <si>
    <t>Panera Strw Base W/Vit</t>
  </si>
  <si>
    <t>J2712</t>
  </si>
  <si>
    <t>Peach Mango Base</t>
  </si>
  <si>
    <t>J2743</t>
  </si>
  <si>
    <t>Panera Strw Base w/o ginseng</t>
  </si>
  <si>
    <t>J2744</t>
  </si>
  <si>
    <t>Panera Superfruit Power Fruit Base w/o ginseng</t>
  </si>
  <si>
    <t>J2750</t>
  </si>
  <si>
    <t>Panera Spiced Carrot Base</t>
  </si>
  <si>
    <t>J2753</t>
  </si>
  <si>
    <t>Panera Strawberry Base W\Vitamins NSA</t>
  </si>
  <si>
    <t>J3000</t>
  </si>
  <si>
    <t>100% Pineapple Juice w/ Ascorbic - Del Monte</t>
  </si>
  <si>
    <t>J6517</t>
  </si>
  <si>
    <t>Panera RTU Cheery Limeade Premix</t>
  </si>
  <si>
    <t>J2711</t>
  </si>
  <si>
    <t>Carrot Mango Base with Ginger</t>
  </si>
  <si>
    <t>J2709</t>
  </si>
  <si>
    <t>Panera Wildberry Fruit Base</t>
  </si>
  <si>
    <t>J1901</t>
  </si>
  <si>
    <t>Blood Orange Berry Fruit Water Base</t>
  </si>
  <si>
    <t>J1905</t>
  </si>
  <si>
    <t>Pineapple Coconut 5+1 Fruit Water</t>
  </si>
  <si>
    <t>J1906</t>
  </si>
  <si>
    <t>Lemon Limeade Fruit Water Base</t>
  </si>
  <si>
    <t>J2740</t>
  </si>
  <si>
    <t>Tomato Vegetable &amp; Fruit Base</t>
  </si>
  <si>
    <t>J2741</t>
  </si>
  <si>
    <t>Kale Vegetable &amp; Fruit Base</t>
  </si>
  <si>
    <t>J3201</t>
  </si>
  <si>
    <t>Apple Cider</t>
  </si>
  <si>
    <t>Fruit Smart Apple Juice</t>
  </si>
  <si>
    <t>J3426</t>
  </si>
  <si>
    <t>Fuji Apple Juice</t>
  </si>
  <si>
    <t>J3791</t>
  </si>
  <si>
    <t>FZN NFC Pineapple Juice</t>
  </si>
  <si>
    <t>J3800</t>
  </si>
  <si>
    <t>Non flitered Past NFC Pear Juice</t>
  </si>
  <si>
    <t>J3900</t>
  </si>
  <si>
    <t>NFC Cranberry Juice</t>
  </si>
  <si>
    <t xml:space="preserve"> Past Lemon Juice WIP RTB</t>
  </si>
  <si>
    <t>J4001B</t>
  </si>
  <si>
    <t>J4003DR</t>
  </si>
  <si>
    <t>Lemon Juice NFC Frozen Drum Spain</t>
  </si>
  <si>
    <t>J4004</t>
  </si>
  <si>
    <t>Extracted/Topnote Bulk Lemon Juice</t>
  </si>
  <si>
    <t>J4004DR</t>
  </si>
  <si>
    <t>Lemon Juice NFC Aseptic Drum Egypt</t>
  </si>
  <si>
    <t>J4005</t>
  </si>
  <si>
    <t>Lemon Juice From Concentrate</t>
  </si>
  <si>
    <t>J4006</t>
  </si>
  <si>
    <t>Lemon Juice - High titrable acid &gt;4.8</t>
  </si>
  <si>
    <t>J4021</t>
  </si>
  <si>
    <t>Wip Low Temp Lemon Juice</t>
  </si>
  <si>
    <t>J4021B</t>
  </si>
  <si>
    <t>Lemon Juice Low Temp</t>
  </si>
  <si>
    <t>Meyer Lemon Juice</t>
  </si>
  <si>
    <t>J4103</t>
  </si>
  <si>
    <t>Meyer Lemon Juice Blend - 25%</t>
  </si>
  <si>
    <t>J4104</t>
  </si>
  <si>
    <t>Meyer Lemon Juice 90%/10% Blend</t>
  </si>
  <si>
    <t>J4517</t>
  </si>
  <si>
    <t>Sweetened Lemon Juice</t>
  </si>
  <si>
    <t>J4528</t>
  </si>
  <si>
    <t>Lemon sweet</t>
  </si>
  <si>
    <t>J5060</t>
  </si>
  <si>
    <t>Marg Red Lobster 3+1</t>
  </si>
  <si>
    <t>J5005</t>
  </si>
  <si>
    <t>Marg 3+1</t>
  </si>
  <si>
    <t>J5014</t>
  </si>
  <si>
    <t>Rykoff Sexton Marg Mix</t>
  </si>
  <si>
    <t>J5200</t>
  </si>
  <si>
    <t>Citrus Bar Mix 1+1</t>
  </si>
  <si>
    <t>J5204</t>
  </si>
  <si>
    <t>Sweet &amp; Sour Mix 3+1</t>
  </si>
  <si>
    <t>J5207</t>
  </si>
  <si>
    <t>Lemon Sour</t>
  </si>
  <si>
    <t>J5285</t>
  </si>
  <si>
    <t>Mango RB</t>
  </si>
  <si>
    <t>J5430</t>
  </si>
  <si>
    <t>Sweet &amp; Sour RB</t>
  </si>
  <si>
    <t>J5805</t>
  </si>
  <si>
    <t>Lemon Lime Juice</t>
  </si>
  <si>
    <t>30% Lemon 70% Lime Juice</t>
  </si>
  <si>
    <t>J5815</t>
  </si>
  <si>
    <t>50/50 Lemon Lime Juice</t>
  </si>
  <si>
    <t>Lime Juice Tote in Gallons</t>
  </si>
  <si>
    <t>Lime Juice Tanker</t>
  </si>
  <si>
    <t>Lime Juice Ultra LT Past WIP</t>
  </si>
  <si>
    <t>J6001B</t>
  </si>
  <si>
    <t>Lime Juice Internal Drum</t>
  </si>
  <si>
    <t>J6101</t>
  </si>
  <si>
    <t>Key Lime Juice</t>
  </si>
  <si>
    <t>J6105</t>
  </si>
  <si>
    <t>Key Lime Juice from Concentrate</t>
  </si>
  <si>
    <t>J6150</t>
  </si>
  <si>
    <t>Key lime juice drum (50 Gln)</t>
  </si>
  <si>
    <t>J6592</t>
  </si>
  <si>
    <t>Limeade 3+1 Blend</t>
  </si>
  <si>
    <t>J6596</t>
  </si>
  <si>
    <t>Watermelon Limeade</t>
  </si>
  <si>
    <t>J6903</t>
  </si>
  <si>
    <t>Lime Juice Drum</t>
  </si>
  <si>
    <t>J7004</t>
  </si>
  <si>
    <t>Seville OJ</t>
  </si>
  <si>
    <t>J7007</t>
  </si>
  <si>
    <t>OJ WIP - Minneloas</t>
  </si>
  <si>
    <t>OJ WIP - Valencia</t>
  </si>
  <si>
    <t>J7015</t>
  </si>
  <si>
    <t>OJ WIP - Sweets</t>
  </si>
  <si>
    <t>J7017</t>
  </si>
  <si>
    <t>OJ WIP - Orlando</t>
  </si>
  <si>
    <t>J7021</t>
  </si>
  <si>
    <t>Tangerine Juice</t>
  </si>
  <si>
    <t>J7022</t>
  </si>
  <si>
    <t>Tangerine</t>
  </si>
  <si>
    <t>J7022DB</t>
  </si>
  <si>
    <t>J7023</t>
  </si>
  <si>
    <t>Clementine Tangerine Juice</t>
  </si>
  <si>
    <t>J7208</t>
  </si>
  <si>
    <t>OJ Mexican Valencia</t>
  </si>
  <si>
    <t>J7041</t>
  </si>
  <si>
    <t>OJ Mex Juice</t>
  </si>
  <si>
    <t>J7042</t>
  </si>
  <si>
    <t>OJ FL Juice</t>
  </si>
  <si>
    <t>J7044</t>
  </si>
  <si>
    <t>Fresh Early Mid Tanker Juice</t>
  </si>
  <si>
    <t>J7045</t>
  </si>
  <si>
    <t>OJ SG VALENCIA</t>
  </si>
  <si>
    <t>J7046</t>
  </si>
  <si>
    <t>OJ FL Juice POJ40</t>
  </si>
  <si>
    <t>OJ Mexican Valencia in totes</t>
  </si>
  <si>
    <t xml:space="preserve"> NFC Orange Mexican Top Note</t>
  </si>
  <si>
    <t>J7442</t>
  </si>
  <si>
    <t>California Valencia OJ No Pulp</t>
  </si>
  <si>
    <t>Ultra Lite Past OJ RTB</t>
  </si>
  <si>
    <t>J7500B</t>
  </si>
  <si>
    <t>J7501</t>
  </si>
  <si>
    <t>OJ Valencia</t>
  </si>
  <si>
    <t>J7507</t>
  </si>
  <si>
    <t>Debittered Navel OJ USA Tanker</t>
  </si>
  <si>
    <t>J7510</t>
  </si>
  <si>
    <t>OJ Enhanced</t>
  </si>
  <si>
    <t>J7542</t>
  </si>
  <si>
    <t>NFC Valencia Tanker</t>
  </si>
  <si>
    <t>Past OJ No Pulp RTB</t>
  </si>
  <si>
    <t>J7540B</t>
  </si>
  <si>
    <t>J7541</t>
  </si>
  <si>
    <t>Pur OJ Val Tnkr Mex</t>
  </si>
  <si>
    <t>J7570</t>
  </si>
  <si>
    <t>OSSI PULPY OJ WIP</t>
  </si>
  <si>
    <t>J7570B</t>
  </si>
  <si>
    <t>J7823</t>
  </si>
  <si>
    <t>Wendy's OJ 3+1</t>
  </si>
  <si>
    <t>J7902</t>
  </si>
  <si>
    <t>J7902P</t>
  </si>
  <si>
    <t>OJ Early Mid Plastic Drum</t>
  </si>
  <si>
    <t>J7917</t>
  </si>
  <si>
    <t>Citrofruit Valencia Tote</t>
  </si>
  <si>
    <t>J8040</t>
  </si>
  <si>
    <t>Red Gft Juice NFC Tanker</t>
  </si>
  <si>
    <t>J8502</t>
  </si>
  <si>
    <t>CA Rio Red Gft</t>
  </si>
  <si>
    <t>J8500</t>
  </si>
  <si>
    <t>J8500B</t>
  </si>
  <si>
    <t>J8503</t>
  </si>
  <si>
    <t>St Mary Gft</t>
  </si>
  <si>
    <t>Texas Rio Red Grapefruit Juice</t>
  </si>
  <si>
    <t>J8553</t>
  </si>
  <si>
    <t>SMFB Gft Drums</t>
  </si>
  <si>
    <t>J8903P</t>
  </si>
  <si>
    <t>SMFB Gft Plastic Drum</t>
  </si>
  <si>
    <t>J9038</t>
  </si>
  <si>
    <t>Panera Agave LA RTU</t>
  </si>
  <si>
    <t>J9140</t>
  </si>
  <si>
    <t>LA 5+1</t>
  </si>
  <si>
    <t>J9144</t>
  </si>
  <si>
    <t>Panera 5+1 Agave LA Cond</t>
  </si>
  <si>
    <t>J9145</t>
  </si>
  <si>
    <t>3+1 Blood Orange Carrot LA</t>
  </si>
  <si>
    <t>J9161</t>
  </si>
  <si>
    <t>Cheesecake Lemon Sunburst LA Base</t>
  </si>
  <si>
    <t>J9163</t>
  </si>
  <si>
    <t>Panera 5+1 Agave LA Cond Alt Spec 3</t>
  </si>
  <si>
    <t>J9250</t>
  </si>
  <si>
    <t>LA 2+1 RTB</t>
  </si>
  <si>
    <t>J9226</t>
  </si>
  <si>
    <t>LA Jamba 2.51+1</t>
  </si>
  <si>
    <t>J9035</t>
  </si>
  <si>
    <t>Panera Lemonades RTU</t>
  </si>
  <si>
    <t>J9334</t>
  </si>
  <si>
    <t>Rykoff Sexton Prickly Pear Lemonade</t>
  </si>
  <si>
    <t>J9405</t>
  </si>
  <si>
    <t>LA Fatburger 4+1 RTB</t>
  </si>
  <si>
    <t>J9324</t>
  </si>
  <si>
    <t>Meyer Straw LA</t>
  </si>
  <si>
    <t>J9410</t>
  </si>
  <si>
    <t>Old Fashioned Lemonade Mix</t>
  </si>
  <si>
    <t>J9456</t>
  </si>
  <si>
    <t>3+1 Sweet Strw LA FZN</t>
  </si>
  <si>
    <t>J9500</t>
  </si>
  <si>
    <t>LA 5+1 RTB</t>
  </si>
  <si>
    <t>J9510</t>
  </si>
  <si>
    <t>LA Charley's 5+1 RTB</t>
  </si>
  <si>
    <t>J9610</t>
  </si>
  <si>
    <t>LA Strw RTB</t>
  </si>
  <si>
    <t>J9664</t>
  </si>
  <si>
    <t>J9823</t>
  </si>
  <si>
    <t>J9824</t>
  </si>
  <si>
    <t>J9834</t>
  </si>
  <si>
    <t>Golden Corral Diet LA 2+1</t>
  </si>
  <si>
    <t>Total RTB</t>
  </si>
  <si>
    <t xml:space="preserve"> </t>
  </si>
  <si>
    <t>GL CHANGE</t>
  </si>
  <si>
    <t>GL:</t>
  </si>
  <si>
    <t>GFT</t>
  </si>
  <si>
    <t xml:space="preserve">  </t>
  </si>
  <si>
    <t>NEED TO BE 0</t>
  </si>
  <si>
    <t>WIP for DL&amp;OH calculation</t>
  </si>
  <si>
    <t>Calculation of Labor &amp; Overhead - Work in Process</t>
  </si>
  <si>
    <t>OJ &amp; Gft</t>
  </si>
  <si>
    <t>Cost\Gallon</t>
  </si>
  <si>
    <t>Total Change</t>
  </si>
  <si>
    <t>Lemon Juice-Spanish Aseptic Bins in gal</t>
  </si>
  <si>
    <t>J4007</t>
  </si>
  <si>
    <t>Lemon Juice-Brazilian Aseptic Bins in gal</t>
  </si>
  <si>
    <t>J4008</t>
  </si>
  <si>
    <t>Lemon Juice-Mexican Aseptic Bins in gal</t>
  </si>
  <si>
    <t>J4900</t>
  </si>
  <si>
    <t>J4900F</t>
  </si>
  <si>
    <t>J4900M</t>
  </si>
  <si>
    <t>Mexican Lemon Juice Drum</t>
  </si>
  <si>
    <t>J4900MP</t>
  </si>
  <si>
    <t>Mexican Lemon Juice Plastic Drum</t>
  </si>
  <si>
    <t>J4900P</t>
  </si>
  <si>
    <t>J4902</t>
  </si>
  <si>
    <t>Lemon Juice Brazilian Drum</t>
  </si>
  <si>
    <t>Meyer Lemon Drum</t>
  </si>
  <si>
    <t>J4920</t>
  </si>
  <si>
    <t>Raw Mexican Lemon Drums</t>
  </si>
  <si>
    <t>J4920M</t>
  </si>
  <si>
    <t>Raw Italian Lemon Drums</t>
  </si>
  <si>
    <t>Key Lime Juice Drum (50GLN)</t>
  </si>
  <si>
    <t>Lime Juice Drums</t>
  </si>
  <si>
    <t>J6900F</t>
  </si>
  <si>
    <t>J6920P</t>
  </si>
  <si>
    <t>Fresh Lime Juice Plastice Drum</t>
  </si>
  <si>
    <t>Tangerine Juice debittered</t>
  </si>
  <si>
    <t>J7024DB</t>
  </si>
  <si>
    <t>Dancy Tangerine Juice debittered</t>
  </si>
  <si>
    <t>J7025</t>
  </si>
  <si>
    <t>Honey Tangerine Juice</t>
  </si>
  <si>
    <t>J7025DB</t>
  </si>
  <si>
    <t>Honey Tangerine Juice debittered</t>
  </si>
  <si>
    <t>J7026</t>
  </si>
  <si>
    <t>Sunburst Tangerine Juice</t>
  </si>
  <si>
    <t>J7026DB</t>
  </si>
  <si>
    <t>Sunburst Tangerine Juice debittered</t>
  </si>
  <si>
    <t>J7027</t>
  </si>
  <si>
    <t>Temple Tangerine Juice</t>
  </si>
  <si>
    <t>J7027DB</t>
  </si>
  <si>
    <t>Temple Tangerine Juice debittered</t>
  </si>
  <si>
    <t>J7030DB</t>
  </si>
  <si>
    <t>Tangerine Other Varieties Juice Blend</t>
  </si>
  <si>
    <t>Navel</t>
  </si>
  <si>
    <t>J7900F</t>
  </si>
  <si>
    <t>J7900P</t>
  </si>
  <si>
    <t>POJ Plastic Drum</t>
  </si>
  <si>
    <t>Past OJ Drums</t>
  </si>
  <si>
    <t>J7901FFP</t>
  </si>
  <si>
    <t>Fresh Frozen OJ Valencia Plastic Drum</t>
  </si>
  <si>
    <t>J7902F</t>
  </si>
  <si>
    <t>OJ Val SG Drum</t>
  </si>
  <si>
    <t>J7905F</t>
  </si>
  <si>
    <t>OJ Valencia SG Drum</t>
  </si>
  <si>
    <t>J7913</t>
  </si>
  <si>
    <t>NFC Orange Mexican Top Note Internal Drum</t>
  </si>
  <si>
    <t>Top Note</t>
  </si>
  <si>
    <t>J7922</t>
  </si>
  <si>
    <t>Panera Valencia OJ Drums</t>
  </si>
  <si>
    <t>J7952P</t>
  </si>
  <si>
    <t>Past Tang Plastic Drum</t>
  </si>
  <si>
    <t>J7952F</t>
  </si>
  <si>
    <t xml:space="preserve">Past Tang Drum </t>
  </si>
  <si>
    <t>J7953</t>
  </si>
  <si>
    <t>Kinnnow Juice Drum</t>
  </si>
  <si>
    <t>Grapefruit</t>
  </si>
  <si>
    <t>J8950F</t>
  </si>
  <si>
    <t>GFT Drums</t>
  </si>
  <si>
    <t>J8950P</t>
  </si>
  <si>
    <t>J89508</t>
  </si>
  <si>
    <t>Gft Drums</t>
  </si>
  <si>
    <t>J39268</t>
  </si>
  <si>
    <t>Fuji Apple Drums</t>
  </si>
  <si>
    <t>Other</t>
  </si>
  <si>
    <t>J3926F</t>
  </si>
  <si>
    <t>J60018</t>
  </si>
  <si>
    <t>Lime Rework Drum</t>
  </si>
  <si>
    <t>Total Frozen WIP</t>
  </si>
  <si>
    <t>J1256</t>
  </si>
  <si>
    <t>Lidl Green Smoothie Blend</t>
  </si>
  <si>
    <t>J1257</t>
  </si>
  <si>
    <t>Lidl Blue Smoothie Blend</t>
  </si>
  <si>
    <t>J1258</t>
  </si>
  <si>
    <t>Lidl Mango Smoothie Blend</t>
  </si>
  <si>
    <t>J1259</t>
  </si>
  <si>
    <t>Lidl Straw Banana Smoothie Blend</t>
  </si>
  <si>
    <t>J1300</t>
  </si>
  <si>
    <t>Kroger 5+1 Calypso Breeze Juice</t>
  </si>
  <si>
    <t>J1302</t>
  </si>
  <si>
    <t>Kroger 5+1 Citrus Premix Juice</t>
  </si>
  <si>
    <t>J1309</t>
  </si>
  <si>
    <t>Simple Truth 100% Fruit Smoothie Great Greens</t>
  </si>
  <si>
    <t>J1327</t>
  </si>
  <si>
    <t>MM Reduced Sugar &amp; added Fiber Mixed Berries Smoothie Blend</t>
  </si>
  <si>
    <t>J1329</t>
  </si>
  <si>
    <t>MM Reduced Sugar &amp; added Fiber Green Smoothie Blend</t>
  </si>
  <si>
    <t>J1332</t>
  </si>
  <si>
    <t>MM Reduced Sugar &amp; added Fiber Green Smoothie Blend V2</t>
  </si>
  <si>
    <t>J1701</t>
  </si>
  <si>
    <t>Cava Blueberry Lavender Puree</t>
  </si>
  <si>
    <t>J2602</t>
  </si>
  <si>
    <t>Organic Beet &amp; Berry w/ Chia</t>
  </si>
  <si>
    <t>J2603</t>
  </si>
  <si>
    <t>Organic Chia Berry</t>
  </si>
  <si>
    <t>J2604</t>
  </si>
  <si>
    <t>Organic Orange Mango Carrot</t>
  </si>
  <si>
    <t>J2605</t>
  </si>
  <si>
    <t>Organic Ginseng Mango</t>
  </si>
  <si>
    <t>J2701</t>
  </si>
  <si>
    <t>Panera Mango Base</t>
  </si>
  <si>
    <t>Panera Mango Base W\Vitamins</t>
  </si>
  <si>
    <t>J2704</t>
  </si>
  <si>
    <t>Strw Base</t>
  </si>
  <si>
    <t>Panera Strw Base W\Vitamins</t>
  </si>
  <si>
    <t>J2707</t>
  </si>
  <si>
    <t>Panera Black Cherry Base w/Vit</t>
  </si>
  <si>
    <t>J2737</t>
  </si>
  <si>
    <t>Panera Superfruit Power Fruit Base</t>
  </si>
  <si>
    <t>Panera Wildberry Base</t>
  </si>
  <si>
    <t>J2745</t>
  </si>
  <si>
    <t>Blueberry Pom Fruit Base with Coconut cream</t>
  </si>
  <si>
    <t>J2802</t>
  </si>
  <si>
    <t>Pomegranate Blueberry Juice</t>
  </si>
  <si>
    <t>J2811</t>
  </si>
  <si>
    <t>Strawberry Chia</t>
  </si>
  <si>
    <t>J2829</t>
  </si>
  <si>
    <t>Lidl Pomegranate Juice Blend</t>
  </si>
  <si>
    <t>J3100</t>
  </si>
  <si>
    <t>Pineapple Mango Juice</t>
  </si>
  <si>
    <t>J3402</t>
  </si>
  <si>
    <t>Apple Juice Drums</t>
  </si>
  <si>
    <t>NFC Pineapple Juice</t>
  </si>
  <si>
    <t>Non filtered past NFC Pear Juice</t>
  </si>
  <si>
    <t>J3801</t>
  </si>
  <si>
    <t>Noble Organic Apple Juice</t>
  </si>
  <si>
    <t>Fuji Apple Drum</t>
  </si>
  <si>
    <t>Past Lemon Juice WIP</t>
  </si>
  <si>
    <t>J4002</t>
  </si>
  <si>
    <t>NFC Frozen Lemon Brazil</t>
  </si>
  <si>
    <t>J4040TT380GL</t>
  </si>
  <si>
    <t>Meyer Lemon Juice Blend-25%</t>
  </si>
  <si>
    <t>J4200</t>
  </si>
  <si>
    <t>Lemon Juice From Con</t>
  </si>
  <si>
    <t>J4903GL</t>
  </si>
  <si>
    <t>Lemon Juice Spanish Aseptic Drum, UoM Gln</t>
  </si>
  <si>
    <t>Marg Mix Reg WIP RTB</t>
  </si>
  <si>
    <t>J5003</t>
  </si>
  <si>
    <t>LEMON LIME SOUR MIX</t>
  </si>
  <si>
    <t>J5024</t>
  </si>
  <si>
    <t>Rykoff Sexton Mango Marg Mix</t>
  </si>
  <si>
    <t>J5420ME</t>
  </si>
  <si>
    <t>Marg RB ME</t>
  </si>
  <si>
    <t>Marg Red Lob 3+1</t>
  </si>
  <si>
    <t>Sweet &amp; Sout Mix 3+1</t>
  </si>
  <si>
    <t>J5400</t>
  </si>
  <si>
    <t>Strw RB</t>
  </si>
  <si>
    <t>70% Lime Juice 30% Lemon</t>
  </si>
  <si>
    <t>Panera RTU Cherry Limeade Premix</t>
  </si>
  <si>
    <t>Lime Juice WIP RTB</t>
  </si>
  <si>
    <t>J6005</t>
  </si>
  <si>
    <t>Lime Juice from Concentrate</t>
  </si>
  <si>
    <t>Key Lime Juice from Conc</t>
  </si>
  <si>
    <t>J6041</t>
  </si>
  <si>
    <t>Lime Juice Tanker Brazil</t>
  </si>
  <si>
    <t xml:space="preserve">Key Lime Juice  </t>
  </si>
  <si>
    <t>J6140</t>
  </si>
  <si>
    <t>Key Lime Juice Tanker</t>
  </si>
  <si>
    <t>J6217</t>
  </si>
  <si>
    <t>Sweet lime base</t>
  </si>
  <si>
    <t>Limeade 3+1</t>
  </si>
  <si>
    <t>J7008</t>
  </si>
  <si>
    <t>Brazilian OJ Tanker</t>
  </si>
  <si>
    <t>OJ SG</t>
  </si>
  <si>
    <t>J7047</t>
  </si>
  <si>
    <t>OJ FL Juice POJ41 East Coast Orange Juice Blend</t>
  </si>
  <si>
    <t>J7050</t>
  </si>
  <si>
    <t>OJ for Panera AL POJ02</t>
  </si>
  <si>
    <t>J7350</t>
  </si>
  <si>
    <t>Noble Tangerine Guava Mango Juice</t>
  </si>
  <si>
    <t>J7360</t>
  </si>
  <si>
    <t>Noble Royal Mandarin Green</t>
  </si>
  <si>
    <t>J7400</t>
  </si>
  <si>
    <t>Noble Blood Orange Juice</t>
  </si>
  <si>
    <t>J7410</t>
  </si>
  <si>
    <t>OJ Organic Tang</t>
  </si>
  <si>
    <t>J7415</t>
  </si>
  <si>
    <t>100% Valencia Orange Juice</t>
  </si>
  <si>
    <t>J7426</t>
  </si>
  <si>
    <t>Organic Sunburst Tangerine Juice</t>
  </si>
  <si>
    <t>J7502</t>
  </si>
  <si>
    <t>OJ  Early Mid</t>
  </si>
  <si>
    <t>J7511</t>
  </si>
  <si>
    <t>Tang Juice</t>
  </si>
  <si>
    <t>No Pulp OJ</t>
  </si>
  <si>
    <t>OJ Mexican Juice</t>
  </si>
  <si>
    <t>J7550</t>
  </si>
  <si>
    <t>OJ Valencia Juice</t>
  </si>
  <si>
    <t>OJ Extra Pulp</t>
  </si>
  <si>
    <t>J7580</t>
  </si>
  <si>
    <t>NOBLE OJ BLEND</t>
  </si>
  <si>
    <t>J7600</t>
  </si>
  <si>
    <t>Noble Organic Orange Juice</t>
  </si>
  <si>
    <t>J7602</t>
  </si>
  <si>
    <t>Organic Orange Tangerine Juice</t>
  </si>
  <si>
    <t>J7751</t>
  </si>
  <si>
    <t>Zing Tangerine Blend</t>
  </si>
  <si>
    <t>J7850</t>
  </si>
  <si>
    <t>Noble Tangerine Juice</t>
  </si>
  <si>
    <t>J7851</t>
  </si>
  <si>
    <t>Noble Tang Clementine Blend</t>
  </si>
  <si>
    <t>J7852</t>
  </si>
  <si>
    <t>Noble Tangerine Clementine w/ Dancy oil</t>
  </si>
  <si>
    <t>Wendy's Orange Juice 3+1</t>
  </si>
  <si>
    <t>Lime/OJ blend drums</t>
  </si>
  <si>
    <t>OJ Valencia AZ</t>
  </si>
  <si>
    <t>Red Grapefruit Juice NFC Tanker</t>
  </si>
  <si>
    <t>J8270</t>
  </si>
  <si>
    <t>Extra Pulp Gft</t>
  </si>
  <si>
    <t>J8414</t>
  </si>
  <si>
    <t>Indian River Red Gft Juice</t>
  </si>
  <si>
    <t>J8414DB</t>
  </si>
  <si>
    <t>Indian River Red Gft Juice debittered</t>
  </si>
  <si>
    <t>J8415</t>
  </si>
  <si>
    <t>Florida Red Grapefruit Juice</t>
  </si>
  <si>
    <t>J8415PA</t>
  </si>
  <si>
    <t>Florida Red Grapefruit Juice 5 GL Pail</t>
  </si>
  <si>
    <t>Ultra Lite Past RGFT RTB WIP</t>
  </si>
  <si>
    <t>J8500DB</t>
  </si>
  <si>
    <t>Red Grapefruit Juice debittered</t>
  </si>
  <si>
    <t>J8501</t>
  </si>
  <si>
    <t>Gft Organic</t>
  </si>
  <si>
    <t>Grapefruit Juice Internal Drum</t>
  </si>
  <si>
    <t>J8554</t>
  </si>
  <si>
    <t>Red Grapefruit Juice Rykoff Sexton Blend</t>
  </si>
  <si>
    <t>Panera LA RTU</t>
  </si>
  <si>
    <t>J9001</t>
  </si>
  <si>
    <t>Past LA RTB</t>
  </si>
  <si>
    <t>J9105</t>
  </si>
  <si>
    <t>Captain D's 4+1 LA</t>
  </si>
  <si>
    <t>J9112</t>
  </si>
  <si>
    <t>Sweetened Lemon Juice Blend</t>
  </si>
  <si>
    <t xml:space="preserve">LA 5+1   </t>
  </si>
  <si>
    <t>J9143</t>
  </si>
  <si>
    <t>Panera 4+1 Agave LA Cond</t>
  </si>
  <si>
    <t>J9222</t>
  </si>
  <si>
    <t>Jamba LA</t>
  </si>
  <si>
    <t>J9225</t>
  </si>
  <si>
    <t>LA Jamba 1+1</t>
  </si>
  <si>
    <t>J9251</t>
  </si>
  <si>
    <t>LA Back Yard Burger 2+1 RTB</t>
  </si>
  <si>
    <t>Meyer Strw LA</t>
  </si>
  <si>
    <t>LA Jamba 2.5+1</t>
  </si>
  <si>
    <t>J9314M</t>
  </si>
  <si>
    <t>J9415</t>
  </si>
  <si>
    <t>LA OSSI 4+1 RTB</t>
  </si>
  <si>
    <t>J9450</t>
  </si>
  <si>
    <t>LA J&amp;J</t>
  </si>
  <si>
    <t>LA 5+1 TRB</t>
  </si>
  <si>
    <t>J9517</t>
  </si>
  <si>
    <t>Panera Stw La Mix RTU</t>
  </si>
  <si>
    <t>J9142</t>
  </si>
  <si>
    <t>Panera LA 5+1</t>
  </si>
  <si>
    <t>J9600</t>
  </si>
  <si>
    <t>Golden Corral LA 2+1</t>
  </si>
  <si>
    <t>J9900</t>
  </si>
  <si>
    <t>Noble Organic Lemonade</t>
  </si>
  <si>
    <t>J9902</t>
  </si>
  <si>
    <t>Organic Mint Lemonade with Aloe</t>
  </si>
  <si>
    <t>Total RTB and Frozen WIP</t>
  </si>
  <si>
    <t>Freight in</t>
  </si>
  <si>
    <t>Update monthly</t>
  </si>
  <si>
    <t>Eval and update this every month based on which OJ skus has IB freight</t>
  </si>
  <si>
    <t>J7099/J7913</t>
  </si>
  <si>
    <t>Debittered Navel</t>
  </si>
  <si>
    <t>J7512/J7507</t>
  </si>
  <si>
    <t>Apple</t>
  </si>
  <si>
    <t xml:space="preserve"> x 0 =</t>
  </si>
  <si>
    <t>Total GL</t>
  </si>
  <si>
    <t>Change vs LM</t>
  </si>
  <si>
    <t>For Cap:</t>
  </si>
  <si>
    <t>vs last month:</t>
  </si>
  <si>
    <t>Freezer Cost</t>
  </si>
  <si>
    <t>.</t>
  </si>
  <si>
    <t>Sun Orchard, LLC - TX Divisions</t>
  </si>
  <si>
    <t>Primary</t>
  </si>
  <si>
    <t>Production Site</t>
  </si>
  <si>
    <t>Line</t>
  </si>
  <si>
    <t>J4175</t>
  </si>
  <si>
    <t>Natural Brands 3+1 Lemon Sour, Lemonade Base, &amp; Bar Mix</t>
  </si>
  <si>
    <t>Lemonade</t>
  </si>
  <si>
    <t>J4177</t>
  </si>
  <si>
    <t>Natural Brands "Brewhouse" 2.5+1 Lemonade Base</t>
  </si>
  <si>
    <t>TOTAL GL</t>
  </si>
  <si>
    <t>LAST MONTH</t>
  </si>
  <si>
    <t>VARIANCE</t>
  </si>
  <si>
    <t>Calculation of Labor &amp; Overhead - Finished Product</t>
  </si>
  <si>
    <t>Item</t>
  </si>
  <si>
    <t>Gallons Per</t>
  </si>
  <si>
    <t>Number</t>
  </si>
  <si>
    <t>Cases</t>
  </si>
  <si>
    <t>Case</t>
  </si>
  <si>
    <t>Frozen</t>
  </si>
  <si>
    <t>Freezer  cap rate $/CS</t>
  </si>
  <si>
    <t>Total $ capitalized</t>
  </si>
  <si>
    <t>Increase/(decrease) CS vs LM</t>
  </si>
  <si>
    <t>GL vs LM</t>
  </si>
  <si>
    <t>SOI Fuji Apple 12pk 15.2 oz Samples FZN</t>
  </si>
  <si>
    <t>SOI Lemon 12pk 15.2 oz Samples</t>
  </si>
  <si>
    <t>SOI Marg sample Qt 16pk</t>
  </si>
  <si>
    <t>SOI Marg Cond 3+1 Sample Qt 16pk</t>
  </si>
  <si>
    <t>SOI Lime 12pk 15.2 oz Samples</t>
  </si>
  <si>
    <t>SOI Orange 12pk 15.2 oz Samples</t>
  </si>
  <si>
    <t>SOI LA 12pk 15.2 oz Samples</t>
  </si>
  <si>
    <t>SOI LA Strw Sample Qt 16pk</t>
  </si>
  <si>
    <t>Meyer Lemon Juice Hpint 24pk Samples</t>
  </si>
  <si>
    <t>Cal Val OJ Hpint 24pk Samples</t>
  </si>
  <si>
    <t>Meyer Strw LA Hping 24pk Samples</t>
  </si>
  <si>
    <t>Meyer LA Hpint 24pk Samples</t>
  </si>
  <si>
    <t>i-Squeeze Valencia OJ 61.5oz 6pk FZN</t>
  </si>
  <si>
    <t>SOJO 100% Valencia OJ 61.5oz 6pk FZN</t>
  </si>
  <si>
    <t>SOJO Tangerine Juice 6pk 32oz</t>
  </si>
  <si>
    <t>7-Select Manog Smoothie 6pk 15.2oz</t>
  </si>
  <si>
    <t>7-Select Strawberry Banana Smoothie 6pl 15.2oz</t>
  </si>
  <si>
    <t>7-Select Blue Smoothie 6pk 15.2 oz</t>
  </si>
  <si>
    <t>7-Select Green Smoothe 6pk 15.2 oz</t>
  </si>
  <si>
    <t>Kroger 5+1 Berry Premix DR</t>
  </si>
  <si>
    <t>Kroger 5+1 Tropical Premix DR</t>
  </si>
  <si>
    <t>Kroger 5+1 Citrus Premix DR</t>
  </si>
  <si>
    <t>Blood Orange Berry Base 6pk 61.5oz FZN</t>
  </si>
  <si>
    <t>Panera 5+1 Prickly Pear, Hibiscus, Lime Agua</t>
  </si>
  <si>
    <t>Watermelon Lime 2+1 Agua Fresca 6pk 61.5oz</t>
  </si>
  <si>
    <t>Coconut Pineapple 5+1 Fruit Water</t>
  </si>
  <si>
    <t>5+1 Pineapple Lemongrass Fruit Water</t>
  </si>
  <si>
    <t>Watermelon Lime 5+1 Fruit Water</t>
  </si>
  <si>
    <t>Blackberry Sangria Fruit Drink Base FZN 4pk</t>
  </si>
  <si>
    <t>Stw Lime Fruit Drink Base FZN 4pk Gln</t>
  </si>
  <si>
    <t>Mang Mand Fruit Drink Base FZN 4pk Gln</t>
  </si>
  <si>
    <t>Panera 1+1 Pineapple Cucumber</t>
  </si>
  <si>
    <t>5+1 Prickly Pear, Hib, Lime Agua Fresca NSA 61.5oz 6pk FZN</t>
  </si>
  <si>
    <t>9pk 64oz Empty Bottles with Caps</t>
  </si>
  <si>
    <t>Rykoff Sexton Variety Pack 24pk 8oz</t>
  </si>
  <si>
    <t>Rykoff Sexton Variety Pack #2 24pk 8oz</t>
  </si>
  <si>
    <t>Captain D's Rasp Fruit Tea Base 6pk Hgln</t>
  </si>
  <si>
    <t>Mango Puree in Buckets</t>
  </si>
  <si>
    <t>Panera Carrot Mango Base w/Ginger FZN61.05oz</t>
  </si>
  <si>
    <t>Panera Peach Mango Base FZN 61.5 oz</t>
  </si>
  <si>
    <t>Panera Mango Base w\Vit Fzn</t>
  </si>
  <si>
    <t>Panera Strw Base w\Vit Fzn 61.5 oz</t>
  </si>
  <si>
    <t>Panera Strw Base w\Vit Fzn</t>
  </si>
  <si>
    <t>Panera Black Cherry Base w\vit fzn 61.5 oz</t>
  </si>
  <si>
    <t>Panera Blk Cherry Base W\Vit Fzn</t>
  </si>
  <si>
    <t>Panera Mango Base w\Vit Fzn 61.05 oz</t>
  </si>
  <si>
    <t>Panera Superfruit Power Fruit Base FZN 61.5 oz</t>
  </si>
  <si>
    <t>Panera Peach Base w\Vit Fzn 61.5 oz</t>
  </si>
  <si>
    <t>Panera Wildberry Fruit Base w\Vit Fzn</t>
  </si>
  <si>
    <t>Panera Tomato Vegetable &amp; Fruit Base 61.5oz</t>
  </si>
  <si>
    <t>Panera Kale Vegetable &amp; Fruit Base 61.5oz</t>
  </si>
  <si>
    <t>Panera Blueberry Pom Fruit Base FZN 61.5 oz</t>
  </si>
  <si>
    <t>Panera Strw Base w/Vit FZN 61.5 oz</t>
  </si>
  <si>
    <t>Blueberry Pom Fruit Base w/ Coconut cream</t>
  </si>
  <si>
    <t>Panera Spiced Carrot Base 61.5oz 6pk Fzn</t>
  </si>
  <si>
    <t>Panera Mango Fruit Base No Refined Sugar Added</t>
  </si>
  <si>
    <t>Panera Strawberry Fruit Base No Refined Sugar Added</t>
  </si>
  <si>
    <t>Panera PowerBerry Fruit Base FZN 61.5 oz 6pk</t>
  </si>
  <si>
    <t>SYSCO 100% Pineapple Juice 12pk 12oz</t>
  </si>
  <si>
    <t>CA-SYSCO 100% Pineapple Juice 12pk 12oz</t>
  </si>
  <si>
    <t>SYSCO 100% Pineapple Qt 6pk</t>
  </si>
  <si>
    <t>CA-SYSCO 100% Pineapple Qt 6pk</t>
  </si>
  <si>
    <t>SYSCO Pineapple Mango Juice 12pk 12oz</t>
  </si>
  <si>
    <t>SYSCO Pineapple Mango Juice Qt 6pk</t>
  </si>
  <si>
    <t>SOI Pineapple Juice 4pk 123oz.TBF</t>
  </si>
  <si>
    <t>3202F</t>
  </si>
  <si>
    <t>SOI Pineapple Juice 4pk 123oz.FZN</t>
  </si>
  <si>
    <t>3203F</t>
  </si>
  <si>
    <t>SOI Pineapple Juice 6pk 30.5oz FZN</t>
  </si>
  <si>
    <t>SYSCO Pineapple Coconut Banana 12pk 12oz</t>
  </si>
  <si>
    <t>SYSCO Pineapple Coconut Banana Qt 6pk</t>
  </si>
  <si>
    <t>SOI Fuji Apple Juice HGln 6pk</t>
  </si>
  <si>
    <t>SOI Fuji Apple Juice Pint 12pk</t>
  </si>
  <si>
    <t>SOI Fuji Apple Juice Blend 12oz 24pk</t>
  </si>
  <si>
    <t>SOI Apple Cider FZN 61.5 oz 6pk</t>
  </si>
  <si>
    <t>Earl of Sandwich Blueberry Tea Pint 12pk</t>
  </si>
  <si>
    <t>SOI Lemon Juice Tanker</t>
  </si>
  <si>
    <t>SOI Lemon Juice Fzn HGln 6pk</t>
  </si>
  <si>
    <t>OSSI Lemon Juice Fzn 123oz 4pk</t>
  </si>
  <si>
    <t>SOI Lemon Juice Fzn 123oz 4pk</t>
  </si>
  <si>
    <t>SOI Lemon Juice Fzn Qt 6pk</t>
  </si>
  <si>
    <t>SOI Lemon Juice TBF Qt 16pk</t>
  </si>
  <si>
    <t>4227F</t>
  </si>
  <si>
    <t>OJC Lemon Juice HGln 6pk</t>
  </si>
  <si>
    <t>4506NFC</t>
  </si>
  <si>
    <t>4508NFC</t>
  </si>
  <si>
    <t>Markon Lemon Juice Qt 16pk</t>
  </si>
  <si>
    <t>4510NFC</t>
  </si>
  <si>
    <t>SOI Sweetened Lemon Juice 6pk Hgln</t>
  </si>
  <si>
    <t>OJC Sweetened Lemon Juice 6pk Hgln</t>
  </si>
  <si>
    <t>Lemon Juice 12pk Qt</t>
  </si>
  <si>
    <t>Aloha Lemon Juice HGln 6pk</t>
  </si>
  <si>
    <t>SOI Lemon Juice Qt 16pk</t>
  </si>
  <si>
    <t>OJC Lemon Juice Hgln 9pk</t>
  </si>
  <si>
    <t>SOI Meyer Lemon Juice Blend Gln 4pk</t>
  </si>
  <si>
    <t>4602F</t>
  </si>
  <si>
    <t>SOI Meyer Lemon Juice Blend 123 oz FZN 4pk</t>
  </si>
  <si>
    <t>SOI Meyer Lemon Juice blend Qt 6pk</t>
  </si>
  <si>
    <t>Meyer Lemon Juice Blend 12pk Qt</t>
  </si>
  <si>
    <t>Spindrift Un-Pasteurized Lemon Juice Drum</t>
  </si>
  <si>
    <t>Past Lemon Juice Drum FZN</t>
  </si>
  <si>
    <t>4951M</t>
  </si>
  <si>
    <t>Meyer Lemon Juice Drum FZN</t>
  </si>
  <si>
    <t>Past Lemon Juice Drum REF</t>
  </si>
  <si>
    <t>High-Acid Lemon Juice with Concentrate Drum REF</t>
  </si>
  <si>
    <t>R-Bay Marg Mix Fzn Qt 12pk</t>
  </si>
  <si>
    <t>MS RTS Marg Mix 4/1 Gln</t>
  </si>
  <si>
    <t>MS RTS Marg Mix Hpint 24pk</t>
  </si>
  <si>
    <t>MS RTS Organic Marg Mix HGln 6Pk</t>
  </si>
  <si>
    <t>MS RTS Organic Marg Mix Hpint 24 pk</t>
  </si>
  <si>
    <t>Margarita Mix 6pk HGln</t>
  </si>
  <si>
    <t>Z Tejas Marg Mix HGln 6pk</t>
  </si>
  <si>
    <t>Z Tejas Marg Mix HGln 9pk</t>
  </si>
  <si>
    <t>Red Lobster Marg Mix Cond 3+1 Qt 16pk</t>
  </si>
  <si>
    <t>Mango Margarita Mix FZN 6pk 61.5oz Rykoff Sexton</t>
  </si>
  <si>
    <t>RL "FRZN" MARG COND 6 Pk Hgln</t>
  </si>
  <si>
    <t>Marg Mix Hgln 9 Pk</t>
  </si>
  <si>
    <t>OJC Marg Mix Cond 3+1 4pk Hgln</t>
  </si>
  <si>
    <t>OSSI 2+1 Cond Marg 6 Pk Qt</t>
  </si>
  <si>
    <t>Sweet\Sour Mix Canyon Café Gln 4 Pk</t>
  </si>
  <si>
    <t>Sysco ULP3+1 cond Marg 6pk Qts</t>
  </si>
  <si>
    <t>RB Variety 6/PK QTS</t>
  </si>
  <si>
    <t>SOI Bar Mix Cond 1+1 Gln 4pk</t>
  </si>
  <si>
    <t>SOI Sweet &amp; Sour Mix 3+1 FZN</t>
  </si>
  <si>
    <t>Cheesecake Lemon Sour 6pk Hgln</t>
  </si>
  <si>
    <t>Friday's Cond Sour Rocks &amp; Blender Mix</t>
  </si>
  <si>
    <t>R-Bay Peach Mix Fzn Qt 12pk</t>
  </si>
  <si>
    <t>R-Bay Wildberry Mix Fzn Qt 12pk</t>
  </si>
  <si>
    <t>R-Bay Strw Bar Mix Fzn Qt 12pk</t>
  </si>
  <si>
    <t>R-Bay Pina Colada Mix Fzn Qt 12pk</t>
  </si>
  <si>
    <t>RB SWT &amp; Sour 12/QTS</t>
  </si>
  <si>
    <t>R-Bay Sweet &amp; Sour Mix Fzn Qt 12pk</t>
  </si>
  <si>
    <t>Sweet\Sour Mix Sysco 1+1 Hgln 6 Pk</t>
  </si>
  <si>
    <t>Bloody Mary Mix 6pk Hgln</t>
  </si>
  <si>
    <t>SO Bloody Mary Mix 32oz 6pk</t>
  </si>
  <si>
    <t>SOI Marg Mix 32oz 6pk</t>
  </si>
  <si>
    <t>SOI Lemon Lime Juice 4pk Gln</t>
  </si>
  <si>
    <t>Sweet Lime Base 9pk 61.5oz FZN</t>
  </si>
  <si>
    <t>SOI Lime Juice Fzn Qt 6pk</t>
  </si>
  <si>
    <t>SOI Lime Juice Fzn Qt 16pk</t>
  </si>
  <si>
    <t>OJC Lime Juice HGln 6pk</t>
  </si>
  <si>
    <t>Markon Lime Juice Qt 16pk</t>
  </si>
  <si>
    <t>Panera Cherry Limeade PreMix FZN 3pk HGLN</t>
  </si>
  <si>
    <t xml:space="preserve">Lime Ulp Hgln 9 Pk </t>
  </si>
  <si>
    <t>Lime Juice Qt 16pk</t>
  </si>
  <si>
    <t>SOI Limeade 3+1 Fzn HGln</t>
  </si>
  <si>
    <t>Panera 4+1 Strawberry Limeade</t>
  </si>
  <si>
    <t>Captain D's Strw Limeade FZN 6pk Hgln</t>
  </si>
  <si>
    <t>Watermelon Limeade 6pk Hgln</t>
  </si>
  <si>
    <t>OJC Lime Juice 9pk Hgln</t>
  </si>
  <si>
    <t>SOI Key Lime Juice 123oz 4pk TBF</t>
  </si>
  <si>
    <t>6616F</t>
  </si>
  <si>
    <t>SOI Key Lime Juice 30.5oz 6pk FZN</t>
  </si>
  <si>
    <t>Key Lime Juice 12pk Qt</t>
  </si>
  <si>
    <t>SOI Key Lime Juice from Conc 12pk Qt</t>
  </si>
  <si>
    <t>Sweet Lime Base 4pk Gln</t>
  </si>
  <si>
    <t>Lime pulp in Buckets</t>
  </si>
  <si>
    <t>Raw Lime Juice w/pulp in Buckets</t>
  </si>
  <si>
    <t>Past Lime Juice Drum FZN</t>
  </si>
  <si>
    <t>Past Lime Juice Drum REF</t>
  </si>
  <si>
    <t>OJ No Pulp Tanker</t>
  </si>
  <si>
    <t>SOI Orange Juice Fzn HGln 6pk</t>
  </si>
  <si>
    <t>Past Oj SOI 61.5 Oz FRZN 6 Pk</t>
  </si>
  <si>
    <t>Seville Citrus Juice Gln 4pk FZN</t>
  </si>
  <si>
    <t>Jamba Orange Juice Fzn HGln 6pk</t>
  </si>
  <si>
    <t>Jamba Orange Juice Fzn HGln 9pk</t>
  </si>
  <si>
    <t>Jamba Orange Juice 1+1 FZN HGln 9pk</t>
  </si>
  <si>
    <t>Panera Valencia 6pk 61.5oz</t>
  </si>
  <si>
    <t>SOJO Tang Guava Mango 6/32oz</t>
  </si>
  <si>
    <t>SOI CA Valencia Orange Juice HGln 6pk</t>
  </si>
  <si>
    <t>Psrtizd OJ 12 oz   25 pack</t>
  </si>
  <si>
    <t>Pastr OJ Hlf Gln    9 pack</t>
  </si>
  <si>
    <t>Past Oj Pint 25 Pk</t>
  </si>
  <si>
    <t>SO NP Valencia Orange Juice FZN 61.5oz 6pk</t>
  </si>
  <si>
    <t>Panera Premium 6pk 64oz</t>
  </si>
  <si>
    <t>Panera Orange Juice 3pk 64oz</t>
  </si>
  <si>
    <t>CA Panera Orange Juice 3pk 64oz</t>
  </si>
  <si>
    <t>No Label Orange Juice Gln 4pk</t>
  </si>
  <si>
    <t>All Natural Homestyle Orange Juice Gln 4pk</t>
  </si>
  <si>
    <t>OJC Orange Juice Gln 4pk</t>
  </si>
  <si>
    <t>Epicurean Epicurean Past OJ Gln 4pk</t>
  </si>
  <si>
    <t>SOI Orange Juice QT 6pk Extra Pulp</t>
  </si>
  <si>
    <t>Panera OJ 24pk 11.5 oz RTS</t>
  </si>
  <si>
    <t>Panera Valencia 12pk 11.5oz</t>
  </si>
  <si>
    <t>Ulp Oj Hgln 9 Pk</t>
  </si>
  <si>
    <t>Winder Farms Orange Juice HGln 9pk</t>
  </si>
  <si>
    <t>SOI Orange Juice Qt 16pk</t>
  </si>
  <si>
    <t>Ulp Oj Pint 25 Pk</t>
  </si>
  <si>
    <t>Lotaburger OJ 25pk pint</t>
  </si>
  <si>
    <t>SOI Orange Juice 12oz 24pk</t>
  </si>
  <si>
    <t>Winder Farms Orange Juice Pint 25pk</t>
  </si>
  <si>
    <t>SOI ULP OJ hlf/PT 50/PK</t>
  </si>
  <si>
    <t>SOI OJ Sample HPint 50pk</t>
  </si>
  <si>
    <t>SOI Orange Juice HPint 24pk</t>
  </si>
  <si>
    <t>Cal Val OJ 6pk Hgln</t>
  </si>
  <si>
    <t>FL Val OJ Hgln 6pk</t>
  </si>
  <si>
    <t>Winder Farms Orange Juice NP HGln 9pk</t>
  </si>
  <si>
    <t>Seminole Orange Juice Gln 4pk</t>
  </si>
  <si>
    <t>Sir Real Orange Juice HGln 6pk</t>
  </si>
  <si>
    <t>Winder Farms Orange Juice NP HPint 50pk</t>
  </si>
  <si>
    <t>Seminole Orange Juice Hpint 24pk</t>
  </si>
  <si>
    <t>OSSI Orange Juice Qt 6pk</t>
  </si>
  <si>
    <t>SYSCO Orange Juice HGln 6pk</t>
  </si>
  <si>
    <t>Tangerine Juice FZN 16pk 30.5 oz</t>
  </si>
  <si>
    <t>Orange Oil</t>
  </si>
  <si>
    <t>Wendy's Orange Juice 3+1 FZN Hgln 9pk</t>
  </si>
  <si>
    <t>SOI Kinnow Drum</t>
  </si>
  <si>
    <t>SOI Valencia Drums</t>
  </si>
  <si>
    <t>Spindrift UnPasteurized Orange Juice Drum</t>
  </si>
  <si>
    <t>Past No Pulp Orange Juice Drums REF</t>
  </si>
  <si>
    <t>Past Orange Juice Drums FZN</t>
  </si>
  <si>
    <t>Past Oragne Juie Drums REF</t>
  </si>
  <si>
    <t>Past 100% California Valencia Juice Drums FZN</t>
  </si>
  <si>
    <t>St Mary SOI Gft Juice Gln 4pk Fzn</t>
  </si>
  <si>
    <t>OSSI GFT Juice Fzn Qt 6pk</t>
  </si>
  <si>
    <t>SOI Gft Extra Pulp Fzn 30.5 oz 6pk</t>
  </si>
  <si>
    <t>Past Grapefruit Hlf Gln 6 Pk</t>
  </si>
  <si>
    <t>Past Grapefruit Hgln 9 Pk</t>
  </si>
  <si>
    <t>Aloha GFT Juice HGln 6pk</t>
  </si>
  <si>
    <t>SOI GFT Juice Gln 4pk</t>
  </si>
  <si>
    <t>OJC Gft Juice HGln 6pk</t>
  </si>
  <si>
    <t>Markon GFT Juice HGln 6pk</t>
  </si>
  <si>
    <t>SOI GFT Juice HGln 6pk</t>
  </si>
  <si>
    <t>Ulp Grapefruit 12 Oz 25 Pk</t>
  </si>
  <si>
    <t>Winder Farms GFT Juice HGln 9pk</t>
  </si>
  <si>
    <t>SOI GFT Juice Sample Qt 16pk</t>
  </si>
  <si>
    <t>SOI ULP RGFT 25PK PTS</t>
  </si>
  <si>
    <t>Sir Real Gft Juice HGln 6pk</t>
  </si>
  <si>
    <t>SYSCO GFT Juice HGln 6pk</t>
  </si>
  <si>
    <t>SOI CP Grapefruit Oil Drum</t>
  </si>
  <si>
    <t>SOI CP White Grapefruit Oil Drum</t>
  </si>
  <si>
    <t>Non Past Grapefruit Juice Drums REF</t>
  </si>
  <si>
    <t>Past Grapefruit Juice Drums FZN</t>
  </si>
  <si>
    <t>Past Grapefruit Juice Drums REF</t>
  </si>
  <si>
    <t>Legal Seafood LA Gln 4pk</t>
  </si>
  <si>
    <t>9006NFC</t>
  </si>
  <si>
    <t>Sir Real LA 24pk 12oz</t>
  </si>
  <si>
    <t>SOI LA HGln 6k</t>
  </si>
  <si>
    <t>SOI LA 32oz 6pk RTS</t>
  </si>
  <si>
    <t>Winder Farms LA HGln 9pk</t>
  </si>
  <si>
    <t>SOI LA Pint 12pk</t>
  </si>
  <si>
    <t>SOI LA Sample Qt 16pk</t>
  </si>
  <si>
    <t>SOI LA 12oz 24pk</t>
  </si>
  <si>
    <t>Panera LA 25pk Pint</t>
  </si>
  <si>
    <t>Panera LA Pint 12pk</t>
  </si>
  <si>
    <t>Panera Agave LA Pint 12pk</t>
  </si>
  <si>
    <t>Winder Farms LA Pint 25pk</t>
  </si>
  <si>
    <t>Sir Real LA HGln 6pk</t>
  </si>
  <si>
    <t>Captain D's 4+1 LA FZN 6pk Hgln</t>
  </si>
  <si>
    <t>Sweet and Sour Lemon 6pk Hgln</t>
  </si>
  <si>
    <t>Captain D's 4+1 No Pulp LA FZN 6pk Hgln</t>
  </si>
  <si>
    <t>Charleys LA Cond 4+1 Gln 4pk</t>
  </si>
  <si>
    <t>Charleys FZN LA Cond 4+1 Gln 4pk</t>
  </si>
  <si>
    <t>FAT Brands LA Cond 4+1 Fzn Gln 4pk</t>
  </si>
  <si>
    <t>Fatburger LA Cond 4+1 Gln 4pk</t>
  </si>
  <si>
    <t>Ms Fields 2+14 LA  6 pack ) (FRZN)</t>
  </si>
  <si>
    <t>Panera 4+1 Agave Lemonade FZN 61.5 oz</t>
  </si>
  <si>
    <t>Panera 5+1 Agave Lemonade FZN 64 oz</t>
  </si>
  <si>
    <t>Panera 3+1 Blood Orange Carrot LA FZN 61.5 oz</t>
  </si>
  <si>
    <t>SOI LA Cond 6+1 FZN HGln 6pk</t>
  </si>
  <si>
    <t>Cheesecake Lemon Sunburst 9pk Hgln</t>
  </si>
  <si>
    <t>Panera 5+1 Agave Lemonade FZN 64 oz 6pk V3</t>
  </si>
  <si>
    <t>Panera 5+1 Agave Lemonade FZN 64 oz 6pk</t>
  </si>
  <si>
    <t>Panera 3+1 Blood Orange Carrot LA FZN 61.5 oz 6pk</t>
  </si>
  <si>
    <t>SOI 3+1 Mint LA 6pk HG</t>
  </si>
  <si>
    <t>Jamba LA Fzn HGln 9pk</t>
  </si>
  <si>
    <t>Jamba LA 1+1 Fzn HGln 9pk</t>
  </si>
  <si>
    <t>Jamba LA 2.5+1 Fzn HGln 9pk</t>
  </si>
  <si>
    <t>Meyer LA 6pk HGln</t>
  </si>
  <si>
    <t>Meyer Strw LA 6pk hgln</t>
  </si>
  <si>
    <t>Rykoff Sexton Prickly Pear Lemonade 64 oz 6 pk</t>
  </si>
  <si>
    <t>SOI 3+1 Strw LA FZN 9pk HGln 61.5oz</t>
  </si>
  <si>
    <t>3+1 Sweet Strw LA FZN 9pk HGln 61.5oz</t>
  </si>
  <si>
    <t>SOI LA Strw Gln 4pk</t>
  </si>
  <si>
    <t>SOI LA Strw HGln 6pk</t>
  </si>
  <si>
    <t>SOI LA Strw 32oz 6pk RTS</t>
  </si>
  <si>
    <t>Panera Strw LA Mix RTU HGln 6pk</t>
  </si>
  <si>
    <t>Winder Farms LA Strw Hgln 9pk</t>
  </si>
  <si>
    <t>All Natural Lemon Sour 12pk Qt</t>
  </si>
  <si>
    <t>SOI LA Cond 3+1 Fzn HGln 6pk</t>
  </si>
  <si>
    <t>Mr Hero Lemonade Mix 6pk Hgln FZN</t>
  </si>
  <si>
    <t>Homestyle LA Mix FZN HGln 6pk</t>
  </si>
  <si>
    <t>Applebees LA Cond 2+1 Gln 4pk</t>
  </si>
  <si>
    <t>SOI LA 2+1 4pk Gln</t>
  </si>
  <si>
    <t>Backyard Burger LA 2+1 Cond FZN Gln 4pk</t>
  </si>
  <si>
    <t>SOI 3+1 Sweet LA Mix Fzn Hgln 9pk</t>
  </si>
  <si>
    <t>Kahala LA Cond 3+1 Fzn HGln 9pk</t>
  </si>
  <si>
    <t>Auntie Annes Fzn LA 3+1 HGln 6pk</t>
  </si>
  <si>
    <t>SOI LA 3+1 Fzn Hgln 6pk</t>
  </si>
  <si>
    <t>LA 2+1 6pk Hgln FZN</t>
  </si>
  <si>
    <t>Auntie Annes Diet LA Cond 3+1 HGln 6pk</t>
  </si>
  <si>
    <t>Diet LA 2+1 Hgln FZN</t>
  </si>
  <si>
    <t>Condensed Strawberry Lemonade Base Drum REF</t>
  </si>
  <si>
    <t>Condensed Lemonade Base Drum REF</t>
  </si>
  <si>
    <t>4502C</t>
  </si>
  <si>
    <t>Sysco Cheesecake Lemon Juice Gln 4pk</t>
  </si>
  <si>
    <t>SOI Lemon Juice TBF Gln 4pk</t>
  </si>
  <si>
    <t>4502SF</t>
  </si>
  <si>
    <t>4502X</t>
  </si>
  <si>
    <t>4513NFC</t>
  </si>
  <si>
    <t>4513X</t>
  </si>
  <si>
    <t>5002SF</t>
  </si>
  <si>
    <t>SOI Marg Mix Fzn Gln 4pk</t>
  </si>
  <si>
    <t>5020F</t>
  </si>
  <si>
    <t>6502C</t>
  </si>
  <si>
    <t>Sysco Cheesecake Lime Juice Gln 4pk</t>
  </si>
  <si>
    <t>6502SF</t>
  </si>
  <si>
    <t>SOI Lime Juice TBF Gln 4pk</t>
  </si>
  <si>
    <t>6513X</t>
  </si>
  <si>
    <t>6590DE</t>
  </si>
  <si>
    <t>SOI DE 3+1 Limeade</t>
  </si>
  <si>
    <t>7424N</t>
  </si>
  <si>
    <t>SOI Orange Juice HGln 6pk-no label</t>
  </si>
  <si>
    <t>7502P</t>
  </si>
  <si>
    <t>Panera Orange Juice Gln 4pk</t>
  </si>
  <si>
    <t>7502S</t>
  </si>
  <si>
    <t>9133F</t>
  </si>
  <si>
    <t>Fatburger LA Cond 4+1 Fzn Gln 4pk</t>
  </si>
  <si>
    <t>DRM2001</t>
  </si>
  <si>
    <t>Wildberry FOMZ</t>
  </si>
  <si>
    <t>DRM2002</t>
  </si>
  <si>
    <t>Lemon Lime FOMZ</t>
  </si>
  <si>
    <t>DRM2003</t>
  </si>
  <si>
    <t>Peach Grapefruit Cranberry FOMZ</t>
  </si>
  <si>
    <t>DRM2004</t>
  </si>
  <si>
    <t>Passionfruit Mango FOMZ</t>
  </si>
  <si>
    <t>DRM2005</t>
  </si>
  <si>
    <t>Pineapple Papaya FOMZ</t>
  </si>
  <si>
    <t>Total Cases</t>
  </si>
  <si>
    <t>Total Gallons</t>
  </si>
  <si>
    <t>GL Change vs LM</t>
  </si>
  <si>
    <t>Labor &amp; Overhead Per Gallon</t>
  </si>
  <si>
    <t>Total Labor &amp; Overhead Before Freight</t>
  </si>
  <si>
    <t>Total Gln</t>
  </si>
  <si>
    <t>Amt Per Gln</t>
  </si>
  <si>
    <t>Inbound Freight Costs to Inv Rev - OJ</t>
  </si>
  <si>
    <t>Inbound Freight Costs to Inv Rev - Lemon</t>
  </si>
  <si>
    <t>Inbound Freight Costs to Inv Rev - Lime</t>
  </si>
  <si>
    <t>Inbound Freight Costs to Inv Rev - Grapefruit</t>
  </si>
  <si>
    <t>Inbound Freight Outside Purchases</t>
  </si>
  <si>
    <t>Total Inbound Freight</t>
  </si>
  <si>
    <t>Freezer Costs to Inv Rev - OJ</t>
  </si>
  <si>
    <t>Freezer Costs to Inv Rev - Lemon</t>
  </si>
  <si>
    <t>Freezer Costs to Inv Rev - Lime</t>
  </si>
  <si>
    <t>Freezer Costs to Inv Rev - Grapefruit</t>
  </si>
  <si>
    <t>Total Freezer</t>
  </si>
  <si>
    <t>Calculation of Labor &amp; Overhead in Finished Goods</t>
  </si>
  <si>
    <t>Orange</t>
  </si>
  <si>
    <t>Juice Gln</t>
  </si>
  <si>
    <t>0034</t>
  </si>
  <si>
    <t>SOI Fuji Apple 12pk 5.2 oz Samples</t>
  </si>
  <si>
    <t>0040</t>
  </si>
  <si>
    <t>0060</t>
  </si>
  <si>
    <t>0070</t>
  </si>
  <si>
    <t>0090</t>
  </si>
  <si>
    <t>0148</t>
  </si>
  <si>
    <t>Meyer Lemon Juice Jpint 24pk Samples</t>
  </si>
  <si>
    <t>0168</t>
  </si>
  <si>
    <t>Key Lime Juice Hpint 24pk Samples</t>
  </si>
  <si>
    <t>0194</t>
  </si>
  <si>
    <t>Meyer Strw LA Hpint 24pk samples</t>
  </si>
  <si>
    <t>0196</t>
  </si>
  <si>
    <t>Watermelon Limeade Hpint 24pk Sample</t>
  </si>
  <si>
    <t>197</t>
  </si>
  <si>
    <t>198</t>
  </si>
  <si>
    <t>0199</t>
  </si>
  <si>
    <t>Meyer LA Hpint 24pk samples</t>
  </si>
  <si>
    <t>1114</t>
  </si>
  <si>
    <t>SOJO Tangerine Clementine Juice 6pk 32oz</t>
  </si>
  <si>
    <t>1115</t>
  </si>
  <si>
    <t>1256</t>
  </si>
  <si>
    <t>Lidl Green Smoothie 15.2 oz 12pk</t>
  </si>
  <si>
    <t>1257</t>
  </si>
  <si>
    <t>Lidl Blue Smoothie 15.2 oz 12pk</t>
  </si>
  <si>
    <t>1258</t>
  </si>
  <si>
    <t>Lidl Mango Smoothie 15.2 oz 12pk</t>
  </si>
  <si>
    <t>1259</t>
  </si>
  <si>
    <t>Lidl Straw Banana Smoothie 15.2oz 12pk</t>
  </si>
  <si>
    <t>1300</t>
  </si>
  <si>
    <t>1301</t>
  </si>
  <si>
    <t>1302</t>
  </si>
  <si>
    <t>1309</t>
  </si>
  <si>
    <t>1310</t>
  </si>
  <si>
    <t>1311</t>
  </si>
  <si>
    <t>Simple Truth 100% Fruit Smoothies Strawberry Banana 6pk Qt</t>
  </si>
  <si>
    <t>1328</t>
  </si>
  <si>
    <t>Sams Club MM Reduced Sugar &amp; added Fiber Berries Smoothie 64OZ</t>
  </si>
  <si>
    <t>1329</t>
  </si>
  <si>
    <t>Sams Club MM Reduced Sugar &amp; added Fiber Green Smoothie 64OZ</t>
  </si>
  <si>
    <t>1330</t>
  </si>
  <si>
    <t>Sams Club MM Reduced Sugar &amp; added Fiber Mango Smoothie 64OZ</t>
  </si>
  <si>
    <t>1331</t>
  </si>
  <si>
    <t>Sams Club MM Reduced Sugar &amp; Fiber Strawberry Ban Smoothie 64OZ</t>
  </si>
  <si>
    <t>1335</t>
  </si>
  <si>
    <t>1701</t>
  </si>
  <si>
    <t>1907</t>
  </si>
  <si>
    <t>5+1 Pineapple Lemongrass  Fruit Water</t>
  </si>
  <si>
    <t>1903</t>
  </si>
  <si>
    <t>Panera 5+1 Prickley Pear, Hibiscus, Lime Agua</t>
  </si>
  <si>
    <t>1914</t>
  </si>
  <si>
    <t>Panera 1+1 Pineapple Cucumber Fresca Base 3pk 61.5oz</t>
  </si>
  <si>
    <t>1953</t>
  </si>
  <si>
    <t>2370</t>
  </si>
  <si>
    <t>25 pk 16 oz empty bottle</t>
  </si>
  <si>
    <t>2375</t>
  </si>
  <si>
    <t>9 pk 64 oz emptly bottle</t>
  </si>
  <si>
    <t>2401</t>
  </si>
  <si>
    <t>2402</t>
  </si>
  <si>
    <t>Rykoff Sexton variety pack #2 24pk 8oz</t>
  </si>
  <si>
    <t>2403</t>
  </si>
  <si>
    <t>Rykoff Sexton Variety Pack #3 24pk 8oz</t>
  </si>
  <si>
    <t>2404</t>
  </si>
  <si>
    <t>Rykoff Sexton Scoop Pack #4 24pk 8oz</t>
  </si>
  <si>
    <t>2510</t>
  </si>
  <si>
    <t>2520</t>
  </si>
  <si>
    <t>2601</t>
  </si>
  <si>
    <t>Noble ZING Fruit Punch 8/12oz</t>
  </si>
  <si>
    <t>2602</t>
  </si>
  <si>
    <t>Noble Organic Beet &amp; Berry 8/12oz</t>
  </si>
  <si>
    <t>2603</t>
  </si>
  <si>
    <t>Noble Gen. Organic Beet &amp; Berry 8/12oz</t>
  </si>
  <si>
    <t>2604</t>
  </si>
  <si>
    <t>Noble Organic Orange Mango Carrot 8/12oz</t>
  </si>
  <si>
    <t>2605</t>
  </si>
  <si>
    <t>Noble Gen. Organic Orange Mango Carrot 8/12oz</t>
  </si>
  <si>
    <t>2692</t>
  </si>
  <si>
    <t>Peach Mango Fruit Base FZN 9pk HGln 61.5oz</t>
  </si>
  <si>
    <t>2700</t>
  </si>
  <si>
    <t>2705</t>
  </si>
  <si>
    <t>Panera Strw Base w\ Vitamins HGln 6pk</t>
  </si>
  <si>
    <t>2706</t>
  </si>
  <si>
    <t>Panera Black Cherry Base HGln 6pk</t>
  </si>
  <si>
    <t>2707</t>
  </si>
  <si>
    <t>Panera Black Cherry Base W\Vitamins HGln 6pk</t>
  </si>
  <si>
    <t>2708</t>
  </si>
  <si>
    <t>Panera Peach Base w\ vitamins &amp; ginseng</t>
  </si>
  <si>
    <t>2709</t>
  </si>
  <si>
    <t>Panera Wildberry Base w\Vitamins</t>
  </si>
  <si>
    <t>2711</t>
  </si>
  <si>
    <t>Panera Carrot Mango Base w/ginger FZ 61.5 oz</t>
  </si>
  <si>
    <t>2712</t>
  </si>
  <si>
    <t>Panera Peach Mango Base FZN 61.5oz</t>
  </si>
  <si>
    <t>2722</t>
  </si>
  <si>
    <t>2723</t>
  </si>
  <si>
    <t>Panera Tropical Fruit Base w\Vit Fzn</t>
  </si>
  <si>
    <t>2724</t>
  </si>
  <si>
    <t>2725</t>
  </si>
  <si>
    <t>2738</t>
  </si>
  <si>
    <t>2737</t>
  </si>
  <si>
    <t>Panera Superfruit Power Fruit Base FZN 61.5oz</t>
  </si>
  <si>
    <t>2730</t>
  </si>
  <si>
    <t>Panera Cran OJ Base FZN w/vit &amp; Ginseng</t>
  </si>
  <si>
    <t>2731</t>
  </si>
  <si>
    <t>Panera Mango Base w\Vit Fzn 61.5 oz</t>
  </si>
  <si>
    <t>2734</t>
  </si>
  <si>
    <t>2736</t>
  </si>
  <si>
    <t>Panera Black Cherry Base W\Vit fzn 61.5 oz</t>
  </si>
  <si>
    <t>2739</t>
  </si>
  <si>
    <t>Panera Wildberry Base w\Vit FZN 61.5 oz</t>
  </si>
  <si>
    <t>2740</t>
  </si>
  <si>
    <t>Panera Tomato Vegetable and Fruit Base 61.5 oz FZN</t>
  </si>
  <si>
    <t>2741</t>
  </si>
  <si>
    <t>Panera Kale Vegetable and Fruit Base 61.5oz FZN</t>
  </si>
  <si>
    <t>2742</t>
  </si>
  <si>
    <t xml:space="preserve">Panera Blueberyy Pom Fruit Base FZN 61.5oz </t>
  </si>
  <si>
    <t>2743</t>
  </si>
  <si>
    <t xml:space="preserve">Panera Strw Base w/Vit FZN 61.5oz </t>
  </si>
  <si>
    <t>2744</t>
  </si>
  <si>
    <t xml:space="preserve">Panera Superfruit Power Fruit Base FZN 61.5oz </t>
  </si>
  <si>
    <t>2745</t>
  </si>
  <si>
    <t>2750</t>
  </si>
  <si>
    <t>2752</t>
  </si>
  <si>
    <t>2753</t>
  </si>
  <si>
    <t>2762</t>
  </si>
  <si>
    <t>Panera Peach Mango Base w\Vit Fzn 61.5 oz 6pk</t>
  </si>
  <si>
    <t>2763</t>
  </si>
  <si>
    <t>Panera Strw Base FZN 61.5oz 6pk</t>
  </si>
  <si>
    <t>2764</t>
  </si>
  <si>
    <t>Panera PowerBerry Fruit Base FZN 61.5 6pk</t>
  </si>
  <si>
    <t>2765</t>
  </si>
  <si>
    <t>Panera Blueberyy Pom Fruit Base FZN 61.5oz  6pk</t>
  </si>
  <si>
    <t>2800</t>
  </si>
  <si>
    <t>Aldi POM/BLPOM Juice 6pk 16oz</t>
  </si>
  <si>
    <t>2801</t>
  </si>
  <si>
    <t>Aldi POM Juice 6pk 16oz</t>
  </si>
  <si>
    <t>2802</t>
  </si>
  <si>
    <t>Aldi POM Blueberry Juice 6pk 16oz</t>
  </si>
  <si>
    <t>2810</t>
  </si>
  <si>
    <t>Aldi STW/Peach Chia 6pk 16oz</t>
  </si>
  <si>
    <t>2811</t>
  </si>
  <si>
    <t>Aldi Strawberry Chia 25pk 16oz</t>
  </si>
  <si>
    <t>2812</t>
  </si>
  <si>
    <t>Aldi Peach Chia 25pk 16oz</t>
  </si>
  <si>
    <t>2829</t>
  </si>
  <si>
    <t>Lidl Pomegranate Juice 15.2oz</t>
  </si>
  <si>
    <t>3034</t>
  </si>
  <si>
    <t>3093</t>
  </si>
  <si>
    <t>3094</t>
  </si>
  <si>
    <t>3134</t>
  </si>
  <si>
    <t>3193</t>
  </si>
  <si>
    <t>3202</t>
  </si>
  <si>
    <t>3234</t>
  </si>
  <si>
    <t>3293</t>
  </si>
  <si>
    <t>3410</t>
  </si>
  <si>
    <t>SOI Fuji Apple Juice Blend HGln 6pk</t>
  </si>
  <si>
    <t>3423</t>
  </si>
  <si>
    <t>SOI Fuji Apple Juice Blend 12 oz 24pk</t>
  </si>
  <si>
    <t>3470</t>
  </si>
  <si>
    <t>3701</t>
  </si>
  <si>
    <t>Pineapple Juice in buckets</t>
  </si>
  <si>
    <t>3791DR</t>
  </si>
  <si>
    <t>FZN NFC Pineapple Juice in drums</t>
  </si>
  <si>
    <t>3801</t>
  </si>
  <si>
    <t>Noble Organic Apple 8/12oz</t>
  </si>
  <si>
    <t>4202</t>
  </si>
  <si>
    <t>4205</t>
  </si>
  <si>
    <t>4206</t>
  </si>
  <si>
    <t>4225</t>
  </si>
  <si>
    <t>4227</t>
  </si>
  <si>
    <t>4502</t>
  </si>
  <si>
    <t>4503</t>
  </si>
  <si>
    <t>OJC Lemon Juice Hgln 6pk</t>
  </si>
  <si>
    <t>4506</t>
  </si>
  <si>
    <t>4508</t>
  </si>
  <si>
    <t>4510</t>
  </si>
  <si>
    <t>4517</t>
  </si>
  <si>
    <t>4513</t>
  </si>
  <si>
    <t>4516</t>
  </si>
  <si>
    <t>4516NFC</t>
  </si>
  <si>
    <t>4516SF</t>
  </si>
  <si>
    <t>SOI Lemon Juice TBF Qt 6pk</t>
  </si>
  <si>
    <t>4518</t>
  </si>
  <si>
    <t>4519</t>
  </si>
  <si>
    <t>4551</t>
  </si>
  <si>
    <t>Seminole Lemon Juice 6/32oz</t>
  </si>
  <si>
    <t>4552</t>
  </si>
  <si>
    <t>Seminole Lime Juice 6/32oz</t>
  </si>
  <si>
    <t>4591</t>
  </si>
  <si>
    <t>4593</t>
  </si>
  <si>
    <t>4593SF</t>
  </si>
  <si>
    <t>SYSCO Lemon Juice TBF Qt 6pk</t>
  </si>
  <si>
    <t>4602</t>
  </si>
  <si>
    <t>4616</t>
  </si>
  <si>
    <t>4616F</t>
  </si>
  <si>
    <t>SOI Meyer Lemon Juice 30.5oz 6pk FZN</t>
  </si>
  <si>
    <t>4617</t>
  </si>
  <si>
    <t>4800</t>
  </si>
  <si>
    <t>4952</t>
  </si>
  <si>
    <t>5001</t>
  </si>
  <si>
    <t>SOI Marg Mix FZN Gln 4pk</t>
  </si>
  <si>
    <t>5002</t>
  </si>
  <si>
    <t>5005</t>
  </si>
  <si>
    <t>5006</t>
  </si>
  <si>
    <t>5005ME</t>
  </si>
  <si>
    <t>R-Bay ME Marg Mix Fzn Qt 12pk</t>
  </si>
  <si>
    <t>5012</t>
  </si>
  <si>
    <t>5014</t>
  </si>
  <si>
    <t>5016</t>
  </si>
  <si>
    <t>5020</t>
  </si>
  <si>
    <t>Red Lobster Marg Mix Cond 3+1 Qt 16pk FZN</t>
  </si>
  <si>
    <t>5024</t>
  </si>
  <si>
    <t>Mango Margarita Mix 6pk 61.5oz FZN Rykoff Sexton</t>
  </si>
  <si>
    <t>SOI Marg Mix Cond 3+1 FZN Hgln 9 pk</t>
  </si>
  <si>
    <t>5143</t>
  </si>
  <si>
    <t>OJC Marg Mix Cond 3+1 4pk Gln</t>
  </si>
  <si>
    <t>5145</t>
  </si>
  <si>
    <t>Marg Mix Cond Froz 6 pack</t>
  </si>
  <si>
    <t>5203</t>
  </si>
  <si>
    <t>5204</t>
  </si>
  <si>
    <t>5235</t>
  </si>
  <si>
    <t xml:space="preserve">Ruby Tues 3+1 Marg </t>
  </si>
  <si>
    <t>5255</t>
  </si>
  <si>
    <t>5265</t>
  </si>
  <si>
    <t>5275</t>
  </si>
  <si>
    <t>5314</t>
  </si>
  <si>
    <t>5315</t>
  </si>
  <si>
    <t>5516</t>
  </si>
  <si>
    <t>5815</t>
  </si>
  <si>
    <t>6516SF</t>
  </si>
  <si>
    <t>SOI Lime Juice TBF Qt 6pk</t>
  </si>
  <si>
    <t>5805</t>
  </si>
  <si>
    <t>SOI Lemon Lime 4pk Gln</t>
  </si>
  <si>
    <t>5806</t>
  </si>
  <si>
    <t>6202</t>
  </si>
  <si>
    <t>6217</t>
  </si>
  <si>
    <t>6225</t>
  </si>
  <si>
    <t>6227</t>
  </si>
  <si>
    <t>6501</t>
  </si>
  <si>
    <t>6502</t>
  </si>
  <si>
    <t>6503</t>
  </si>
  <si>
    <t>6506</t>
  </si>
  <si>
    <t>Markon Lime Juice Hgln 6pk</t>
  </si>
  <si>
    <t>6508</t>
  </si>
  <si>
    <t>6510</t>
  </si>
  <si>
    <t>6513</t>
  </si>
  <si>
    <t>6516</t>
  </si>
  <si>
    <t>6517</t>
  </si>
  <si>
    <t>6518</t>
  </si>
  <si>
    <t>Panera Cherry Limeade PreMix FZN 3pk HGln</t>
  </si>
  <si>
    <t>6590</t>
  </si>
  <si>
    <t>SOI Limeade Cond 3+1 Fzn HGln 6pk</t>
  </si>
  <si>
    <t>6591</t>
  </si>
  <si>
    <t>6594</t>
  </si>
  <si>
    <t>Panera 4+1 Strawberry Limeade 3pk 61.5oz</t>
  </si>
  <si>
    <t>6595</t>
  </si>
  <si>
    <t>Captaian D's Strw Limeade FZN 6pk Hgln</t>
  </si>
  <si>
    <t>6596</t>
  </si>
  <si>
    <t>6593</t>
  </si>
  <si>
    <t>6618</t>
  </si>
  <si>
    <t>Key Lime Juice from Conc 12pk Qt</t>
  </si>
  <si>
    <t>6602</t>
  </si>
  <si>
    <t>6602F</t>
  </si>
  <si>
    <t>SOI Key Lime Juice 123oz 4pk FZN</t>
  </si>
  <si>
    <t>6617</t>
  </si>
  <si>
    <t>6817</t>
  </si>
  <si>
    <t>6904</t>
  </si>
  <si>
    <t>Lime Pulp in Buckets</t>
  </si>
  <si>
    <t>6905</t>
  </si>
  <si>
    <t>6952</t>
  </si>
  <si>
    <t>7104</t>
  </si>
  <si>
    <t>GAF Seelig Orange Juice Gln 4pk</t>
  </si>
  <si>
    <t>7201</t>
  </si>
  <si>
    <t>7301</t>
  </si>
  <si>
    <t>Noble Tang Guava Mango 8/12oz</t>
  </si>
  <si>
    <t>7302</t>
  </si>
  <si>
    <t>ACME Tang Guava Mango 8/12oz</t>
  </si>
  <si>
    <t>7303</t>
  </si>
  <si>
    <t>Noble Tang Guava Mango 6/32oz</t>
  </si>
  <si>
    <t>7304</t>
  </si>
  <si>
    <t>GE Tang Guava Mango 6/32oz</t>
  </si>
  <si>
    <t>7305</t>
  </si>
  <si>
    <t>ACME Royal Mandarin Green 8/12oz</t>
  </si>
  <si>
    <t>7306</t>
  </si>
  <si>
    <t>Noble Royal Mandarin Green 8/12oz</t>
  </si>
  <si>
    <t>7313</t>
  </si>
  <si>
    <t>7335</t>
  </si>
  <si>
    <t>SEG Tang  Mango Guava 32oz / 6pk</t>
  </si>
  <si>
    <t>7415</t>
  </si>
  <si>
    <t>7416</t>
  </si>
  <si>
    <t>7451</t>
  </si>
  <si>
    <t>Noble Blood Orange 6/32oz</t>
  </si>
  <si>
    <t>7452</t>
  </si>
  <si>
    <t>GE Blood Orange 6/32oz</t>
  </si>
  <si>
    <t>7511</t>
  </si>
  <si>
    <t>Sir Real OJ Pint 12pk</t>
  </si>
  <si>
    <t>7208</t>
  </si>
  <si>
    <t>7212</t>
  </si>
  <si>
    <t>Panera Valencia OJ 6pk Fzn</t>
  </si>
  <si>
    <t>7502</t>
  </si>
  <si>
    <t>7504</t>
  </si>
  <si>
    <t>Panera Valencis 6pk 64oz</t>
  </si>
  <si>
    <t>7506</t>
  </si>
  <si>
    <t>7507</t>
  </si>
  <si>
    <t>7508</t>
  </si>
  <si>
    <t>CA - Panera Orange Juice 3pk 64oz</t>
  </si>
  <si>
    <t>7516</t>
  </si>
  <si>
    <t>SOI Orange Juice Qt 6pk Extra Pulp</t>
  </si>
  <si>
    <t>7515</t>
  </si>
  <si>
    <t>7519</t>
  </si>
  <si>
    <t>Panera OJ 24pk 11.5oz RTS</t>
  </si>
  <si>
    <t>7520</t>
  </si>
  <si>
    <t>CA -Panera OJ 24pk 11.5oz RTS</t>
  </si>
  <si>
    <t>7512</t>
  </si>
  <si>
    <t>Sir Real OJ 24pk 12oz</t>
  </si>
  <si>
    <t>7513</t>
  </si>
  <si>
    <t>7523</t>
  </si>
  <si>
    <t>7530</t>
  </si>
  <si>
    <t>SOI Orange Juice Pint 25pk</t>
  </si>
  <si>
    <t>7534</t>
  </si>
  <si>
    <t>7524</t>
  </si>
  <si>
    <t>SOI Orange Juice NP HGln 9pk</t>
  </si>
  <si>
    <t>7539</t>
  </si>
  <si>
    <t>Sir Real Orange Juice Qt 6pk</t>
  </si>
  <si>
    <t>7540</t>
  </si>
  <si>
    <t>7542</t>
  </si>
  <si>
    <t>7546</t>
  </si>
  <si>
    <t>7555</t>
  </si>
  <si>
    <t>7563</t>
  </si>
  <si>
    <t>7564</t>
  </si>
  <si>
    <t>7567</t>
  </si>
  <si>
    <t>Seminole Orange Juice Pint 25pk</t>
  </si>
  <si>
    <t>7568</t>
  </si>
  <si>
    <t>Seminole Orange Juice HPint 24pk</t>
  </si>
  <si>
    <t>7581</t>
  </si>
  <si>
    <t>Seminole Orange Juice 8/12oz</t>
  </si>
  <si>
    <t>7582</t>
  </si>
  <si>
    <t>ACME Orange Juice 8/12oz</t>
  </si>
  <si>
    <t>7583</t>
  </si>
  <si>
    <t>ACME Orange Juice 6/32oz</t>
  </si>
  <si>
    <t>7584</t>
  </si>
  <si>
    <t>CORA Orange Juice 4/1 gallon</t>
  </si>
  <si>
    <t>7585</t>
  </si>
  <si>
    <t>GE 100% Valencia OJ 6/32oz</t>
  </si>
  <si>
    <t>7571</t>
  </si>
  <si>
    <t>Able FL Orange Juice Gln 4pk</t>
  </si>
  <si>
    <t>7591</t>
  </si>
  <si>
    <t>7592</t>
  </si>
  <si>
    <t>7593</t>
  </si>
  <si>
    <t>7602</t>
  </si>
  <si>
    <t>7616</t>
  </si>
  <si>
    <t>Sir Real Organic Orange Juice Pint 12pk</t>
  </si>
  <si>
    <t>7632</t>
  </si>
  <si>
    <t>Sir Real Organic Orange Juice Qt 6pk</t>
  </si>
  <si>
    <t>7664</t>
  </si>
  <si>
    <t>Sir Real Organic Orange Juice HGln 6pk</t>
  </si>
  <si>
    <t>7719</t>
  </si>
  <si>
    <t>Sir Real Tang Juice Pint 12pk</t>
  </si>
  <si>
    <t>7732</t>
  </si>
  <si>
    <t>Sir Real Tang Juice Qt 6pk</t>
  </si>
  <si>
    <t>7651</t>
  </si>
  <si>
    <t>Noble Organic OJ 8/12oz</t>
  </si>
  <si>
    <t>7652</t>
  </si>
  <si>
    <t>Noble Organic OJ 6/58oz</t>
  </si>
  <si>
    <t>7653</t>
  </si>
  <si>
    <t>Noble Organic Orange Tangerine 6/58oz</t>
  </si>
  <si>
    <t>7735</t>
  </si>
  <si>
    <t>SEG Tangerine Blend 32oz / 6pk</t>
  </si>
  <si>
    <t>7738</t>
  </si>
  <si>
    <t>SEG Tangerine/Clementine 32oz / 6pk</t>
  </si>
  <si>
    <t>7751</t>
  </si>
  <si>
    <t>Noble ZING Tangerine 8/12oz</t>
  </si>
  <si>
    <t>7752</t>
  </si>
  <si>
    <t>Noble Tangerine 8/12oz</t>
  </si>
  <si>
    <t>7753</t>
  </si>
  <si>
    <t>ACME Tangerine Blend 8/12oz</t>
  </si>
  <si>
    <t>7754</t>
  </si>
  <si>
    <t>Noble Tangerine Blend 6/32oz</t>
  </si>
  <si>
    <t>7755</t>
  </si>
  <si>
    <t>ACME Tangerine Blend 6/32oz</t>
  </si>
  <si>
    <t>7756</t>
  </si>
  <si>
    <t>GE Tangerine Blend 6/32oz</t>
  </si>
  <si>
    <t>7757</t>
  </si>
  <si>
    <t>ACME Tangerine/Clementine 6/32oz</t>
  </si>
  <si>
    <t>7758</t>
  </si>
  <si>
    <t>Noble Tangerine/Clementine 6/32oz</t>
  </si>
  <si>
    <t>7764</t>
  </si>
  <si>
    <t>Sir Real Tang Juice HGln 6pk</t>
  </si>
  <si>
    <t>7765</t>
  </si>
  <si>
    <t>Tangerine Juice FZN 16 pk 30.5 oz</t>
  </si>
  <si>
    <t>7822</t>
  </si>
  <si>
    <t>Tangerine Juice debittered Drums FZN</t>
  </si>
  <si>
    <t>7823</t>
  </si>
  <si>
    <t>Wendy's Orange Juice FZN Hgln 9pk</t>
  </si>
  <si>
    <t>7900</t>
  </si>
  <si>
    <t>8225</t>
  </si>
  <si>
    <t>8270</t>
  </si>
  <si>
    <t>OSSI Gft Juice Fzn Qt 6pk</t>
  </si>
  <si>
    <t>8272</t>
  </si>
  <si>
    <t>8416</t>
  </si>
  <si>
    <t>Sir Real Organic Gft Juice Pint 12pk</t>
  </si>
  <si>
    <t>8432</t>
  </si>
  <si>
    <t>Sir Real Organic Gft Juice Qt 6pk</t>
  </si>
  <si>
    <t>8451</t>
  </si>
  <si>
    <t>Noble Organic Grapefruit 6/58oz</t>
  </si>
  <si>
    <t>8464</t>
  </si>
  <si>
    <t>Sir Real Organic Gft Juice HGln 6pk</t>
  </si>
  <si>
    <t>8502</t>
  </si>
  <si>
    <t>SOI Gft Juice Gln 4pk</t>
  </si>
  <si>
    <t>8503</t>
  </si>
  <si>
    <t>8506</t>
  </si>
  <si>
    <t>Markon Gft Juice HGln 6pk</t>
  </si>
  <si>
    <t>8513</t>
  </si>
  <si>
    <t>8541</t>
  </si>
  <si>
    <t>CORA Grapefruit 6/32oz</t>
  </si>
  <si>
    <t>8542</t>
  </si>
  <si>
    <t>Noble Grapefruit 6/32oz</t>
  </si>
  <si>
    <t>8554</t>
  </si>
  <si>
    <t>Rykofff Sexton 100% Red Grapefruit Juice 6pk HGln</t>
  </si>
  <si>
    <t>8555</t>
  </si>
  <si>
    <t>Indian River Red Gft Juice 6pk HGln</t>
  </si>
  <si>
    <t>8564</t>
  </si>
  <si>
    <t>8592</t>
  </si>
  <si>
    <t>SYSCO Gft Juice HGln 6pk</t>
  </si>
  <si>
    <t>8901</t>
  </si>
  <si>
    <t>SOI Organic Grapefruit Drums</t>
  </si>
  <si>
    <t>8950</t>
  </si>
  <si>
    <t>SOI Grapefruit Drums</t>
  </si>
  <si>
    <t>9001</t>
  </si>
  <si>
    <t>9002</t>
  </si>
  <si>
    <t>9006</t>
  </si>
  <si>
    <t>9014</t>
  </si>
  <si>
    <t>9015</t>
  </si>
  <si>
    <t>9016</t>
  </si>
  <si>
    <t>9019</t>
  </si>
  <si>
    <t>9037</t>
  </si>
  <si>
    <t>Panera LAPint 12pk</t>
  </si>
  <si>
    <t>9035</t>
  </si>
  <si>
    <t>Panera LA Pint 25pk</t>
  </si>
  <si>
    <t>9031</t>
  </si>
  <si>
    <t>9038</t>
  </si>
  <si>
    <t>9050</t>
  </si>
  <si>
    <t>Noble ZING Lemonade 8/12oz</t>
  </si>
  <si>
    <t>9051</t>
  </si>
  <si>
    <t>Seminole Lemonade 8/12oz</t>
  </si>
  <si>
    <t>9064</t>
  </si>
  <si>
    <t>9091</t>
  </si>
  <si>
    <t>9105</t>
  </si>
  <si>
    <t>Captaian D's 4+1 LA FZN 6pk Hgln</t>
  </si>
  <si>
    <t>9112</t>
  </si>
  <si>
    <t>9115</t>
  </si>
  <si>
    <t>9124</t>
  </si>
  <si>
    <t>9121</t>
  </si>
  <si>
    <t>9123</t>
  </si>
  <si>
    <t>Charleys FZN La Cond 4+1 Gln 4pk</t>
  </si>
  <si>
    <t>9131</t>
  </si>
  <si>
    <t>9132</t>
  </si>
  <si>
    <t>9134</t>
  </si>
  <si>
    <t>SOI LA Cond 6+1 Fzn HGln 6pk</t>
  </si>
  <si>
    <t>9142</t>
  </si>
  <si>
    <t>Panera LA Cond 5+1 Fzn HGln 6pk</t>
  </si>
  <si>
    <t>9143</t>
  </si>
  <si>
    <t>9144</t>
  </si>
  <si>
    <t>9145</t>
  </si>
  <si>
    <t>9146</t>
  </si>
  <si>
    <t>9150</t>
  </si>
  <si>
    <t>J&amp;J LA Cond 4+1 Fzn HGln 6pk</t>
  </si>
  <si>
    <t>9163</t>
  </si>
  <si>
    <t>9164</t>
  </si>
  <si>
    <t>9165</t>
  </si>
  <si>
    <t>9166</t>
  </si>
  <si>
    <t>9168</t>
  </si>
  <si>
    <t>Panera RTD Blood Orange Carrot LA Pint 12pk</t>
  </si>
  <si>
    <t>9170</t>
  </si>
  <si>
    <t>SOI 3+1 Mint LA Fzn 6pk HGln</t>
  </si>
  <si>
    <t>9710</t>
  </si>
  <si>
    <t>9225</t>
  </si>
  <si>
    <t>9226</t>
  </si>
  <si>
    <t>Jamba LA 2.5+1 FZN HGln 9pk</t>
  </si>
  <si>
    <t>9334</t>
  </si>
  <si>
    <t>9516</t>
  </si>
  <si>
    <t>9834</t>
  </si>
  <si>
    <t>Diet LA 2+1 6pk Hgln FZN</t>
  </si>
  <si>
    <t>9564</t>
  </si>
  <si>
    <t>Seminole LA Pint 25pk</t>
  </si>
  <si>
    <t>9314</t>
  </si>
  <si>
    <t>Meyer LA 6pk Hgln</t>
  </si>
  <si>
    <t>9315</t>
  </si>
  <si>
    <t>OSSI LA Cond 4+1 Fzn HGln 6pk</t>
  </si>
  <si>
    <t>9324</t>
  </si>
  <si>
    <t>Meyer Strw LA 6pk Hgln</t>
  </si>
  <si>
    <t>9515</t>
  </si>
  <si>
    <t>9517</t>
  </si>
  <si>
    <t>Panera Stw La Mix RTU HGln 6pk</t>
  </si>
  <si>
    <t>9670</t>
  </si>
  <si>
    <t>SO 4+1 Mint LA FZN 6pk Hgln</t>
  </si>
  <si>
    <t>9822</t>
  </si>
  <si>
    <t>SOI LA 3+1 Fzn HGln 6pk</t>
  </si>
  <si>
    <t>9823</t>
  </si>
  <si>
    <t>Wendy's LA 3+1 Fzn HGln 6pk</t>
  </si>
  <si>
    <t>9824</t>
  </si>
  <si>
    <t>9454</t>
  </si>
  <si>
    <t>9630</t>
  </si>
  <si>
    <t>All Natural Lemon Sour 12pk qt</t>
  </si>
  <si>
    <t>9660</t>
  </si>
  <si>
    <t>9662</t>
  </si>
  <si>
    <t>Mr Hero Lemonade 6pk hgln FZN</t>
  </si>
  <si>
    <t>9664</t>
  </si>
  <si>
    <t>9709</t>
  </si>
  <si>
    <t>Backyard Burger LA 2+1 Cond Fzn Gln 4pk</t>
  </si>
  <si>
    <t>9814</t>
  </si>
  <si>
    <t>SOI 3+1 Sweet LA Mix Fzn HGln 9pk</t>
  </si>
  <si>
    <t>9455</t>
  </si>
  <si>
    <t>9456</t>
  </si>
  <si>
    <t>9820</t>
  </si>
  <si>
    <t>Auntie Annes LA Cond 3+1 Fzn HGln 6pk</t>
  </si>
  <si>
    <t>9901</t>
  </si>
  <si>
    <t>ACME Organic Lemonade 8/12oz</t>
  </si>
  <si>
    <t>9902</t>
  </si>
  <si>
    <t>Noble Organic Mint Lemonade 8/12oz</t>
  </si>
  <si>
    <t>9903</t>
  </si>
  <si>
    <t>Noble Organic Lemonade 8/12oz</t>
  </si>
  <si>
    <t>9910</t>
  </si>
  <si>
    <t>IN BOUND FREIGHT</t>
  </si>
  <si>
    <t>excludes sbux</t>
  </si>
  <si>
    <t>Prickly pear</t>
  </si>
  <si>
    <t>Mango</t>
  </si>
  <si>
    <t>Total Labor &amp; Overhead</t>
  </si>
  <si>
    <t xml:space="preserve"> Diff +(-)</t>
  </si>
  <si>
    <t>Freezer Cost Per Gallon (2 months + handling + freezing + unloading)</t>
  </si>
  <si>
    <t xml:space="preserve"> Frt cost/ equiv gln</t>
  </si>
  <si>
    <t>FG storage for not frozen FG</t>
  </si>
  <si>
    <t>MAKE SURE TO CHECK THIS VARIANCE TOO</t>
  </si>
  <si>
    <t>Gln not frozen (not including SBUX)</t>
  </si>
  <si>
    <t xml:space="preserve"> Freezer cost/ equiv gln</t>
  </si>
  <si>
    <t>SBUX gallons</t>
  </si>
  <si>
    <t>Freezer value on FG ingredients</t>
  </si>
  <si>
    <t>WDS recurring storage rate per gallon</t>
  </si>
  <si>
    <t>Ref storage value</t>
  </si>
  <si>
    <t>Prod Type</t>
  </si>
  <si>
    <t>Product Line</t>
  </si>
  <si>
    <t>Primary Production Site</t>
  </si>
  <si>
    <t>RTS</t>
  </si>
  <si>
    <t>Orange Juice</t>
  </si>
  <si>
    <t>KENNESAW</t>
  </si>
  <si>
    <t>Grapefruit Juice</t>
  </si>
  <si>
    <t>Apple Juice</t>
  </si>
  <si>
    <t>Citrus &amp; Bar Mixes</t>
  </si>
  <si>
    <t>COND</t>
  </si>
  <si>
    <t>ARCADIA</t>
  </si>
  <si>
    <t>4177T</t>
  </si>
  <si>
    <t>Natural Brands "Brewhouse" 2.5+1 Lemonade Base 270Gln Tote</t>
  </si>
  <si>
    <t>Labor &amp; Overhead Per Gallon - AZ</t>
  </si>
  <si>
    <t>Labor &amp; Overhead Per Gallon - FL</t>
  </si>
  <si>
    <t>WIP Inbound Freight Cap for FG</t>
  </si>
  <si>
    <t>Inbound Freight Costs to Inv Rev - Apple</t>
  </si>
  <si>
    <t>WIP Freezer Cap for FG</t>
  </si>
  <si>
    <t>Freezer Costs to Inv Rev - Apple</t>
  </si>
  <si>
    <t>Sun Orchard LLC. - AZ Divisions</t>
  </si>
  <si>
    <t xml:space="preserve">Inventory Value </t>
  </si>
  <si>
    <t>Fresh</t>
  </si>
  <si>
    <t xml:space="preserve">Raw </t>
  </si>
  <si>
    <t>Pkg</t>
  </si>
  <si>
    <t>Finished</t>
  </si>
  <si>
    <t>Fruit</t>
  </si>
  <si>
    <t xml:space="preserve"> Materials</t>
  </si>
  <si>
    <t>Materials</t>
  </si>
  <si>
    <t>Goods</t>
  </si>
  <si>
    <t>Fin Goods</t>
  </si>
  <si>
    <t>Labor</t>
  </si>
  <si>
    <t>OH (Prod)</t>
  </si>
  <si>
    <t>Overhead Ops</t>
  </si>
  <si>
    <t>Beginning Inventory</t>
  </si>
  <si>
    <t>Last month</t>
  </si>
  <si>
    <t>not updated historically - feb file matched march</t>
  </si>
  <si>
    <t>Purchase Receipts to Inventory</t>
  </si>
  <si>
    <t>Less Returns to Vendor</t>
  </si>
  <si>
    <t>Total Available</t>
  </si>
  <si>
    <t xml:space="preserve">Ending Inventory </t>
  </si>
  <si>
    <t>Cost of Goods Sold</t>
  </si>
  <si>
    <t>G/L Cost of Goods Sold</t>
  </si>
  <si>
    <t>Variance %</t>
  </si>
  <si>
    <t>Forcasting COGS</t>
  </si>
  <si>
    <t>Variance GL vs Forcasted</t>
  </si>
  <si>
    <t>Invty Val</t>
  </si>
  <si>
    <t>RSV-WIP</t>
  </si>
  <si>
    <t>RSV-FG</t>
  </si>
  <si>
    <t>RSV</t>
  </si>
  <si>
    <t>4310-130</t>
  </si>
  <si>
    <t>L&amp; O/H</t>
  </si>
  <si>
    <t>L &amp; O/H</t>
  </si>
  <si>
    <t>Prod Overhead</t>
  </si>
  <si>
    <t>Sun Orchard, LLC</t>
  </si>
  <si>
    <t>Recap of Financial Results</t>
  </si>
  <si>
    <t>Opening bal</t>
  </si>
  <si>
    <t>Activity</t>
  </si>
  <si>
    <t>Ending balance</t>
  </si>
  <si>
    <t>AFS Inventory</t>
  </si>
  <si>
    <t>AFS Trial</t>
  </si>
  <si>
    <t>01-11300-000-01</t>
  </si>
  <si>
    <t>Inventory - Fresh Fruit-.</t>
  </si>
  <si>
    <t>Value Report</t>
  </si>
  <si>
    <t>Balance</t>
  </si>
  <si>
    <t>01-11300-000-02</t>
  </si>
  <si>
    <t>01-11300-000-04</t>
  </si>
  <si>
    <t>Inventory - Fresh Fruit-.-</t>
  </si>
  <si>
    <t>Arizona</t>
  </si>
  <si>
    <t>01-11300-000-06</t>
  </si>
  <si>
    <t>Inventory - Fresh Fruit-.-TX Div</t>
  </si>
  <si>
    <t>11300-000</t>
  </si>
  <si>
    <t>Inventory - Fresh Fruit</t>
  </si>
  <si>
    <t>01-11310-000-01</t>
  </si>
  <si>
    <t>Inventory - Raw Materials-.</t>
  </si>
  <si>
    <t>11310-000</t>
  </si>
  <si>
    <t>Inventory -  Raw Materials</t>
  </si>
  <si>
    <t>01-11310-000-02</t>
  </si>
  <si>
    <t>11320-000</t>
  </si>
  <si>
    <t>Inventory-Pkg Materials</t>
  </si>
  <si>
    <t>01-11310-000-04</t>
  </si>
  <si>
    <t>Inventory - Raw Materials-.-</t>
  </si>
  <si>
    <t>11330-000</t>
  </si>
  <si>
    <t>Inventory - Work in Process</t>
  </si>
  <si>
    <t>01-11310-000-05</t>
  </si>
  <si>
    <t>Inventory - Raw Materials-.-France</t>
  </si>
  <si>
    <t>11340-000</t>
  </si>
  <si>
    <t>Inventory - Finished Goods</t>
  </si>
  <si>
    <t>01-11310-000-06</t>
  </si>
  <si>
    <t>Inventory - Raw Materials-.-TX Div</t>
  </si>
  <si>
    <t>Total Inventory Value Report EOM</t>
  </si>
  <si>
    <t>01-11311-000-01</t>
  </si>
  <si>
    <t>Obsolecensence Reserve FG -.</t>
  </si>
  <si>
    <t>01-11311-000-02</t>
  </si>
  <si>
    <t>Obsolecensence Reserve FG-.</t>
  </si>
  <si>
    <t>Florida</t>
  </si>
  <si>
    <t>01-11311-000-04</t>
  </si>
  <si>
    <t>Obsolecensence Reserve FG-.-</t>
  </si>
  <si>
    <t>01-11311-000-06</t>
  </si>
  <si>
    <t>Obsolescence Reserve FG-.-TX Div</t>
  </si>
  <si>
    <t>Inventory - Raw Materials</t>
  </si>
  <si>
    <t>01-11312-000-01</t>
  </si>
  <si>
    <t>Obsolecensence Reserve Packaging-.</t>
  </si>
  <si>
    <t>01-11312-000-02</t>
  </si>
  <si>
    <t>01-11312-000-04</t>
  </si>
  <si>
    <t>Obsolecensence Reserve Packaging-.-</t>
  </si>
  <si>
    <t>01-11312-000-06</t>
  </si>
  <si>
    <t>Obsolescence Reserve Packaging-.-TX Div</t>
  </si>
  <si>
    <t>01-11313-000-01</t>
  </si>
  <si>
    <t>Obsolecensence Reserve WIP-.</t>
  </si>
  <si>
    <t>01-11313-000-02</t>
  </si>
  <si>
    <t>Obsolecensence Reserve Juice-.</t>
  </si>
  <si>
    <t>Texas</t>
  </si>
  <si>
    <t>01-11313-000-04</t>
  </si>
  <si>
    <t>Obsolecensence Reserve WIP-.-</t>
  </si>
  <si>
    <t>01-11313-000-06</t>
  </si>
  <si>
    <t>Obsolescence Reserve WIP-.-TX Div</t>
  </si>
  <si>
    <t>01-11314-000-01</t>
  </si>
  <si>
    <t>Obsolecensence Reserve Raw-.</t>
  </si>
  <si>
    <t>01-11314-000-02</t>
  </si>
  <si>
    <t>01-11314-000-04</t>
  </si>
  <si>
    <t>Obsolecensence Reserve Raw-.-</t>
  </si>
  <si>
    <t>01-11314-000-06</t>
  </si>
  <si>
    <t>Obsolescence Reserve Raw-.-TX Div</t>
  </si>
  <si>
    <t>01-11315-000-01</t>
  </si>
  <si>
    <t>Inventory Raw - Inbound Freight &amp; Misc-.</t>
  </si>
  <si>
    <t>01-11315-000-02</t>
  </si>
  <si>
    <t>Inventory Raw  - Inbound Freight &amp; Misc-.</t>
  </si>
  <si>
    <t>Consolidated</t>
  </si>
  <si>
    <t>01-11315-000-04</t>
  </si>
  <si>
    <t>Inventory Raw - Inbound Freight &amp; Misc-.-</t>
  </si>
  <si>
    <t>01-11315-000-06</t>
  </si>
  <si>
    <t>Inventory Raw - Inbound Freight &amp; Misc-.-TX Div</t>
  </si>
  <si>
    <t>01-11320-000-01</t>
  </si>
  <si>
    <t>Inventory - Packaging-.</t>
  </si>
  <si>
    <t>01-11320-000-02</t>
  </si>
  <si>
    <t>01-11320-000-04</t>
  </si>
  <si>
    <t>Inventory - Packaging-.-</t>
  </si>
  <si>
    <t>01-11320-000-05</t>
  </si>
  <si>
    <t>Inventory - Packaging-.-France</t>
  </si>
  <si>
    <t>01-11320-000-06</t>
  </si>
  <si>
    <t>Inventory - Packaging-.-TX Div</t>
  </si>
  <si>
    <t>01-11330-000-01</t>
  </si>
  <si>
    <t>Inventory - Work in Process-.</t>
  </si>
  <si>
    <t>01-11330-000-02</t>
  </si>
  <si>
    <t>Inventory - Work In Process-.</t>
  </si>
  <si>
    <t>11335-000</t>
  </si>
  <si>
    <t>Capitalized yield loss on WIP</t>
  </si>
  <si>
    <t>01-11330-000-04</t>
  </si>
  <si>
    <t>Inventory - Work in Process-.-</t>
  </si>
  <si>
    <t>11336-000</t>
  </si>
  <si>
    <t>Capitalized yield loss on FG</t>
  </si>
  <si>
    <t>01-11330-000-06</t>
  </si>
  <si>
    <t>Inventory - Work in Process-.-TX Div</t>
  </si>
  <si>
    <t>01-11331-000-01</t>
  </si>
  <si>
    <t>Inventory - Labor &amp; O/H WIP-.</t>
  </si>
  <si>
    <t>01-11331-000-02</t>
  </si>
  <si>
    <t>01-11331-000-04</t>
  </si>
  <si>
    <t>Inventory - Labor &amp; O/H WIP-.-</t>
  </si>
  <si>
    <t>01-11331-000-06</t>
  </si>
  <si>
    <t>Inventory - Labor &amp; O/H WIP-.-TX Div</t>
  </si>
  <si>
    <t>01-11332-000-01</t>
  </si>
  <si>
    <t>Inventory - Drum Valuation-.</t>
  </si>
  <si>
    <t>01-11332-000-02</t>
  </si>
  <si>
    <t>01-11332-000-04</t>
  </si>
  <si>
    <t>Inventory - Drum Valuation-.-</t>
  </si>
  <si>
    <t>01-11332-000-06</t>
  </si>
  <si>
    <t>Inventory - Drum Valuation-.-TX Div</t>
  </si>
  <si>
    <t>Total capitalized yield loss</t>
  </si>
  <si>
    <t>01-11333-000-01</t>
  </si>
  <si>
    <t>Inventory - Freezer &amp; Frt - WIP-.</t>
  </si>
  <si>
    <t>01-11333-000-02</t>
  </si>
  <si>
    <t>Inventory - Freezer &amp; Frt WIP-.</t>
  </si>
  <si>
    <t>01-11333-000-04</t>
  </si>
  <si>
    <t>Inventory - Freezer &amp; Frt - WIP-.-</t>
  </si>
  <si>
    <t>01-11333-000-06</t>
  </si>
  <si>
    <t>Inventory - Freezer &amp; Frt - WIP-.-TX Div</t>
  </si>
  <si>
    <t>01-11334-000-01</t>
  </si>
  <si>
    <t>WIP In Transit-.</t>
  </si>
  <si>
    <t>01-11334-000-02</t>
  </si>
  <si>
    <t>01-11334-000-04</t>
  </si>
  <si>
    <t>WIP In Transit-.-</t>
  </si>
  <si>
    <t>01-11334-000-06</t>
  </si>
  <si>
    <t>WIP In Transit-.-TX Div</t>
  </si>
  <si>
    <t>01-11335-000-01</t>
  </si>
  <si>
    <t>Capitalized yield loss on WIP-.-AZ Div</t>
  </si>
  <si>
    <t>01-11335-000-02</t>
  </si>
  <si>
    <t>Capitalized yield loss on WIP-.-FL Div</t>
  </si>
  <si>
    <t>01-11335-000-04</t>
  </si>
  <si>
    <t>Capitalized yield loss on WIP-.-</t>
  </si>
  <si>
    <t>01-11335-000-06</t>
  </si>
  <si>
    <t>Capitalized yield loss on WIP-.-TX Div</t>
  </si>
  <si>
    <t>01-11336-000-01</t>
  </si>
  <si>
    <t>Capitalized yield loss on FG-.-AZ Div</t>
  </si>
  <si>
    <t>01-11336-000-02</t>
  </si>
  <si>
    <t>Capitalized yield loss on FG-.-FL Div</t>
  </si>
  <si>
    <t>01-11336-000-04</t>
  </si>
  <si>
    <t>Capitalized yield loss on FG-.-</t>
  </si>
  <si>
    <t>01-11336-000-06</t>
  </si>
  <si>
    <t>Capitalized yield loss on FG-.-TX Div</t>
  </si>
  <si>
    <t>01-11337-000-01</t>
  </si>
  <si>
    <t>Capitalized PPV-.-AZ Div</t>
  </si>
  <si>
    <t>01-11337-000-02</t>
  </si>
  <si>
    <t>Capitalized PPV-.-FL Div</t>
  </si>
  <si>
    <t>01-11337-000-04</t>
  </si>
  <si>
    <t>Capitalized PPV-.-</t>
  </si>
  <si>
    <t>01-11337-000-06</t>
  </si>
  <si>
    <t>Capitalized PPV-.-TX Div</t>
  </si>
  <si>
    <t>01-11340-000-01</t>
  </si>
  <si>
    <t>Inventory - FInished Goods-.</t>
  </si>
  <si>
    <t>01-11340-000-02</t>
  </si>
  <si>
    <t>Inventory - Finished Goods-.</t>
  </si>
  <si>
    <t>01-11340-000-04</t>
  </si>
  <si>
    <t>Inventory - FInished Goods-.-</t>
  </si>
  <si>
    <t>01-11340-000-06</t>
  </si>
  <si>
    <t>Inventory - FInished Goods-.-TX Div</t>
  </si>
  <si>
    <t>01-11341-000-01</t>
  </si>
  <si>
    <t>Inventory - Labor &amp; O/H FG-.</t>
  </si>
  <si>
    <t>01-11341-000-02</t>
  </si>
  <si>
    <t>01-11341-000-04</t>
  </si>
  <si>
    <t>Inventory - Labor &amp; O/H FG-.-</t>
  </si>
  <si>
    <t>01-11341-000-06</t>
  </si>
  <si>
    <t>Inventory - Labor &amp; O/H FG-.-TX Div</t>
  </si>
  <si>
    <t>01-11342-000-01</t>
  </si>
  <si>
    <t>Inventory - Freezer &amp; Frt FG-.</t>
  </si>
  <si>
    <t>01-11342-000-02</t>
  </si>
  <si>
    <t>01-11342-000-04</t>
  </si>
  <si>
    <t>Invenotry - Freezer &amp; Frt - FG-.-</t>
  </si>
  <si>
    <t>01-11342-000-06</t>
  </si>
  <si>
    <t>Invenotry - Freezer &amp; Frt - FG-.-TX Div</t>
  </si>
  <si>
    <t>01-11343-000-01</t>
  </si>
  <si>
    <t>Deferred Inventory-.-AZ Div</t>
  </si>
  <si>
    <t>01-11343-000-04</t>
  </si>
  <si>
    <t>Deferred Inventory-.-</t>
  </si>
  <si>
    <t>01-11343-000-06</t>
  </si>
  <si>
    <t>Deferred Inventory-.-TX Div</t>
  </si>
  <si>
    <t>01-11344-000-01</t>
  </si>
  <si>
    <t>Spare Part Inventory-.-AZ Div</t>
  </si>
  <si>
    <t>01-11344-000-02</t>
  </si>
  <si>
    <t>Spare Part Inventory-.-FL Div</t>
  </si>
  <si>
    <t>01-11344-000-03</t>
  </si>
  <si>
    <t>Spare Part Inventory-.-Miami</t>
  </si>
  <si>
    <t>01-11344-000-04</t>
  </si>
  <si>
    <t>Spare Part Inventory-.-</t>
  </si>
  <si>
    <t>01-11344-000-06</t>
  </si>
  <si>
    <t>Spare Part Inventory-.-TX Div</t>
  </si>
  <si>
    <t>01-11345-000-01</t>
  </si>
  <si>
    <t>Inventory- Shipping Materials-.-AZ Div</t>
  </si>
  <si>
    <t>01-11345-000-02</t>
  </si>
  <si>
    <t>Inventory- Shipping Materials-.-FL Div</t>
  </si>
  <si>
    <t>01-11345-000-04</t>
  </si>
  <si>
    <t>Inventory- Shipping Materials-.-</t>
  </si>
  <si>
    <t>01-11345-000-06</t>
  </si>
  <si>
    <t>Inventory- Shipping Materials-.-TX Div</t>
  </si>
  <si>
    <t>Summary of Inventory Value</t>
  </si>
  <si>
    <t>*  All uncalculated $ are taken from the AFS value reports provided</t>
  </si>
  <si>
    <t>11315-000</t>
  </si>
  <si>
    <t>Inventory Raw - Inbound Freight &amp; Misc</t>
  </si>
  <si>
    <t>11314-000</t>
  </si>
  <si>
    <t>Obsolescence Reserve - Raw</t>
  </si>
  <si>
    <t>Total Raw Material</t>
  </si>
  <si>
    <t>11312-000</t>
  </si>
  <si>
    <t>Obsolescence Reserve - Packaging</t>
  </si>
  <si>
    <t>11345-000</t>
  </si>
  <si>
    <t>Inventory- Shipping Materials</t>
  </si>
  <si>
    <t>Total Packaging</t>
  </si>
  <si>
    <t>Inventory -WIP Materials</t>
  </si>
  <si>
    <t>11331-000</t>
  </si>
  <si>
    <t>Inventory WIP Labor &amp; OH</t>
  </si>
  <si>
    <t>11333-000</t>
  </si>
  <si>
    <t>Inventory WIP - Inbound Freight &amp; Misc</t>
  </si>
  <si>
    <t>11332-000</t>
  </si>
  <si>
    <t>Drum Amortization Reserve</t>
  </si>
  <si>
    <t>11313-000</t>
  </si>
  <si>
    <t>Obsolescence Reserve -WIP</t>
  </si>
  <si>
    <t>Total Work in Process Inventory</t>
  </si>
  <si>
    <t>Inventory Finished Goods - Materials</t>
  </si>
  <si>
    <t>11341-000</t>
  </si>
  <si>
    <t>Inventory Finished Goods - Labor &amp; OH</t>
  </si>
  <si>
    <t>11342-000</t>
  </si>
  <si>
    <t>Inventory Finished Goods - Inbound Freight &amp; Misc</t>
  </si>
  <si>
    <t>11343-000</t>
  </si>
  <si>
    <t>Deferred Inventory</t>
  </si>
  <si>
    <t>11344-000</t>
  </si>
  <si>
    <t>Inventory - Spare Parts</t>
  </si>
  <si>
    <t>11311-000</t>
  </si>
  <si>
    <t>Obsolescence Reserve - Finished Goods</t>
  </si>
  <si>
    <t>Total Finished Good Inventory</t>
  </si>
  <si>
    <t>Sun Orchard, LLC.</t>
  </si>
  <si>
    <t>AZ Plant</t>
  </si>
  <si>
    <t>Shop floor</t>
  </si>
  <si>
    <t>Alameda</t>
  </si>
  <si>
    <t>Transit</t>
  </si>
  <si>
    <t>FL Plant</t>
  </si>
  <si>
    <t>Tx warehouse</t>
  </si>
  <si>
    <t>Burris</t>
  </si>
  <si>
    <t>SLG</t>
  </si>
  <si>
    <t>Citrosuco</t>
  </si>
  <si>
    <t>Americold Bartow</t>
  </si>
  <si>
    <t>FreshCo</t>
  </si>
  <si>
    <t>Suddath</t>
  </si>
  <si>
    <t>Burris Lakeland</t>
  </si>
  <si>
    <t>CGA</t>
  </si>
  <si>
    <t>Old Combee</t>
  </si>
  <si>
    <t>CGA-2</t>
  </si>
  <si>
    <t>Americold Plant City</t>
  </si>
  <si>
    <t>WDS</t>
  </si>
  <si>
    <t>Dundee CGA</t>
  </si>
  <si>
    <t>PRODALIM</t>
  </si>
  <si>
    <t>01</t>
  </si>
  <si>
    <t xml:space="preserve"> 11315-000</t>
  </si>
  <si>
    <t>Total Raw Materials</t>
  </si>
  <si>
    <t>Inventory -WIP</t>
  </si>
  <si>
    <t>Inventory Valuation RSV - WIP</t>
  </si>
  <si>
    <t>Obsolescence Reserve - WIP</t>
  </si>
  <si>
    <t xml:space="preserve"> 11334-000</t>
  </si>
  <si>
    <t>WIP In Transit</t>
  </si>
  <si>
    <t>Inventory finished goods</t>
  </si>
  <si>
    <t>Labor &amp; Overhead - FG</t>
  </si>
  <si>
    <t>Inventory Valuation RSV FG</t>
  </si>
  <si>
    <t>Obsolescence Reserve - FG</t>
  </si>
  <si>
    <t>GT Audit "Variable costs"</t>
  </si>
  <si>
    <t>JE 3</t>
  </si>
  <si>
    <t xml:space="preserve">   Record Inbound Freight - WIP</t>
  </si>
  <si>
    <t>Account Name</t>
  </si>
  <si>
    <t>Account#</t>
  </si>
  <si>
    <t>Dept#</t>
  </si>
  <si>
    <t>Dr</t>
  </si>
  <si>
    <t>CR</t>
  </si>
  <si>
    <t>Trial balance pre entry</t>
  </si>
  <si>
    <t>Entries</t>
  </si>
  <si>
    <t>Balance post entry</t>
  </si>
  <si>
    <t>Theoretic balance</t>
  </si>
  <si>
    <t>Difference</t>
  </si>
  <si>
    <t>Inventory Valuation</t>
  </si>
  <si>
    <t>000</t>
  </si>
  <si>
    <t>D</t>
  </si>
  <si>
    <t>C</t>
  </si>
  <si>
    <t>COGS freight - Orange</t>
  </si>
  <si>
    <t>COGS freight - Gft</t>
  </si>
  <si>
    <t>COGS freight - Lemon</t>
  </si>
  <si>
    <t>COGS freight - Lime</t>
  </si>
  <si>
    <t>COGS freight - Outside Pur</t>
  </si>
  <si>
    <t>Obsolescence</t>
  </si>
  <si>
    <t>02</t>
  </si>
  <si>
    <t>Inv Valuation RSV-WIP</t>
  </si>
  <si>
    <t>JE 4</t>
  </si>
  <si>
    <t>Record Freezer Expense</t>
  </si>
  <si>
    <t>Inventory Value - WIP</t>
  </si>
  <si>
    <t>JE 5</t>
  </si>
  <si>
    <t>Record Raw material Inbound freight</t>
  </si>
  <si>
    <t>COGS Outside Purchases</t>
  </si>
  <si>
    <t>Raw Inbound Freight</t>
  </si>
  <si>
    <t>Freezer credit/(debit)</t>
  </si>
  <si>
    <t>DL&amp;OH credit/(debit)</t>
  </si>
  <si>
    <t>JE 6</t>
  </si>
  <si>
    <t>COGS credit/(debit)</t>
  </si>
  <si>
    <t>Adjust Variance</t>
  </si>
  <si>
    <t>Freezer cap for RM included in JE 5</t>
  </si>
  <si>
    <t>Total credit/ (debit)</t>
  </si>
  <si>
    <t>TX plugged into JE to balance TB/perpetual</t>
  </si>
  <si>
    <t>Plug TX into other JE's after getting OK from SMc to cap NB costs</t>
  </si>
  <si>
    <t>Inventory - Pkg Materials</t>
  </si>
  <si>
    <t>Inventory - WIP</t>
  </si>
  <si>
    <t>Inventory - FG</t>
  </si>
  <si>
    <t>Account Variance - Juice</t>
  </si>
  <si>
    <t>Account Variance - Raw</t>
  </si>
  <si>
    <t>Account Variance - Pkg</t>
  </si>
  <si>
    <t>Account Variance - FG</t>
  </si>
  <si>
    <t>Account Variance - Fresh Fruit</t>
  </si>
  <si>
    <t>Inventory -Pkg Materials</t>
  </si>
  <si>
    <t>Account Variance - pkg</t>
  </si>
  <si>
    <t>06</t>
  </si>
  <si>
    <t>JE 7</t>
  </si>
  <si>
    <t>Adjust Inventory Labor &amp; O/H</t>
  </si>
  <si>
    <t>Labor &amp; O/H - WIP</t>
  </si>
  <si>
    <t>Labor &amp; OH - FG</t>
  </si>
  <si>
    <t>Labor CR</t>
  </si>
  <si>
    <t>exp acc</t>
  </si>
  <si>
    <t>Overhead Prod Cost</t>
  </si>
  <si>
    <t>Overhead Operations</t>
  </si>
  <si>
    <t>Labor &amp; O/H - FG</t>
  </si>
  <si>
    <t>JE 8</t>
  </si>
  <si>
    <t>Record Inbound Freight F/G</t>
  </si>
  <si>
    <t>Outside Purchases</t>
  </si>
  <si>
    <t>COGS Freight - Orange</t>
  </si>
  <si>
    <t>COGS Freight - Lemon</t>
  </si>
  <si>
    <t>COGS Freight - Lime</t>
  </si>
  <si>
    <t>COGS Freight - GFT</t>
  </si>
  <si>
    <t>Inventory Valuation RSV - FG</t>
  </si>
  <si>
    <t>JE 9</t>
  </si>
  <si>
    <t>Record Freezer Expense F/G</t>
  </si>
  <si>
    <t>Direct Labor and Overhead</t>
  </si>
  <si>
    <t>01-16995-000-01</t>
  </si>
  <si>
    <t>01-16996-000-01</t>
  </si>
  <si>
    <t>01-16997-000-01</t>
  </si>
  <si>
    <t>01-16995-000-02</t>
  </si>
  <si>
    <t>01-16996-000-02</t>
  </si>
  <si>
    <t>01-16997-000-02</t>
  </si>
  <si>
    <t>01-15180-000-01</t>
  </si>
  <si>
    <t>01-15180-000-02</t>
  </si>
  <si>
    <t>01-15110-000-01</t>
  </si>
  <si>
    <t>01-15120-000-01</t>
  </si>
  <si>
    <t>01-15130-000-01</t>
  </si>
  <si>
    <t>01-15140-000-01</t>
  </si>
  <si>
    <t>01-15140-000-02</t>
  </si>
  <si>
    <t>01-15110-000-02</t>
  </si>
  <si>
    <t>01-15191-000-01</t>
  </si>
  <si>
    <t>01-15191-000-02</t>
  </si>
  <si>
    <t>Lime Juice Drum Mexico</t>
  </si>
  <si>
    <t>L03391NV2</t>
  </si>
  <si>
    <t>Peach Honey Chamomile Tea 6pk/64oz Nutrition V2</t>
  </si>
  <si>
    <t>L03390NV2</t>
  </si>
  <si>
    <t>Blueberry Lavender Tea 6pk/64oz Nutrition V2</t>
  </si>
  <si>
    <t>extraction</t>
  </si>
  <si>
    <t xml:space="preserve"> x 0.5773 =</t>
  </si>
  <si>
    <t>Strw Puree 7 Brix - seedless Chilled Aseptic</t>
  </si>
  <si>
    <t>NUT004T</t>
  </si>
  <si>
    <t>Coconut Water 4 Brix Aseptic Tote</t>
  </si>
  <si>
    <t>J4009</t>
  </si>
  <si>
    <t>Lemon Juice-Argentinean Aseptic Bins in GL</t>
  </si>
  <si>
    <t>Strw Puree w/seeds Chilled Aseptic</t>
  </si>
  <si>
    <t>Lemon Juice Internal Drum 45GL</t>
  </si>
  <si>
    <t>OJ USA California Valencia Internal Drum 45GL</t>
  </si>
  <si>
    <t>L0104SV2</t>
  </si>
  <si>
    <t>Lime Juice Qt Version 2</t>
  </si>
  <si>
    <t>L0104SNV2</t>
  </si>
  <si>
    <t>Lime Juice Qt Nutrition Version 2</t>
  </si>
  <si>
    <t>J5170</t>
  </si>
  <si>
    <t>Natural Brands 3+1 Lemonade Base &amp; Sour Mix</t>
  </si>
  <si>
    <t>L1461V2</t>
  </si>
  <si>
    <t>70/30 Lime Lemon Juice Gln Version 2</t>
  </si>
  <si>
    <t>Variance DL&amp;OH</t>
  </si>
  <si>
    <t>FLV157</t>
  </si>
  <si>
    <t>Natural Lemon Extract (515804T)</t>
  </si>
  <si>
    <t>50/Pail</t>
  </si>
  <si>
    <t>L02112V3</t>
  </si>
  <si>
    <t>Old Fashioned Lemonade Mix V3</t>
  </si>
  <si>
    <t>Lemon Juice-Mexican Aseptic Bins in GL</t>
  </si>
  <si>
    <t>L0103SNV3</t>
  </si>
  <si>
    <t>Lemon Juice Qt Nutrition V3</t>
  </si>
  <si>
    <t>L0103SV3</t>
  </si>
  <si>
    <t>Lemon Juice Qt V3</t>
  </si>
  <si>
    <t>Kennesaw Orange Strawberry Juice Pt 12pk</t>
  </si>
  <si>
    <t>California Valencia Tanker</t>
  </si>
  <si>
    <t>BOX414V2</t>
  </si>
  <si>
    <t>BRN 6/Qt RSC V2</t>
  </si>
  <si>
    <t>FF</t>
  </si>
  <si>
    <t>L0131LV2</t>
  </si>
  <si>
    <t>Gft Juice 6 Pk HGln Version 2</t>
  </si>
  <si>
    <t>L0131LNV2</t>
  </si>
  <si>
    <t>Gft Juice 6 Pk HGln Nutrition Version 2</t>
  </si>
  <si>
    <t>FF Total</t>
  </si>
  <si>
    <t>Freight</t>
  </si>
  <si>
    <t>Freight Variance</t>
  </si>
  <si>
    <t>Freezer Variance</t>
  </si>
  <si>
    <t>az</t>
  </si>
  <si>
    <t>fl</t>
  </si>
  <si>
    <t>gallons on hand - gallons without cap rate</t>
  </si>
  <si>
    <t>This is gallons subject to L&amp;OH capitalization</t>
  </si>
  <si>
    <t>Rate per gallon. Based on Lineage charges, 50% efficient</t>
  </si>
  <si>
    <t>Formula breakdown: total gallons on hand - gallons without cap rate</t>
  </si>
  <si>
    <t>Freezer  cap rate $/CS/DR/TT</t>
  </si>
  <si>
    <t>*</t>
  </si>
  <si>
    <t>Dallas</t>
  </si>
  <si>
    <t>Houston</t>
  </si>
  <si>
    <t>San Antonio</t>
  </si>
  <si>
    <t>expected oct rate</t>
  </si>
  <si>
    <t>L0104SFV2</t>
  </si>
  <si>
    <t>Lime Juice Qt FZN Version 2</t>
  </si>
  <si>
    <t>High-Acid Lemon Juice with Concentrate REF 270Gln Tote</t>
  </si>
  <si>
    <t>L0103LFV3</t>
  </si>
  <si>
    <t>Lemon Juice Gln FZN Version 3</t>
  </si>
  <si>
    <t>L01133FV2</t>
  </si>
  <si>
    <t>SOI All Natural Lemon Sour QT V2</t>
  </si>
  <si>
    <t>freight vs lm</t>
  </si>
  <si>
    <t>Blueberry Lavender Tea 6pk 64oz</t>
  </si>
  <si>
    <t>Peach Honey Chamomile Tea 6pk 64oz</t>
  </si>
  <si>
    <t>High-Acid Lemon Juice with Concentrate 270 Gal Tote</t>
  </si>
  <si>
    <t>FF405</t>
  </si>
  <si>
    <t>CA Lemons</t>
  </si>
  <si>
    <t>L01031F</t>
  </si>
  <si>
    <t>Lemon Juice 61.5oz FZN</t>
  </si>
  <si>
    <t>Mango Puree Con</t>
  </si>
  <si>
    <t>5807</t>
  </si>
  <si>
    <t>J7916</t>
  </si>
  <si>
    <t>OJ USA Juice Internal Drum 45GL</t>
  </si>
  <si>
    <t>Condensed Lemonade Base Drum REF 48GL</t>
  </si>
  <si>
    <t>BTL012</t>
  </si>
  <si>
    <t>12oz PET Bottle DBJ Neck</t>
  </si>
  <si>
    <t>L01307FV2</t>
  </si>
  <si>
    <t>NP Orange Juice 61.5oz FZN Version 2</t>
  </si>
  <si>
    <t>NB Orange Juice REF 12oz 12pk</t>
  </si>
  <si>
    <t>NB Grapefruit Juice REF 12oz 12pk</t>
  </si>
  <si>
    <t>NB Lemonade RTS REF 12oz 12pk</t>
  </si>
  <si>
    <t>NB Strawberry Lemonade RTS REF 12oz 12pk</t>
  </si>
  <si>
    <t>BOX522</t>
  </si>
  <si>
    <t>BRN 12pk 12oz RSC</t>
  </si>
  <si>
    <t>1,125/PLT</t>
  </si>
  <si>
    <t>Marg Mix 3+1</t>
  </si>
  <si>
    <t>J9638</t>
  </si>
  <si>
    <t>LA Strw RTS NB</t>
  </si>
  <si>
    <t>L4106</t>
  </si>
  <si>
    <t>L4106N</t>
  </si>
  <si>
    <t>L4116</t>
  </si>
  <si>
    <t>L4116N</t>
  </si>
  <si>
    <t>L4136</t>
  </si>
  <si>
    <t>L4136N</t>
  </si>
  <si>
    <t>L4138</t>
  </si>
  <si>
    <t>L4138N</t>
  </si>
  <si>
    <t>Fruit Smart Apple Juice Tanker</t>
  </si>
  <si>
    <t>Lime Juice Tanker Mexico</t>
  </si>
  <si>
    <t>5,500/Tanker</t>
  </si>
  <si>
    <t>Past Lemon Juice Drum REF 48GL</t>
  </si>
  <si>
    <t>extraction drumming</t>
  </si>
  <si>
    <t>01-11320-000-07</t>
  </si>
  <si>
    <t>Inventory - Packaging-.-FL 55</t>
  </si>
  <si>
    <t>01-11330-000-07</t>
  </si>
  <si>
    <t>Inventory - Work in Process-.-FL 55</t>
  </si>
  <si>
    <t>01-11340-000-07</t>
  </si>
  <si>
    <t>Inventory - Finished Goods-.-FL 55</t>
  </si>
  <si>
    <t>L01132FV2</t>
  </si>
  <si>
    <t>SOI 3+1 Sweet LA Mix HGln Version 2</t>
  </si>
  <si>
    <t>LA 3+1 HGln Version 4</t>
  </si>
  <si>
    <t>NB Orange Juice 12oz</t>
  </si>
  <si>
    <t>NB Orange Juice 12oz Nutrition</t>
  </si>
  <si>
    <t>NB Grapefruit Juice 12oz</t>
  </si>
  <si>
    <t>NB Grapefruit Juice 12oz Nutrition</t>
  </si>
  <si>
    <t>NB Lemonade 12oz</t>
  </si>
  <si>
    <t>NB Lemonade 12oz Nutrition</t>
  </si>
  <si>
    <t>NB Strawberry Lemonade 12oz</t>
  </si>
  <si>
    <t>NB Strawberry Lemonade 12oz Nutrition</t>
  </si>
  <si>
    <t>FLV138</t>
  </si>
  <si>
    <t>Black Tea Extract with Omija Flavor 150 Fold</t>
  </si>
  <si>
    <t>SWT018</t>
  </si>
  <si>
    <t>Liquid Sucrose Totes</t>
  </si>
  <si>
    <t>2,550/Tote</t>
  </si>
  <si>
    <t>Lime Lemon Juice</t>
  </si>
  <si>
    <t>J7547</t>
  </si>
  <si>
    <t>OJ Mexican Juice in Drums</t>
  </si>
  <si>
    <t>Wendy's LA 3+1 Rvd</t>
  </si>
  <si>
    <t>07</t>
  </si>
  <si>
    <t>Davenport</t>
  </si>
  <si>
    <t>BOX700WA</t>
  </si>
  <si>
    <t>BRN 6pk 1.5L Aseptic Wrap Around</t>
  </si>
  <si>
    <t>Condensed Limeade Base REF 270Gln Tote</t>
  </si>
  <si>
    <t>Inventory - Raw Materials-.-FL 55</t>
  </si>
  <si>
    <t>01-11310-000-07</t>
  </si>
  <si>
    <t>added 060925*</t>
  </si>
  <si>
    <t>01-11344-000-07</t>
  </si>
  <si>
    <t>Spare Part Inventory-.-FL 55</t>
  </si>
  <si>
    <t>removed "" for formula</t>
  </si>
  <si>
    <t>Usually drummed off to J8506. Check J8506</t>
  </si>
  <si>
    <t>DAV</t>
  </si>
  <si>
    <t>DAV Total</t>
  </si>
  <si>
    <t xml:space="preserve"> x  =</t>
  </si>
  <si>
    <t>BOX169WAV2</t>
  </si>
  <si>
    <t>6 Hgln 100% Red Gft WA V2</t>
  </si>
  <si>
    <t>PUR001FRZ</t>
  </si>
  <si>
    <t>Strw Puree w/seeds Frozen</t>
  </si>
  <si>
    <t>DRL01V2</t>
  </si>
  <si>
    <t>Drum Label Preprinted 4" x 7.875" V2</t>
  </si>
  <si>
    <t>added "" for formula</t>
  </si>
  <si>
    <t>Inventory - Work in Process-.-France</t>
  </si>
  <si>
    <t>01-11330-000-05</t>
  </si>
  <si>
    <t>added 070925</t>
  </si>
  <si>
    <t>Freezer increase due to build of Spanish Lemon Bins, &amp; Lime tankers, and OJ totes</t>
  </si>
  <si>
    <t>check this</t>
  </si>
  <si>
    <t>Freight increase J7053 mexican valencia tote and apple</t>
  </si>
  <si>
    <t>J4008 no freight (historically)</t>
  </si>
  <si>
    <t>SBUX will be moved here once we start producing it</t>
  </si>
  <si>
    <t>As of July 31st 2025</t>
  </si>
  <si>
    <t xml:space="preserve"> x 0.0750313990532572 =</t>
  </si>
  <si>
    <t xml:space="preserve"> x 0.335146202641198 =</t>
  </si>
  <si>
    <t xml:space="preserve"> x 0.897916928020516 =</t>
  </si>
  <si>
    <t xml:space="preserve"> x 1.4382 =</t>
  </si>
  <si>
    <t>CAVA Blueberry Lavender Puree FZN 6pk 30.5oz</t>
  </si>
  <si>
    <t>L01062FV3</t>
  </si>
  <si>
    <t>SOI Margarita Mix 3+1 HGln Version 3</t>
  </si>
  <si>
    <t>Condensed Strawberry Lemonade Base Drum REF 48GL</t>
  </si>
  <si>
    <t>PUR017FRZ</t>
  </si>
  <si>
    <t>Strw Puree 7 Brix - seedless Frozen</t>
  </si>
  <si>
    <t>J2520</t>
  </si>
  <si>
    <t>Mixed Berry Omija 6+1</t>
  </si>
  <si>
    <t>new</t>
  </si>
  <si>
    <t>done</t>
  </si>
  <si>
    <t>confirming w/ coretta</t>
  </si>
  <si>
    <t>Consumption of purees that were previously transferred; build of sweetners (mainly cane sugar with no freight)</t>
  </si>
  <si>
    <t>consumption of purees</t>
  </si>
  <si>
    <t>due to inulin</t>
  </si>
  <si>
    <t>OJ primarily; lemon lime as well</t>
  </si>
  <si>
    <t>primarily due to lemon juice tankers &amp; mexican valencia OJ totes</t>
  </si>
  <si>
    <t>primarily due to consumption of extracted lemon which was then offset by the build of extracted OJ</t>
  </si>
  <si>
    <t>Per JHM, no TX capitalization until FY26</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</si>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</sst>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5" formatCode="&quot;$&quot;#,##0_);\(&quot;$&quot;#,##0\)"/>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mm/dd/yy"/>
    <numFmt numFmtId="166" formatCode="_(* #,##0.0000_);_(* \(#,##0.0000\);_(* &quot;-&quot;??_);_(@_)"/>
    <numFmt numFmtId="167" formatCode="_(* #,##0.00000_);_(* \(#,##0.00000\);_(* &quot;-&quot;??_);_(@_)"/>
    <numFmt numFmtId="168" formatCode="_(* #,##0.00_);_(* \(#,##0.00\);_(* &quot;-&quot;_);_(@_)"/>
    <numFmt numFmtId="169" formatCode="0.0%"/>
    <numFmt numFmtId="170" formatCode="_(* #,##0.0_);_(* \(#,##0.0\);_(* &quot;-&quot;??_);_(@_)"/>
    <numFmt numFmtId="171" formatCode="_(&quot;$&quot;* #,##0_);_(&quot;$&quot;* \(#,##0\);_(&quot;$&quot;* &quot;-&quot;??_);_(@_)"/>
    <numFmt numFmtId="172" formatCode="_(* #,##0.000_);_(* \(#,##0.000\);_(* &quot;-&quot;??_);_(@_)"/>
    <numFmt numFmtId="173" formatCode="&quot;$&quot;#,##0.0000_);[Red]\(&quot;$&quot;#,##0.0000\)"/>
    <numFmt numFmtId="174" formatCode="&quot;$&quot;#,##0.000_);[Red]\(&quot;$&quot;#,##0.000\)"/>
    <numFmt numFmtId="175" formatCode="_(* #,##0.0000000000000000000000_);_(* \(#,##0.0000000000000000000000\);_(* &quot;-&quot;??_);_(@_)"/>
    <numFmt numFmtId="176" formatCode="0.0000000000000000000"/>
    <numFmt numFmtId="177" formatCode="0.00000000000000000000000"/>
    <numFmt numFmtId="180" formatCode="0.0000"/>
    <numFmt numFmtId="193" formatCode="0.00000000000000000000"/>
  </numFmts>
  <fonts count="46">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color indexed="81"/>
      <name val="Tahoma"/>
      <family val="2"/>
    </font>
    <font>
      <b/>
      <sz val="8"/>
      <color indexed="81"/>
      <name val="Tahoma"/>
      <family val="2"/>
    </font>
    <font>
      <sz val="10"/>
      <color indexed="10"/>
      <name val="Arial"/>
      <family val="2"/>
    </font>
    <font>
      <sz val="8"/>
      <name val="Arial"/>
      <family val="2"/>
    </font>
    <font>
      <sz val="10"/>
      <color indexed="10"/>
      <name val="Arial"/>
      <family val="2"/>
    </font>
    <font>
      <b/>
      <sz val="10"/>
      <color indexed="10"/>
      <name val="Arial"/>
      <family val="2"/>
    </font>
    <font>
      <b/>
      <u/>
      <sz val="10"/>
      <name val="Arial"/>
      <family val="2"/>
    </font>
    <font>
      <sz val="11"/>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FF0000"/>
      <name val="Arial"/>
      <family val="2"/>
    </font>
    <font>
      <b/>
      <sz val="10"/>
      <color theme="4"/>
      <name val="Arial"/>
      <family val="2"/>
    </font>
    <font>
      <b/>
      <sz val="10"/>
      <color theme="1"/>
      <name val="Arial"/>
      <family val="2"/>
    </font>
    <font>
      <sz val="10"/>
      <color theme="1"/>
      <name val="Arial"/>
      <family val="2"/>
    </font>
    <font>
      <sz val="10"/>
      <color indexed="8"/>
      <name val="Arial"/>
      <family val="2"/>
    </font>
    <font>
      <b/>
      <sz val="10"/>
      <color theme="4" tint="-0.249977111117893"/>
      <name val="Arial"/>
      <family val="2"/>
    </font>
    <font>
      <sz val="9"/>
      <color indexed="64"/>
      <name val="Tahoma"/>
      <family val="2"/>
    </font>
    <font>
      <b/>
      <sz val="11"/>
      <color theme="1"/>
      <name val="Calibri"/>
      <family val="2"/>
      <scheme val="minor"/>
    </font>
    <font>
      <b/>
      <sz val="10"/>
      <color rgb="FF0070C0"/>
      <name val="Arial"/>
      <family val="2"/>
    </font>
    <font>
      <b/>
      <sz val="9"/>
      <color indexed="81"/>
      <name val="Tahoma"/>
      <family val="2"/>
    </font>
    <font>
      <sz val="10"/>
      <color rgb="FFFF0000"/>
      <name val="Arial"/>
      <family val="2"/>
    </font>
    <font>
      <sz val="9"/>
      <color indexed="81"/>
      <name val="Tahoma"/>
      <family val="2"/>
    </font>
    <font>
      <sz val="10"/>
      <color rgb="FFC00000"/>
      <name val="Arial"/>
      <family val="2"/>
    </font>
    <font>
      <u/>
      <sz val="10"/>
      <name val="Arial"/>
      <family val="2"/>
    </font>
    <font>
      <sz val="8"/>
      <color rgb="FFFF0000"/>
      <name val="Arial"/>
      <family val="2"/>
    </font>
    <font>
      <b/>
      <sz val="9"/>
      <name val="Arial"/>
      <family val="2"/>
    </font>
    <font>
      <i/>
      <sz val="9"/>
      <color indexed="81"/>
      <name val="Tahoma"/>
      <family val="2"/>
    </font>
    <font>
      <sz val="10"/>
      <color rgb="FFEE0000"/>
      <name val="Arial"/>
      <family val="2"/>
    </font>
    <font>
      <b/>
      <sz val="10"/>
      <color rgb="FFEE0000"/>
      <name val="Arial"/>
      <family val="2"/>
    </font>
    <font>
      <sz val="9"/>
      <color indexed="81"/>
      <name val="Tahoma"/>
      <charset val="1"/>
    </font>
    <font>
      <b/>
      <sz val="9"/>
      <color indexed="81"/>
      <name val="Tahoma"/>
      <charset val="1"/>
    </font>
  </fonts>
  <fills count="28">
    <fill>
      <patternFill patternType="none"/>
    </fill>
    <fill>
      <patternFill patternType="gray125"/>
    </fill>
    <fill>
      <patternFill patternType="solid">
        <fgColor indexed="2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bgColor indexed="64"/>
      </patternFill>
    </fill>
    <fill>
      <patternFill patternType="solid">
        <fgColor theme="9" tint="0.59999389629810485"/>
        <bgColor indexed="64"/>
      </patternFill>
    </fill>
    <fill>
      <patternFill patternType="solid">
        <fgColor theme="6"/>
        <bgColor indexed="64"/>
      </patternFill>
    </fill>
    <fill>
      <patternFill patternType="solid">
        <fgColor rgb="FFFFFF00"/>
        <bgColor indexed="64"/>
      </patternFill>
    </fill>
    <fill>
      <patternFill patternType="solid">
        <fgColor indexed="11"/>
        <bgColor indexed="12"/>
      </patternFill>
    </fill>
    <fill>
      <patternFill patternType="solid">
        <fgColor rgb="FF92D050"/>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FF00"/>
        <bgColor indexed="12"/>
      </patternFill>
    </fill>
    <fill>
      <patternFill patternType="solid">
        <fgColor theme="7"/>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9" tint="-0.249977111117893"/>
        <bgColor indexed="12"/>
      </patternFill>
    </fill>
    <fill>
      <patternFill patternType="solid">
        <fgColor theme="9" tint="0.39997558519241921"/>
        <bgColor indexed="64"/>
      </patternFill>
    </fill>
  </fills>
  <borders count="31">
    <border>
      <left/>
      <right/>
      <top/>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style="thin">
        <color indexed="64"/>
      </top>
      <bottom style="double">
        <color indexed="64"/>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ABABAB"/>
      </left>
      <right/>
      <top/>
      <bottom/>
      <diagonal/>
    </border>
    <border>
      <left style="thin">
        <color indexed="10"/>
      </left>
      <right style="thin">
        <color indexed="10"/>
      </right>
      <top style="thin">
        <color indexed="10"/>
      </top>
      <bottom style="thin">
        <color indexed="10"/>
      </bottom>
      <diagonal/>
    </border>
    <border>
      <left style="medium">
        <color indexed="64"/>
      </left>
      <right style="thin">
        <color indexed="10"/>
      </right>
      <top style="thin">
        <color indexed="10"/>
      </top>
      <bottom style="thin">
        <color indexed="10"/>
      </bottom>
      <diagonal/>
    </border>
    <border>
      <left style="thin">
        <color indexed="10"/>
      </left>
      <right style="medium">
        <color indexed="64"/>
      </right>
      <top style="thin">
        <color indexed="10"/>
      </top>
      <bottom style="thin">
        <color indexed="1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999999"/>
      </left>
      <right/>
      <top style="thin">
        <color rgb="FF999999"/>
      </top>
      <bottom/>
      <diagonal/>
    </border>
    <border>
      <left/>
      <right/>
      <top/>
      <bottom style="double">
        <color indexed="64"/>
      </bottom>
      <diagonal/>
    </border>
    <border>
      <left style="thin">
        <color indexed="64"/>
      </left>
      <right/>
      <top style="medium">
        <color indexed="64"/>
      </top>
      <bottom style="medium">
        <color indexed="64"/>
      </bottom>
      <diagonal/>
    </border>
  </borders>
  <cellStyleXfs count="147">
    <xf numFmtId="0" fontId="0" fillId="0" borderId="0"/>
    <xf numFmtId="43" fontId="4" fillId="0" borderId="0" applyFont="0" applyFill="0" applyBorder="0" applyAlignment="0" applyProtection="0"/>
    <xf numFmtId="43" fontId="22" fillId="0" borderId="0" applyFont="0" applyFill="0" applyBorder="0" applyAlignment="0" applyProtection="0"/>
    <xf numFmtId="43" fontId="6" fillId="0" borderId="0" applyFont="0" applyFill="0" applyBorder="0" applyAlignment="0" applyProtection="0"/>
    <xf numFmtId="43" fontId="23"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15"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17" fillId="0" borderId="0" applyFont="0" applyFill="0" applyBorder="0" applyAlignment="0" applyProtection="0"/>
    <xf numFmtId="43" fontId="6" fillId="0" borderId="0" applyFont="0" applyFill="0" applyBorder="0" applyAlignment="0" applyProtection="0"/>
    <xf numFmtId="43" fontId="18"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1" fillId="0" borderId="0" applyFont="0" applyFill="0" applyBorder="0" applyAlignment="0" applyProtection="0"/>
    <xf numFmtId="43" fontId="6" fillId="0" borderId="0" applyFont="0" applyFill="0" applyBorder="0" applyAlignment="0" applyProtection="0"/>
    <xf numFmtId="44" fontId="4" fillId="0" borderId="0" applyFont="0" applyFill="0" applyBorder="0" applyAlignment="0" applyProtection="0"/>
    <xf numFmtId="44" fontId="22" fillId="0" borderId="0" applyFont="0" applyFill="0" applyBorder="0" applyAlignment="0" applyProtection="0"/>
    <xf numFmtId="44" fontId="6" fillId="0" borderId="0" applyFont="0" applyFill="0" applyBorder="0" applyAlignment="0" applyProtection="0"/>
    <xf numFmtId="44" fontId="23" fillId="0" borderId="0" applyFont="0" applyFill="0" applyBorder="0" applyAlignment="0" applyProtection="0"/>
    <xf numFmtId="44" fontId="6" fillId="0" borderId="0" applyFont="0" applyFill="0" applyBorder="0" applyAlignment="0" applyProtection="0"/>
    <xf numFmtId="44" fontId="24" fillId="0" borderId="0" applyFont="0" applyFill="0" applyBorder="0" applyAlignment="0" applyProtection="0"/>
    <xf numFmtId="44" fontId="6" fillId="0" borderId="0" applyFont="0" applyFill="0" applyBorder="0" applyAlignment="0" applyProtection="0"/>
    <xf numFmtId="44" fontId="15" fillId="0" borderId="0" applyFont="0" applyFill="0" applyBorder="0" applyAlignment="0" applyProtection="0"/>
    <xf numFmtId="44" fontId="1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16" fillId="0" borderId="0" applyFont="0" applyFill="0" applyBorder="0" applyAlignment="0" applyProtection="0"/>
    <xf numFmtId="44" fontId="6" fillId="0" borderId="0" applyFont="0" applyFill="0" applyBorder="0" applyAlignment="0" applyProtection="0"/>
    <xf numFmtId="44" fontId="17" fillId="0" borderId="0" applyFont="0" applyFill="0" applyBorder="0" applyAlignment="0" applyProtection="0"/>
    <xf numFmtId="44" fontId="6" fillId="0" borderId="0" applyFont="0" applyFill="0" applyBorder="0" applyAlignment="0" applyProtection="0"/>
    <xf numFmtId="44" fontId="18" fillId="0" borderId="0" applyFont="0" applyFill="0" applyBorder="0" applyAlignment="0" applyProtection="0"/>
    <xf numFmtId="44" fontId="6" fillId="0" borderId="0" applyFont="0" applyFill="0" applyBorder="0" applyAlignment="0" applyProtection="0"/>
    <xf numFmtId="44" fontId="19" fillId="0" borderId="0" applyFont="0" applyFill="0" applyBorder="0" applyAlignment="0" applyProtection="0"/>
    <xf numFmtId="44" fontId="6" fillId="0" borderId="0" applyFont="0" applyFill="0" applyBorder="0" applyAlignment="0" applyProtection="0"/>
    <xf numFmtId="44" fontId="20" fillId="0" borderId="0" applyFont="0" applyFill="0" applyBorder="0" applyAlignment="0" applyProtection="0"/>
    <xf numFmtId="44" fontId="6" fillId="0" borderId="0" applyFont="0" applyFill="0" applyBorder="0" applyAlignment="0" applyProtection="0"/>
    <xf numFmtId="44" fontId="21" fillId="0" borderId="0" applyFont="0" applyFill="0" applyBorder="0" applyAlignment="0" applyProtection="0"/>
    <xf numFmtId="44" fontId="6" fillId="0" borderId="0" applyFont="0" applyFill="0" applyBorder="0" applyAlignment="0" applyProtection="0"/>
    <xf numFmtId="0" fontId="6" fillId="0" borderId="0"/>
    <xf numFmtId="9" fontId="4" fillId="0" borderId="0" applyFont="0" applyFill="0" applyBorder="0" applyAlignment="0" applyProtection="0"/>
    <xf numFmtId="9" fontId="22"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9" fontId="6" fillId="0" borderId="0" applyFont="0" applyFill="0" applyBorder="0" applyAlignment="0" applyProtection="0"/>
    <xf numFmtId="9" fontId="24" fillId="0" borderId="0" applyFont="0" applyFill="0" applyBorder="0" applyAlignment="0" applyProtection="0"/>
    <xf numFmtId="9" fontId="6" fillId="0" borderId="0" applyFont="0" applyFill="0" applyBorder="0" applyAlignment="0" applyProtection="0"/>
    <xf numFmtId="9" fontId="15"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7" fillId="0" borderId="0" applyFont="0" applyFill="0" applyBorder="0" applyAlignment="0" applyProtection="0"/>
    <xf numFmtId="9" fontId="6" fillId="0" borderId="0" applyFont="0" applyFill="0" applyBorder="0" applyAlignment="0" applyProtection="0"/>
    <xf numFmtId="9" fontId="18" fillId="0" borderId="0" applyFont="0" applyFill="0" applyBorder="0" applyAlignment="0" applyProtection="0"/>
    <xf numFmtId="9" fontId="6" fillId="0" borderId="0" applyFont="0" applyFill="0" applyBorder="0" applyAlignment="0" applyProtection="0"/>
    <xf numFmtId="9" fontId="19" fillId="0" borderId="0" applyFont="0" applyFill="0" applyBorder="0" applyAlignment="0" applyProtection="0"/>
    <xf numFmtId="9" fontId="6" fillId="0" borderId="0" applyFont="0" applyFill="0" applyBorder="0" applyAlignment="0" applyProtection="0"/>
    <xf numFmtId="9" fontId="20" fillId="0" borderId="0" applyFont="0" applyFill="0" applyBorder="0" applyAlignment="0" applyProtection="0"/>
    <xf numFmtId="9" fontId="6" fillId="0" borderId="0" applyFont="0" applyFill="0" applyBorder="0" applyAlignment="0" applyProtection="0"/>
    <xf numFmtId="9" fontId="21" fillId="0" borderId="0" applyFont="0" applyFill="0" applyBorder="0" applyAlignment="0" applyProtection="0"/>
    <xf numFmtId="9" fontId="6" fillId="0" borderId="0" applyFont="0" applyFill="0" applyBorder="0" applyAlignment="0" applyProtection="0"/>
    <xf numFmtId="0" fontId="3"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9" fillId="0" borderId="0">
      <alignment vertical="top"/>
    </xf>
    <xf numFmtId="43" fontId="4" fillId="0" borderId="0" applyFont="0" applyFill="0" applyBorder="0" applyAlignment="0" applyProtection="0"/>
    <xf numFmtId="0" fontId="2" fillId="0" borderId="0"/>
    <xf numFmtId="0" fontId="1" fillId="0" borderId="0"/>
  </cellStyleXfs>
  <cellXfs count="466">
    <xf numFmtId="0" fontId="0" fillId="0" borderId="0" xfId="0"/>
    <xf numFmtId="43" fontId="0" fillId="0" borderId="0" xfId="1" applyFont="1" applyFill="1"/>
    <xf numFmtId="164" fontId="0" fillId="0" borderId="0" xfId="1" applyNumberFormat="1" applyFont="1" applyFill="1"/>
    <xf numFmtId="43" fontId="0" fillId="0" borderId="0" xfId="1" applyFont="1" applyFill="1" applyBorder="1"/>
    <xf numFmtId="0" fontId="0" fillId="0" borderId="0" xfId="0" applyAlignment="1">
      <alignment horizontal="center"/>
    </xf>
    <xf numFmtId="0" fontId="5" fillId="0" borderId="1" xfId="0" applyFont="1" applyBorder="1" applyAlignment="1">
      <alignment horizontal="center"/>
    </xf>
    <xf numFmtId="0" fontId="5" fillId="0" borderId="0" xfId="0" applyFont="1" applyAlignment="1">
      <alignment horizontal="left"/>
    </xf>
    <xf numFmtId="0" fontId="5" fillId="0" borderId="2" xfId="0" applyFont="1" applyBorder="1" applyAlignment="1">
      <alignment horizontal="center"/>
    </xf>
    <xf numFmtId="164" fontId="0" fillId="0" borderId="0" xfId="0" applyNumberFormat="1"/>
    <xf numFmtId="166" fontId="0" fillId="0" borderId="0" xfId="1" applyNumberFormat="1" applyFont="1" applyFill="1"/>
    <xf numFmtId="43" fontId="5" fillId="0" borderId="0" xfId="0" applyNumberFormat="1" applyFont="1"/>
    <xf numFmtId="43" fontId="5" fillId="0" borderId="0" xfId="1" applyFont="1" applyFill="1"/>
    <xf numFmtId="43" fontId="6" fillId="0" borderId="0" xfId="1" applyFont="1" applyFill="1"/>
    <xf numFmtId="164" fontId="5" fillId="0" borderId="3" xfId="1" applyNumberFormat="1" applyFont="1" applyFill="1" applyBorder="1"/>
    <xf numFmtId="164" fontId="5" fillId="0" borderId="0" xfId="0" applyNumberFormat="1" applyFont="1"/>
    <xf numFmtId="0" fontId="5" fillId="0" borderId="0" xfId="0" applyFont="1"/>
    <xf numFmtId="164" fontId="5" fillId="0" borderId="0" xfId="1" applyNumberFormat="1" applyFont="1" applyFill="1"/>
    <xf numFmtId="14" fontId="0" fillId="0" borderId="0" xfId="0" applyNumberFormat="1"/>
    <xf numFmtId="43" fontId="0" fillId="0" borderId="0" xfId="0" applyNumberFormat="1"/>
    <xf numFmtId="0" fontId="5" fillId="0" borderId="0" xfId="0" applyFont="1" applyAlignment="1">
      <alignment horizontal="center"/>
    </xf>
    <xf numFmtId="43" fontId="5" fillId="0" borderId="1" xfId="1" applyFont="1" applyFill="1" applyBorder="1" applyAlignment="1">
      <alignment horizontal="center"/>
    </xf>
    <xf numFmtId="43" fontId="5" fillId="0" borderId="2" xfId="1" applyFont="1" applyFill="1" applyBorder="1" applyAlignment="1">
      <alignment horizontal="center"/>
    </xf>
    <xf numFmtId="17" fontId="0" fillId="0" borderId="0" xfId="0" applyNumberFormat="1"/>
    <xf numFmtId="43" fontId="5" fillId="0" borderId="4" xfId="0" applyNumberFormat="1" applyFont="1" applyBorder="1"/>
    <xf numFmtId="0" fontId="9" fillId="0" borderId="0" xfId="0" applyFont="1" applyAlignment="1">
      <alignment horizontal="center"/>
    </xf>
    <xf numFmtId="0" fontId="9" fillId="0" borderId="0" xfId="0" applyFont="1"/>
    <xf numFmtId="164" fontId="9" fillId="0" borderId="0" xfId="1" applyNumberFormat="1" applyFont="1" applyFill="1"/>
    <xf numFmtId="0" fontId="5" fillId="0" borderId="5" xfId="0" applyFont="1" applyBorder="1" applyAlignment="1">
      <alignment horizontal="center"/>
    </xf>
    <xf numFmtId="0" fontId="0" fillId="0" borderId="5" xfId="0" applyBorder="1"/>
    <xf numFmtId="43" fontId="0" fillId="0" borderId="5" xfId="1" applyFont="1" applyFill="1" applyBorder="1"/>
    <xf numFmtId="43" fontId="0" fillId="0" borderId="5" xfId="0" applyNumberFormat="1" applyBorder="1"/>
    <xf numFmtId="10" fontId="5" fillId="0" borderId="0" xfId="48" applyNumberFormat="1" applyFont="1" applyFill="1"/>
    <xf numFmtId="0" fontId="0" fillId="0" borderId="0" xfId="1" applyNumberFormat="1" applyFont="1" applyFill="1"/>
    <xf numFmtId="0" fontId="0" fillId="0" borderId="0" xfId="0" applyAlignment="1">
      <alignment horizontal="right"/>
    </xf>
    <xf numFmtId="164" fontId="0" fillId="0" borderId="0" xfId="1" applyNumberFormat="1" applyFont="1" applyFill="1" applyBorder="1"/>
    <xf numFmtId="164" fontId="5" fillId="0" borderId="0" xfId="1" applyNumberFormat="1" applyFont="1" applyFill="1" applyBorder="1"/>
    <xf numFmtId="40" fontId="0" fillId="0" borderId="0" xfId="0" applyNumberFormat="1"/>
    <xf numFmtId="166" fontId="5" fillId="0" borderId="1" xfId="1" applyNumberFormat="1" applyFont="1" applyFill="1" applyBorder="1" applyAlignment="1">
      <alignment horizontal="center"/>
    </xf>
    <xf numFmtId="166" fontId="5" fillId="0" borderId="2" xfId="1" applyNumberFormat="1" applyFont="1" applyFill="1" applyBorder="1" applyAlignment="1">
      <alignment horizontal="center"/>
    </xf>
    <xf numFmtId="167" fontId="5" fillId="0" borderId="1" xfId="1" applyNumberFormat="1" applyFont="1" applyFill="1" applyBorder="1" applyAlignment="1">
      <alignment horizontal="center"/>
    </xf>
    <xf numFmtId="167" fontId="5" fillId="0" borderId="2" xfId="1" applyNumberFormat="1" applyFont="1" applyFill="1" applyBorder="1" applyAlignment="1">
      <alignment horizontal="center"/>
    </xf>
    <xf numFmtId="167" fontId="0" fillId="0" borderId="0" xfId="1" applyNumberFormat="1" applyFont="1" applyFill="1"/>
    <xf numFmtId="167" fontId="9" fillId="0" borderId="0" xfId="1" applyNumberFormat="1" applyFont="1" applyFill="1"/>
    <xf numFmtId="167" fontId="5" fillId="0" borderId="0" xfId="1" applyNumberFormat="1" applyFont="1" applyFill="1"/>
    <xf numFmtId="167" fontId="5" fillId="0" borderId="5" xfId="1" applyNumberFormat="1" applyFont="1" applyFill="1" applyBorder="1" applyAlignment="1">
      <alignment horizontal="center"/>
    </xf>
    <xf numFmtId="0" fontId="0" fillId="0" borderId="6" xfId="0" applyBorder="1"/>
    <xf numFmtId="0" fontId="0" fillId="0" borderId="7" xfId="0" applyBorder="1"/>
    <xf numFmtId="43" fontId="5" fillId="0" borderId="2" xfId="1" applyFont="1" applyFill="1" applyBorder="1"/>
    <xf numFmtId="0" fontId="0" fillId="0" borderId="10" xfId="0" applyBorder="1"/>
    <xf numFmtId="0" fontId="6" fillId="0" borderId="0" xfId="0" applyFont="1"/>
    <xf numFmtId="164" fontId="4" fillId="0" borderId="0" xfId="1" applyNumberFormat="1" applyFill="1"/>
    <xf numFmtId="43" fontId="4" fillId="0" borderId="0" xfId="1" applyFill="1"/>
    <xf numFmtId="5" fontId="4" fillId="0" borderId="0" xfId="1" applyNumberFormat="1" applyFill="1"/>
    <xf numFmtId="5" fontId="4" fillId="0" borderId="0" xfId="1" applyNumberFormat="1" applyFont="1" applyFill="1"/>
    <xf numFmtId="5" fontId="0" fillId="0" borderId="0" xfId="0" applyNumberFormat="1"/>
    <xf numFmtId="37" fontId="5" fillId="0" borderId="0" xfId="1" applyNumberFormat="1" applyFont="1" applyFill="1"/>
    <xf numFmtId="37" fontId="5" fillId="0" borderId="4" xfId="1" applyNumberFormat="1" applyFont="1" applyFill="1" applyBorder="1"/>
    <xf numFmtId="43" fontId="0" fillId="2" borderId="0" xfId="1" applyFont="1" applyFill="1"/>
    <xf numFmtId="37" fontId="4" fillId="0" borderId="0" xfId="1" applyNumberFormat="1" applyFill="1"/>
    <xf numFmtId="2" fontId="0" fillId="0" borderId="0" xfId="0" applyNumberFormat="1"/>
    <xf numFmtId="41" fontId="5" fillId="0" borderId="0" xfId="0" applyNumberFormat="1" applyFont="1" applyAlignment="1">
      <alignment horizontal="left"/>
    </xf>
    <xf numFmtId="41" fontId="0" fillId="0" borderId="0" xfId="0" applyNumberFormat="1"/>
    <xf numFmtId="41" fontId="5" fillId="0" borderId="1" xfId="1" applyNumberFormat="1" applyFont="1" applyFill="1" applyBorder="1" applyAlignment="1">
      <alignment horizontal="center"/>
    </xf>
    <xf numFmtId="41" fontId="5" fillId="0" borderId="0" xfId="1" applyNumberFormat="1" applyFont="1" applyFill="1" applyBorder="1" applyAlignment="1">
      <alignment horizontal="center"/>
    </xf>
    <xf numFmtId="41" fontId="5" fillId="0" borderId="2" xfId="1" applyNumberFormat="1" applyFont="1" applyFill="1" applyBorder="1" applyAlignment="1">
      <alignment horizontal="center"/>
    </xf>
    <xf numFmtId="41" fontId="0" fillId="0" borderId="0" xfId="1" applyNumberFormat="1" applyFont="1" applyFill="1"/>
    <xf numFmtId="41" fontId="0" fillId="0" borderId="0" xfId="1" applyNumberFormat="1" applyFont="1" applyFill="1" applyBorder="1"/>
    <xf numFmtId="41" fontId="5" fillId="0" borderId="0" xfId="0" applyNumberFormat="1" applyFont="1"/>
    <xf numFmtId="41" fontId="5" fillId="0" borderId="0" xfId="1" applyNumberFormat="1" applyFont="1" applyFill="1"/>
    <xf numFmtId="41" fontId="5" fillId="0" borderId="0" xfId="1" applyNumberFormat="1" applyFont="1" applyFill="1" applyBorder="1"/>
    <xf numFmtId="41" fontId="5" fillId="0" borderId="4" xfId="1" applyNumberFormat="1" applyFont="1" applyFill="1" applyBorder="1"/>
    <xf numFmtId="41" fontId="11" fillId="0" borderId="0" xfId="0" applyNumberFormat="1" applyFont="1"/>
    <xf numFmtId="41" fontId="12" fillId="0" borderId="0" xfId="0" applyNumberFormat="1" applyFont="1"/>
    <xf numFmtId="4" fontId="0" fillId="0" borderId="0" xfId="0" applyNumberFormat="1"/>
    <xf numFmtId="43" fontId="5" fillId="0" borderId="1" xfId="0" applyNumberFormat="1" applyFont="1" applyBorder="1" applyAlignment="1">
      <alignment horizontal="center"/>
    </xf>
    <xf numFmtId="43" fontId="5" fillId="0" borderId="2" xfId="0" applyNumberFormat="1" applyFont="1" applyBorder="1" applyAlignment="1">
      <alignment horizontal="center"/>
    </xf>
    <xf numFmtId="41" fontId="5" fillId="0" borderId="1" xfId="1" applyNumberFormat="1" applyFont="1" applyFill="1" applyBorder="1" applyAlignment="1">
      <alignment horizontal="center" wrapText="1"/>
    </xf>
    <xf numFmtId="0" fontId="0" fillId="0" borderId="12" xfId="0" applyBorder="1"/>
    <xf numFmtId="0" fontId="0" fillId="0" borderId="2" xfId="0" applyBorder="1"/>
    <xf numFmtId="0" fontId="5" fillId="0" borderId="1" xfId="0" applyFont="1" applyBorder="1"/>
    <xf numFmtId="0" fontId="5" fillId="0" borderId="2" xfId="0" applyFont="1" applyBorder="1"/>
    <xf numFmtId="3" fontId="0" fillId="0" borderId="0" xfId="0" applyNumberFormat="1"/>
    <xf numFmtId="3" fontId="5" fillId="0" borderId="1" xfId="0" applyNumberFormat="1" applyFont="1" applyBorder="1" applyAlignment="1">
      <alignment horizontal="left"/>
    </xf>
    <xf numFmtId="3" fontId="5" fillId="0" borderId="2" xfId="0" applyNumberFormat="1" applyFont="1" applyBorder="1" applyAlignment="1">
      <alignment horizontal="center"/>
    </xf>
    <xf numFmtId="14" fontId="5" fillId="0" borderId="0" xfId="0" applyNumberFormat="1" applyFont="1"/>
    <xf numFmtId="0" fontId="13" fillId="0" borderId="0" xfId="0" applyFont="1"/>
    <xf numFmtId="0" fontId="14" fillId="0" borderId="0" xfId="0" applyFont="1"/>
    <xf numFmtId="164" fontId="14" fillId="0" borderId="0" xfId="1" applyNumberFormat="1" applyFont="1" applyFill="1"/>
    <xf numFmtId="37" fontId="4" fillId="0" borderId="0" xfId="1" applyNumberFormat="1" applyFont="1" applyFill="1"/>
    <xf numFmtId="164" fontId="4" fillId="0" borderId="0" xfId="1" applyNumberFormat="1" applyFont="1" applyFill="1"/>
    <xf numFmtId="164" fontId="5" fillId="0" borderId="4" xfId="1" applyNumberFormat="1" applyFont="1" applyFill="1" applyBorder="1"/>
    <xf numFmtId="164" fontId="5" fillId="0" borderId="1" xfId="1" applyNumberFormat="1" applyFont="1" applyFill="1" applyBorder="1" applyAlignment="1">
      <alignment horizontal="center"/>
    </xf>
    <xf numFmtId="164" fontId="5" fillId="0" borderId="2" xfId="1" applyNumberFormat="1" applyFont="1" applyFill="1" applyBorder="1" applyAlignment="1">
      <alignment horizontal="center"/>
    </xf>
    <xf numFmtId="37" fontId="5" fillId="0" borderId="3" xfId="1" applyNumberFormat="1" applyFont="1" applyFill="1" applyBorder="1"/>
    <xf numFmtId="37" fontId="0" fillId="0" borderId="0" xfId="0" applyNumberFormat="1"/>
    <xf numFmtId="43" fontId="0" fillId="0" borderId="0" xfId="22" applyFont="1" applyFill="1" applyBorder="1"/>
    <xf numFmtId="43" fontId="5" fillId="0" borderId="5" xfId="0" applyNumberFormat="1" applyFont="1" applyBorder="1" applyAlignment="1">
      <alignment horizontal="center"/>
    </xf>
    <xf numFmtId="0" fontId="13" fillId="0" borderId="0" xfId="0" applyFont="1" applyAlignment="1">
      <alignment horizontal="right"/>
    </xf>
    <xf numFmtId="43" fontId="5" fillId="0" borderId="0" xfId="6" applyFont="1" applyFill="1"/>
    <xf numFmtId="164" fontId="5" fillId="0" borderId="0" xfId="6" applyNumberFormat="1" applyFont="1" applyFill="1"/>
    <xf numFmtId="43" fontId="5" fillId="0" borderId="4" xfId="6" applyFont="1" applyFill="1" applyBorder="1"/>
    <xf numFmtId="43" fontId="5" fillId="0" borderId="0" xfId="6" applyFont="1" applyFill="1" applyBorder="1"/>
    <xf numFmtId="49" fontId="5" fillId="0" borderId="0" xfId="0" applyNumberFormat="1" applyFont="1"/>
    <xf numFmtId="14" fontId="5" fillId="0" borderId="2" xfId="0" applyNumberFormat="1" applyFont="1" applyBorder="1" applyAlignment="1">
      <alignment horizontal="center"/>
    </xf>
    <xf numFmtId="4" fontId="5" fillId="0" borderId="3" xfId="0" applyNumberFormat="1" applyFont="1" applyBorder="1"/>
    <xf numFmtId="0" fontId="5" fillId="0" borderId="0" xfId="0" applyFont="1" applyAlignment="1">
      <alignment horizontal="right"/>
    </xf>
    <xf numFmtId="4" fontId="5" fillId="0" borderId="0" xfId="0" applyNumberFormat="1" applyFont="1"/>
    <xf numFmtId="4" fontId="5" fillId="0" borderId="0" xfId="0" applyNumberFormat="1" applyFont="1" applyAlignment="1">
      <alignment horizontal="right"/>
    </xf>
    <xf numFmtId="39" fontId="5" fillId="0" borderId="4" xfId="0" applyNumberFormat="1" applyFont="1" applyBorder="1"/>
    <xf numFmtId="0" fontId="6" fillId="0" borderId="0" xfId="47"/>
    <xf numFmtId="164" fontId="6" fillId="0" borderId="0" xfId="47" applyNumberFormat="1"/>
    <xf numFmtId="43" fontId="5" fillId="0" borderId="3" xfId="3" applyFont="1" applyFill="1" applyBorder="1"/>
    <xf numFmtId="43" fontId="0" fillId="0" borderId="14" xfId="0" applyNumberFormat="1" applyBorder="1"/>
    <xf numFmtId="0" fontId="0" fillId="0" borderId="14" xfId="0" applyBorder="1"/>
    <xf numFmtId="43" fontId="0" fillId="0" borderId="14" xfId="1" applyFont="1" applyFill="1" applyBorder="1"/>
    <xf numFmtId="43" fontId="5" fillId="0" borderId="15" xfId="1" applyFont="1" applyFill="1" applyBorder="1"/>
    <xf numFmtId="164" fontId="0" fillId="0" borderId="5" xfId="1" applyNumberFormat="1" applyFont="1" applyFill="1" applyBorder="1"/>
    <xf numFmtId="43" fontId="25" fillId="3" borderId="0" xfId="1" applyFont="1" applyFill="1"/>
    <xf numFmtId="14" fontId="25" fillId="3" borderId="0" xfId="0" applyNumberFormat="1" applyFont="1" applyFill="1"/>
    <xf numFmtId="164" fontId="25" fillId="3" borderId="0" xfId="6" applyNumberFormat="1" applyFont="1" applyFill="1"/>
    <xf numFmtId="43" fontId="25" fillId="3" borderId="0" xfId="6" applyFont="1" applyFill="1"/>
    <xf numFmtId="164" fontId="25" fillId="3" borderId="0" xfId="0" applyNumberFormat="1" applyFont="1" applyFill="1"/>
    <xf numFmtId="164" fontId="25" fillId="3" borderId="0" xfId="3" applyNumberFormat="1" applyFont="1" applyFill="1"/>
    <xf numFmtId="43" fontId="25" fillId="3" borderId="0" xfId="0" applyNumberFormat="1" applyFont="1" applyFill="1"/>
    <xf numFmtId="4" fontId="25" fillId="3" borderId="0" xfId="0" applyNumberFormat="1" applyFont="1" applyFill="1"/>
    <xf numFmtId="167" fontId="25" fillId="3" borderId="0" xfId="1" applyNumberFormat="1" applyFont="1" applyFill="1"/>
    <xf numFmtId="167" fontId="25" fillId="3" borderId="0" xfId="1" applyNumberFormat="1" applyFont="1" applyFill="1" applyBorder="1"/>
    <xf numFmtId="43" fontId="25" fillId="3" borderId="0" xfId="2" applyFont="1" applyFill="1"/>
    <xf numFmtId="43" fontId="25" fillId="3" borderId="5" xfId="2" applyFont="1" applyFill="1" applyBorder="1"/>
    <xf numFmtId="166" fontId="25" fillId="3" borderId="0" xfId="1" applyNumberFormat="1" applyFont="1" applyFill="1"/>
    <xf numFmtId="166" fontId="25" fillId="3" borderId="0" xfId="1" applyNumberFormat="1" applyFont="1" applyFill="1" applyBorder="1"/>
    <xf numFmtId="43" fontId="25" fillId="3" borderId="0" xfId="2" applyFont="1" applyFill="1" applyBorder="1"/>
    <xf numFmtId="43" fontId="25" fillId="3" borderId="14" xfId="2" applyFont="1" applyFill="1" applyBorder="1"/>
    <xf numFmtId="37" fontId="26" fillId="4" borderId="0" xfId="1" applyNumberFormat="1" applyFont="1" applyFill="1"/>
    <xf numFmtId="43" fontId="26" fillId="4" borderId="0" xfId="1" applyFont="1" applyFill="1"/>
    <xf numFmtId="164" fontId="26" fillId="4" borderId="0" xfId="1" applyNumberFormat="1" applyFont="1" applyFill="1"/>
    <xf numFmtId="37" fontId="26" fillId="4" borderId="0" xfId="1" applyNumberFormat="1" applyFont="1" applyFill="1" applyBorder="1"/>
    <xf numFmtId="164" fontId="26" fillId="4" borderId="0" xfId="1" applyNumberFormat="1" applyFont="1" applyFill="1" applyBorder="1"/>
    <xf numFmtId="37" fontId="25" fillId="3" borderId="0" xfId="1" applyNumberFormat="1" applyFont="1" applyFill="1" applyBorder="1"/>
    <xf numFmtId="164" fontId="25" fillId="3" borderId="0" xfId="1" applyNumberFormat="1" applyFont="1" applyFill="1" applyBorder="1"/>
    <xf numFmtId="41" fontId="25" fillId="3" borderId="0" xfId="1" applyNumberFormat="1" applyFont="1" applyFill="1"/>
    <xf numFmtId="41" fontId="26" fillId="4" borderId="0" xfId="1" applyNumberFormat="1" applyFont="1" applyFill="1"/>
    <xf numFmtId="41" fontId="26" fillId="4" borderId="0" xfId="1" applyNumberFormat="1" applyFont="1" applyFill="1" applyBorder="1"/>
    <xf numFmtId="41" fontId="25" fillId="3" borderId="0" xfId="1" applyNumberFormat="1" applyFont="1" applyFill="1" applyBorder="1"/>
    <xf numFmtId="41" fontId="27" fillId="0" borderId="0" xfId="0" applyNumberFormat="1" applyFont="1"/>
    <xf numFmtId="165" fontId="5" fillId="0" borderId="5" xfId="0" applyNumberFormat="1" applyFont="1" applyBorder="1" applyAlignment="1">
      <alignment horizontal="center"/>
    </xf>
    <xf numFmtId="165" fontId="5" fillId="0" borderId="5" xfId="1" applyNumberFormat="1" applyFont="1" applyFill="1" applyBorder="1" applyAlignment="1">
      <alignment horizontal="center"/>
    </xf>
    <xf numFmtId="49" fontId="6" fillId="0" borderId="16" xfId="47" applyNumberFormat="1" applyBorder="1"/>
    <xf numFmtId="0" fontId="6" fillId="0" borderId="16" xfId="47" applyBorder="1"/>
    <xf numFmtId="0" fontId="5" fillId="0" borderId="3" xfId="47" applyFont="1" applyBorder="1" applyAlignment="1">
      <alignment horizontal="center"/>
    </xf>
    <xf numFmtId="43" fontId="6" fillId="0" borderId="0" xfId="47" applyNumberFormat="1"/>
    <xf numFmtId="43" fontId="6" fillId="5" borderId="18" xfId="47" applyNumberFormat="1" applyFill="1" applyBorder="1"/>
    <xf numFmtId="4" fontId="6" fillId="0" borderId="0" xfId="47" applyNumberFormat="1"/>
    <xf numFmtId="0" fontId="5" fillId="0" borderId="3" xfId="0" applyFont="1" applyBorder="1" applyAlignment="1">
      <alignment horizontal="center"/>
    </xf>
    <xf numFmtId="0" fontId="25" fillId="0" borderId="0" xfId="0" applyFont="1"/>
    <xf numFmtId="43" fontId="5" fillId="7" borderId="4" xfId="0" applyNumberFormat="1" applyFont="1" applyFill="1" applyBorder="1"/>
    <xf numFmtId="14" fontId="28" fillId="0" borderId="0" xfId="0" applyNumberFormat="1" applyFont="1"/>
    <xf numFmtId="0" fontId="4" fillId="0" borderId="0" xfId="0" applyFont="1"/>
    <xf numFmtId="49" fontId="4" fillId="0" borderId="0" xfId="0" applyNumberFormat="1" applyFont="1" applyAlignment="1">
      <alignment horizontal="center"/>
    </xf>
    <xf numFmtId="0" fontId="4" fillId="0" borderId="0" xfId="0" applyFont="1" applyAlignment="1">
      <alignment horizontal="center"/>
    </xf>
    <xf numFmtId="0" fontId="4" fillId="0" borderId="16" xfId="0" applyFont="1" applyBorder="1"/>
    <xf numFmtId="43" fontId="5" fillId="8" borderId="18" xfId="0" applyNumberFormat="1" applyFont="1" applyFill="1" applyBorder="1"/>
    <xf numFmtId="0" fontId="0" fillId="0" borderId="0" xfId="0" applyAlignment="1">
      <alignment vertical="top"/>
    </xf>
    <xf numFmtId="0" fontId="4" fillId="0" borderId="0" xfId="0" quotePrefix="1" applyFont="1" applyAlignment="1">
      <alignment horizontal="center"/>
    </xf>
    <xf numFmtId="49" fontId="4" fillId="0" borderId="16" xfId="0" applyNumberFormat="1" applyFont="1" applyBorder="1"/>
    <xf numFmtId="0" fontId="0" fillId="0" borderId="19" xfId="0" applyBorder="1" applyAlignment="1">
      <alignment vertical="top"/>
    </xf>
    <xf numFmtId="43" fontId="5" fillId="0" borderId="0" xfId="1" applyFont="1" applyFill="1" applyAlignment="1">
      <alignment horizontal="left"/>
    </xf>
    <xf numFmtId="43" fontId="26" fillId="4" borderId="14" xfId="1" applyFont="1" applyFill="1" applyBorder="1"/>
    <xf numFmtId="49" fontId="4" fillId="0" borderId="16" xfId="3" applyNumberFormat="1" applyFont="1" applyBorder="1"/>
    <xf numFmtId="43" fontId="30" fillId="4" borderId="0" xfId="1" applyFont="1" applyFill="1"/>
    <xf numFmtId="0" fontId="31" fillId="9" borderId="20" xfId="0" applyFont="1" applyFill="1" applyBorder="1" applyAlignment="1">
      <alignment horizontal="left" vertical="top"/>
    </xf>
    <xf numFmtId="0" fontId="31" fillId="0" borderId="20" xfId="0" applyFont="1" applyBorder="1" applyAlignment="1">
      <alignment horizontal="left" vertical="top"/>
    </xf>
    <xf numFmtId="0" fontId="4" fillId="0" borderId="0" xfId="47" applyFont="1"/>
    <xf numFmtId="37" fontId="6" fillId="0" borderId="0" xfId="47" applyNumberFormat="1"/>
    <xf numFmtId="0" fontId="6" fillId="0" borderId="7" xfId="47" applyBorder="1"/>
    <xf numFmtId="0" fontId="6" fillId="0" borderId="6" xfId="47" applyBorder="1"/>
    <xf numFmtId="0" fontId="31" fillId="9" borderId="21" xfId="0" applyFont="1" applyFill="1" applyBorder="1" applyAlignment="1">
      <alignment horizontal="left" vertical="top"/>
    </xf>
    <xf numFmtId="0" fontId="31" fillId="0" borderId="21" xfId="0" applyFont="1" applyBorder="1" applyAlignment="1">
      <alignment horizontal="left" vertical="top"/>
    </xf>
    <xf numFmtId="43" fontId="31" fillId="0" borderId="22" xfId="1" applyFont="1" applyBorder="1" applyAlignment="1">
      <alignment horizontal="right" vertical="top"/>
    </xf>
    <xf numFmtId="43" fontId="31" fillId="9" borderId="22" xfId="1" applyFont="1" applyFill="1" applyBorder="1" applyAlignment="1">
      <alignment horizontal="right" vertical="top"/>
    </xf>
    <xf numFmtId="0" fontId="6" fillId="0" borderId="12" xfId="47" applyBorder="1"/>
    <xf numFmtId="0" fontId="5" fillId="0" borderId="2" xfId="47" applyFont="1" applyBorder="1"/>
    <xf numFmtId="43" fontId="5" fillId="0" borderId="8" xfId="47" applyNumberFormat="1" applyFont="1" applyBorder="1"/>
    <xf numFmtId="43" fontId="5" fillId="0" borderId="12" xfId="47" applyNumberFormat="1" applyFont="1" applyBorder="1"/>
    <xf numFmtId="0" fontId="6" fillId="0" borderId="23" xfId="47" applyBorder="1"/>
    <xf numFmtId="43" fontId="6" fillId="0" borderId="23" xfId="47" applyNumberFormat="1" applyBorder="1"/>
    <xf numFmtId="43" fontId="5" fillId="0" borderId="24" xfId="47" applyNumberFormat="1" applyFont="1" applyBorder="1"/>
    <xf numFmtId="43" fontId="6" fillId="0" borderId="24" xfId="47" applyNumberFormat="1" applyBorder="1"/>
    <xf numFmtId="0" fontId="4" fillId="0" borderId="18" xfId="47" applyFont="1" applyBorder="1" applyAlignment="1">
      <alignment horizontal="center"/>
    </xf>
    <xf numFmtId="37" fontId="26" fillId="4" borderId="0" xfId="75" applyNumberFormat="1" applyFont="1" applyFill="1"/>
    <xf numFmtId="164" fontId="26" fillId="4" borderId="0" xfId="75" applyNumberFormat="1" applyFont="1" applyFill="1"/>
    <xf numFmtId="37" fontId="26" fillId="4" borderId="0" xfId="75" applyNumberFormat="1" applyFont="1" applyFill="1" applyBorder="1"/>
    <xf numFmtId="164" fontId="26" fillId="4" borderId="0" xfId="75" applyNumberFormat="1" applyFont="1" applyFill="1" applyBorder="1"/>
    <xf numFmtId="17" fontId="4" fillId="0" borderId="0" xfId="0" applyNumberFormat="1" applyFont="1"/>
    <xf numFmtId="43" fontId="31" fillId="0" borderId="20" xfId="1" applyFont="1" applyBorder="1" applyAlignment="1">
      <alignment horizontal="left" vertical="top"/>
    </xf>
    <xf numFmtId="43" fontId="31" fillId="9" borderId="20" xfId="1" applyFont="1" applyFill="1" applyBorder="1" applyAlignment="1">
      <alignment horizontal="left" vertical="top"/>
    </xf>
    <xf numFmtId="164" fontId="28" fillId="0" borderId="0" xfId="1" applyNumberFormat="1" applyFont="1" applyFill="1"/>
    <xf numFmtId="43" fontId="5" fillId="8" borderId="0" xfId="1" applyFont="1" applyFill="1"/>
    <xf numFmtId="0" fontId="0" fillId="0" borderId="28" xfId="0" applyBorder="1" applyAlignment="1">
      <alignment vertical="top"/>
    </xf>
    <xf numFmtId="164" fontId="4" fillId="0" borderId="0" xfId="0" applyNumberFormat="1" applyFont="1" applyAlignment="1">
      <alignment horizontal="center"/>
    </xf>
    <xf numFmtId="0" fontId="4" fillId="0" borderId="7" xfId="47" applyFont="1" applyBorder="1" applyAlignment="1">
      <alignment horizontal="center"/>
    </xf>
    <xf numFmtId="0" fontId="4" fillId="0" borderId="6" xfId="47" applyFont="1" applyBorder="1" applyAlignment="1">
      <alignment horizontal="center"/>
    </xf>
    <xf numFmtId="37" fontId="4" fillId="0" borderId="0" xfId="4" applyNumberFormat="1" applyFont="1" applyFill="1"/>
    <xf numFmtId="0" fontId="4" fillId="0" borderId="19" xfId="0" applyFont="1" applyBorder="1" applyAlignment="1">
      <alignment vertical="top"/>
    </xf>
    <xf numFmtId="164" fontId="5" fillId="11" borderId="0" xfId="1" applyNumberFormat="1" applyFont="1" applyFill="1"/>
    <xf numFmtId="164" fontId="5" fillId="12" borderId="0" xfId="1" applyNumberFormat="1" applyFont="1" applyFill="1"/>
    <xf numFmtId="43" fontId="5" fillId="8" borderId="27" xfId="1" applyFont="1" applyFill="1" applyBorder="1"/>
    <xf numFmtId="43" fontId="5" fillId="8" borderId="18" xfId="1" applyFont="1" applyFill="1" applyBorder="1"/>
    <xf numFmtId="43" fontId="5" fillId="8" borderId="18" xfId="6" applyFont="1" applyFill="1" applyBorder="1"/>
    <xf numFmtId="4" fontId="5" fillId="8" borderId="18" xfId="0" applyNumberFormat="1" applyFont="1" applyFill="1" applyBorder="1"/>
    <xf numFmtId="44" fontId="27" fillId="8" borderId="27" xfId="24" applyFont="1" applyFill="1" applyBorder="1"/>
    <xf numFmtId="44" fontId="5" fillId="0" borderId="29" xfId="24" applyFont="1" applyFill="1" applyBorder="1"/>
    <xf numFmtId="4" fontId="5" fillId="8" borderId="25" xfId="0" applyNumberFormat="1" applyFont="1" applyFill="1" applyBorder="1"/>
    <xf numFmtId="43" fontId="5" fillId="8" borderId="30" xfId="1" applyFont="1" applyFill="1" applyBorder="1"/>
    <xf numFmtId="169" fontId="0" fillId="0" borderId="0" xfId="48" applyNumberFormat="1" applyFont="1" applyFill="1"/>
    <xf numFmtId="0" fontId="32" fillId="0" borderId="0" xfId="146" applyFont="1"/>
    <xf numFmtId="164" fontId="0" fillId="0" borderId="1" xfId="1" applyNumberFormat="1" applyFont="1" applyFill="1" applyBorder="1"/>
    <xf numFmtId="0" fontId="0" fillId="0" borderId="0" xfId="0" pivotButton="1"/>
    <xf numFmtId="9" fontId="0" fillId="0" borderId="0" xfId="48" applyFont="1" applyFill="1"/>
    <xf numFmtId="43" fontId="5" fillId="8" borderId="25" xfId="1" applyFont="1" applyFill="1" applyBorder="1"/>
    <xf numFmtId="41" fontId="4" fillId="0" borderId="0" xfId="0" applyNumberFormat="1" applyFont="1"/>
    <xf numFmtId="170" fontId="0" fillId="0" borderId="0" xfId="1" applyNumberFormat="1" applyFont="1" applyFill="1"/>
    <xf numFmtId="170" fontId="9" fillId="0" borderId="0" xfId="1" applyNumberFormat="1" applyFont="1" applyFill="1"/>
    <xf numFmtId="164" fontId="32" fillId="0" borderId="0" xfId="1" applyNumberFormat="1" applyFont="1"/>
    <xf numFmtId="43" fontId="0" fillId="0" borderId="0" xfId="1" applyFont="1"/>
    <xf numFmtId="43" fontId="0" fillId="0" borderId="9" xfId="1" applyFont="1" applyFill="1" applyBorder="1"/>
    <xf numFmtId="0" fontId="0" fillId="0" borderId="8" xfId="0" applyBorder="1"/>
    <xf numFmtId="0" fontId="0" fillId="0" borderId="0" xfId="0" applyAlignment="1">
      <alignment horizontal="left" indent="1"/>
    </xf>
    <xf numFmtId="164" fontId="33" fillId="13" borderId="0" xfId="1" applyNumberFormat="1" applyFont="1" applyFill="1"/>
    <xf numFmtId="43" fontId="33" fillId="13" borderId="0" xfId="0" applyNumberFormat="1" applyFont="1" applyFill="1"/>
    <xf numFmtId="164" fontId="0" fillId="0" borderId="0" xfId="1" applyNumberFormat="1" applyFont="1"/>
    <xf numFmtId="0" fontId="4" fillId="0" borderId="0" xfId="0" applyFont="1" applyAlignment="1">
      <alignment horizontal="right"/>
    </xf>
    <xf numFmtId="164" fontId="5" fillId="0" borderId="25" xfId="47" applyNumberFormat="1" applyFont="1" applyBorder="1"/>
    <xf numFmtId="0" fontId="5" fillId="0" borderId="26" xfId="47" applyFont="1" applyBorder="1"/>
    <xf numFmtId="0" fontId="5" fillId="0" borderId="27" xfId="47" applyFont="1" applyBorder="1"/>
    <xf numFmtId="49" fontId="4" fillId="0" borderId="16" xfId="3" quotePrefix="1" applyNumberFormat="1" applyFont="1" applyBorder="1"/>
    <xf numFmtId="49" fontId="4" fillId="0" borderId="0" xfId="0" quotePrefix="1" applyNumberFormat="1" applyFont="1" applyAlignment="1">
      <alignment horizontal="center"/>
    </xf>
    <xf numFmtId="43" fontId="32" fillId="0" borderId="0" xfId="1" applyFont="1"/>
    <xf numFmtId="0" fontId="32" fillId="0" borderId="0" xfId="1" applyNumberFormat="1" applyFont="1"/>
    <xf numFmtId="0" fontId="0" fillId="0" borderId="0" xfId="1" applyNumberFormat="1" applyFont="1"/>
    <xf numFmtId="0" fontId="0" fillId="16" borderId="0" xfId="0" applyFill="1"/>
    <xf numFmtId="0" fontId="5" fillId="16" borderId="0" xfId="0" applyFont="1" applyFill="1"/>
    <xf numFmtId="37" fontId="5" fillId="16" borderId="3" xfId="1" applyNumberFormat="1" applyFont="1" applyFill="1" applyBorder="1"/>
    <xf numFmtId="43" fontId="4" fillId="0" borderId="0" xfId="47" applyNumberFormat="1" applyFont="1"/>
    <xf numFmtId="0" fontId="0" fillId="0" borderId="0" xfId="0" quotePrefix="1" applyAlignment="1">
      <alignment horizontal="center"/>
    </xf>
    <xf numFmtId="0" fontId="0" fillId="0" borderId="0" xfId="0" quotePrefix="1" applyAlignment="1">
      <alignment vertical="top"/>
    </xf>
    <xf numFmtId="164" fontId="4" fillId="0" borderId="0" xfId="1" applyNumberFormat="1" applyFont="1"/>
    <xf numFmtId="43" fontId="5" fillId="0" borderId="0" xfId="0" applyNumberFormat="1" applyFont="1" applyAlignment="1">
      <alignment horizontal="center"/>
    </xf>
    <xf numFmtId="0" fontId="4" fillId="0" borderId="0" xfId="0" quotePrefix="1" applyFont="1" applyAlignment="1">
      <alignment vertical="top"/>
    </xf>
    <xf numFmtId="14" fontId="27" fillId="0" borderId="0" xfId="0" applyNumberFormat="1" applyFont="1"/>
    <xf numFmtId="164" fontId="5" fillId="16" borderId="3" xfId="1" applyNumberFormat="1" applyFont="1" applyFill="1" applyBorder="1"/>
    <xf numFmtId="0" fontId="4" fillId="0" borderId="11" xfId="0" applyFont="1" applyBorder="1"/>
    <xf numFmtId="0" fontId="4" fillId="0" borderId="7" xfId="0" applyFont="1" applyBorder="1"/>
    <xf numFmtId="43" fontId="0" fillId="8" borderId="0" xfId="0" applyNumberFormat="1" applyFill="1"/>
    <xf numFmtId="171" fontId="5" fillId="8" borderId="18" xfId="24" applyNumberFormat="1" applyFont="1" applyFill="1" applyBorder="1"/>
    <xf numFmtId="171" fontId="25" fillId="3" borderId="0" xfId="1" applyNumberFormat="1" applyFont="1" applyFill="1"/>
    <xf numFmtId="43" fontId="6" fillId="5" borderId="25" xfId="47" applyNumberFormat="1" applyFill="1" applyBorder="1"/>
    <xf numFmtId="13" fontId="25" fillId="3" borderId="0" xfId="1" applyNumberFormat="1" applyFont="1" applyFill="1"/>
    <xf numFmtId="164" fontId="32" fillId="0" borderId="0" xfId="1" applyNumberFormat="1" applyFont="1" applyFill="1"/>
    <xf numFmtId="43" fontId="4" fillId="0" borderId="0" xfId="1" applyFont="1" applyFill="1"/>
    <xf numFmtId="41" fontId="26" fillId="0" borderId="0" xfId="1" applyNumberFormat="1" applyFont="1" applyFill="1"/>
    <xf numFmtId="4" fontId="4" fillId="0" borderId="0" xfId="0" applyNumberFormat="1" applyFont="1"/>
    <xf numFmtId="0" fontId="4" fillId="0" borderId="0" xfId="0" applyFont="1" applyAlignment="1">
      <alignment horizontal="left"/>
    </xf>
    <xf numFmtId="43" fontId="4" fillId="0" borderId="0" xfId="1" applyFont="1"/>
    <xf numFmtId="39" fontId="6" fillId="0" borderId="0" xfId="47" applyNumberFormat="1"/>
    <xf numFmtId="164" fontId="4" fillId="8" borderId="0" xfId="78" applyNumberFormat="1" applyFont="1" applyFill="1"/>
    <xf numFmtId="164" fontId="4" fillId="8" borderId="0" xfId="0" applyNumberFormat="1" applyFont="1" applyFill="1"/>
    <xf numFmtId="43" fontId="0" fillId="8" borderId="0" xfId="1" applyFont="1" applyFill="1"/>
    <xf numFmtId="43" fontId="0" fillId="8" borderId="0" xfId="1" applyFont="1" applyFill="1" applyBorder="1"/>
    <xf numFmtId="39" fontId="5" fillId="0" borderId="0" xfId="1" applyNumberFormat="1" applyFont="1" applyFill="1"/>
    <xf numFmtId="164" fontId="0" fillId="0" borderId="1" xfId="0" applyNumberFormat="1" applyBorder="1"/>
    <xf numFmtId="167" fontId="0" fillId="0" borderId="1" xfId="1" applyNumberFormat="1" applyFont="1" applyFill="1" applyBorder="1"/>
    <xf numFmtId="43" fontId="5" fillId="0" borderId="1" xfId="1" applyFont="1" applyFill="1" applyBorder="1"/>
    <xf numFmtId="43" fontId="5" fillId="0" borderId="1" xfId="0" applyNumberFormat="1" applyFont="1" applyBorder="1"/>
    <xf numFmtId="164" fontId="25" fillId="3" borderId="0" xfId="2" applyNumberFormat="1" applyFont="1" applyFill="1"/>
    <xf numFmtId="164" fontId="4" fillId="0" borderId="0" xfId="0" applyNumberFormat="1" applyFont="1"/>
    <xf numFmtId="0" fontId="35" fillId="0" borderId="0" xfId="0" applyFont="1"/>
    <xf numFmtId="3" fontId="5" fillId="0" borderId="0" xfId="0" applyNumberFormat="1" applyFont="1"/>
    <xf numFmtId="43" fontId="4" fillId="0" borderId="0" xfId="0" applyNumberFormat="1" applyFont="1"/>
    <xf numFmtId="0" fontId="4" fillId="0" borderId="0" xfId="0" applyFont="1" applyAlignment="1">
      <alignment vertical="top"/>
    </xf>
    <xf numFmtId="164" fontId="5" fillId="0" borderId="0" xfId="0" applyNumberFormat="1" applyFont="1" applyAlignment="1">
      <alignment horizontal="left"/>
    </xf>
    <xf numFmtId="43" fontId="0" fillId="0" borderId="0" xfId="0" quotePrefix="1" applyNumberFormat="1" applyAlignment="1">
      <alignment vertical="top"/>
    </xf>
    <xf numFmtId="43" fontId="4" fillId="0" borderId="0" xfId="6" applyFont="1" applyFill="1"/>
    <xf numFmtId="172" fontId="4" fillId="0" borderId="0" xfId="1" applyNumberFormat="1" applyFont="1" applyFill="1"/>
    <xf numFmtId="164" fontId="4" fillId="0" borderId="0" xfId="6" applyNumberFormat="1" applyFont="1" applyFill="1"/>
    <xf numFmtId="164" fontId="4" fillId="0" borderId="0" xfId="6" applyNumberFormat="1" applyFont="1" applyFill="1" applyBorder="1"/>
    <xf numFmtId="43" fontId="4" fillId="0" borderId="0" xfId="6" applyFont="1" applyFill="1" applyBorder="1"/>
    <xf numFmtId="14" fontId="4" fillId="0" borderId="0" xfId="0" applyNumberFormat="1" applyFont="1"/>
    <xf numFmtId="39" fontId="4" fillId="0" borderId="0" xfId="0" applyNumberFormat="1" applyFont="1"/>
    <xf numFmtId="0" fontId="4" fillId="0" borderId="9" xfId="0" applyFont="1" applyBorder="1"/>
    <xf numFmtId="14" fontId="4" fillId="0" borderId="6" xfId="0" applyNumberFormat="1" applyFont="1" applyBorder="1"/>
    <xf numFmtId="0" fontId="31" fillId="0" borderId="20" xfId="0" applyFont="1" applyBorder="1" applyAlignment="1">
      <alignment horizontal="right" vertical="top"/>
    </xf>
    <xf numFmtId="164" fontId="31" fillId="0" borderId="20" xfId="1" applyNumberFormat="1" applyFont="1" applyBorder="1" applyAlignment="1">
      <alignment horizontal="right" vertical="top"/>
    </xf>
    <xf numFmtId="0" fontId="31" fillId="9" borderId="20" xfId="0" applyFont="1" applyFill="1" applyBorder="1" applyAlignment="1">
      <alignment horizontal="right" vertical="top"/>
    </xf>
    <xf numFmtId="164" fontId="31" fillId="9" borderId="20" xfId="1" applyNumberFormat="1" applyFont="1" applyFill="1" applyBorder="1" applyAlignment="1">
      <alignment horizontal="right" vertical="top"/>
    </xf>
    <xf numFmtId="41" fontId="9" fillId="0" borderId="0" xfId="0" applyNumberFormat="1" applyFont="1"/>
    <xf numFmtId="43" fontId="4" fillId="0" borderId="16" xfId="3" applyFont="1" applyFill="1" applyBorder="1"/>
    <xf numFmtId="1" fontId="4" fillId="0" borderId="16" xfId="3" applyNumberFormat="1" applyFont="1" applyBorder="1"/>
    <xf numFmtId="43" fontId="4" fillId="0" borderId="7" xfId="1" applyFont="1" applyBorder="1"/>
    <xf numFmtId="43" fontId="4" fillId="0" borderId="6" xfId="1" applyFont="1" applyBorder="1"/>
    <xf numFmtId="0" fontId="4" fillId="0" borderId="16" xfId="3" applyNumberFormat="1" applyFont="1" applyBorder="1"/>
    <xf numFmtId="164" fontId="4" fillId="15" borderId="0" xfId="1" applyNumberFormat="1" applyFont="1" applyFill="1"/>
    <xf numFmtId="43" fontId="4" fillId="0" borderId="7" xfId="1" applyFont="1" applyFill="1" applyBorder="1"/>
    <xf numFmtId="43" fontId="4" fillId="0" borderId="6" xfId="1" applyFont="1" applyFill="1" applyBorder="1"/>
    <xf numFmtId="164" fontId="4" fillId="14" borderId="0" xfId="1" applyNumberFormat="1" applyFont="1" applyFill="1"/>
    <xf numFmtId="4" fontId="4" fillId="0" borderId="16" xfId="0" applyNumberFormat="1" applyFont="1" applyBorder="1"/>
    <xf numFmtId="43" fontId="4" fillId="0" borderId="16" xfId="3" applyFont="1" applyBorder="1"/>
    <xf numFmtId="1" fontId="4" fillId="0" borderId="0" xfId="3" applyNumberFormat="1" applyFont="1" applyBorder="1"/>
    <xf numFmtId="49" fontId="4" fillId="0" borderId="0" xfId="3" applyNumberFormat="1" applyFont="1" applyBorder="1"/>
    <xf numFmtId="43" fontId="4" fillId="0" borderId="0" xfId="3" applyFont="1" applyBorder="1"/>
    <xf numFmtId="9" fontId="0" fillId="0" borderId="0" xfId="48" applyFont="1"/>
    <xf numFmtId="43" fontId="30" fillId="4" borderId="5" xfId="1" applyFont="1" applyFill="1" applyBorder="1"/>
    <xf numFmtId="164" fontId="5" fillId="8" borderId="3" xfId="1" applyNumberFormat="1" applyFont="1" applyFill="1" applyBorder="1"/>
    <xf numFmtId="8" fontId="0" fillId="0" borderId="0" xfId="0" applyNumberFormat="1"/>
    <xf numFmtId="0" fontId="35" fillId="0" borderId="0" xfId="47" applyFont="1"/>
    <xf numFmtId="0" fontId="37" fillId="0" borderId="0" xfId="0" applyFont="1"/>
    <xf numFmtId="0" fontId="38" fillId="0" borderId="0" xfId="0" applyFont="1" applyAlignment="1">
      <alignment horizontal="center"/>
    </xf>
    <xf numFmtId="168" fontId="6" fillId="0" borderId="0" xfId="47" applyNumberFormat="1"/>
    <xf numFmtId="9" fontId="4" fillId="0" borderId="0" xfId="0" applyNumberFormat="1" applyFont="1"/>
    <xf numFmtId="8" fontId="4" fillId="0" borderId="0" xfId="0" applyNumberFormat="1" applyFont="1"/>
    <xf numFmtId="164" fontId="5" fillId="8" borderId="0" xfId="6" applyNumberFormat="1" applyFont="1" applyFill="1"/>
    <xf numFmtId="0" fontId="0" fillId="0" borderId="0" xfId="0" applyAlignment="1">
      <alignment horizontal="left"/>
    </xf>
    <xf numFmtId="0" fontId="39" fillId="0" borderId="0" xfId="0" applyFont="1"/>
    <xf numFmtId="0" fontId="40" fillId="0" borderId="0" xfId="0" applyFont="1"/>
    <xf numFmtId="43" fontId="25" fillId="8" borderId="0" xfId="6" applyFont="1" applyFill="1"/>
    <xf numFmtId="0" fontId="5" fillId="16" borderId="0" xfId="0" applyFont="1" applyFill="1" applyAlignment="1">
      <alignment horizontal="center"/>
    </xf>
    <xf numFmtId="164" fontId="0" fillId="16" borderId="0" xfId="1" applyNumberFormat="1" applyFont="1" applyFill="1"/>
    <xf numFmtId="0" fontId="9" fillId="16" borderId="0" xfId="0" applyFont="1" applyFill="1"/>
    <xf numFmtId="164" fontId="5" fillId="16" borderId="0" xfId="0" applyNumberFormat="1" applyFont="1" applyFill="1"/>
    <xf numFmtId="8" fontId="0" fillId="16" borderId="0" xfId="0" applyNumberFormat="1" applyFill="1"/>
    <xf numFmtId="164" fontId="0" fillId="16" borderId="0" xfId="0" applyNumberFormat="1" applyFill="1"/>
    <xf numFmtId="0" fontId="4" fillId="16" borderId="0" xfId="0" applyFont="1" applyFill="1"/>
    <xf numFmtId="170" fontId="5" fillId="16" borderId="0" xfId="1" applyNumberFormat="1" applyFont="1" applyFill="1"/>
    <xf numFmtId="43" fontId="35" fillId="0" borderId="0" xfId="1" applyFont="1" applyFill="1"/>
    <xf numFmtId="9" fontId="0" fillId="0" borderId="0" xfId="1" applyNumberFormat="1" applyFont="1" applyFill="1"/>
    <xf numFmtId="173" fontId="0" fillId="0" borderId="0" xfId="1" applyNumberFormat="1" applyFont="1" applyFill="1"/>
    <xf numFmtId="164" fontId="35" fillId="0" borderId="0" xfId="1" applyNumberFormat="1" applyFont="1" applyFill="1"/>
    <xf numFmtId="43" fontId="25" fillId="17" borderId="0" xfId="0" applyNumberFormat="1" applyFont="1" applyFill="1"/>
    <xf numFmtId="4" fontId="4" fillId="8" borderId="0" xfId="0" applyNumberFormat="1" applyFont="1" applyFill="1"/>
    <xf numFmtId="0" fontId="0" fillId="0" borderId="28" xfId="0" applyBorder="1" applyAlignment="1">
      <alignment horizontal="center" vertical="top"/>
    </xf>
    <xf numFmtId="43" fontId="4" fillId="0" borderId="16" xfId="1" applyFont="1" applyFill="1" applyBorder="1"/>
    <xf numFmtId="168" fontId="4" fillId="0" borderId="16" xfId="0" applyNumberFormat="1" applyFont="1" applyBorder="1"/>
    <xf numFmtId="0" fontId="5" fillId="16" borderId="0" xfId="0" applyFont="1" applyFill="1" applyAlignment="1">
      <alignment horizontal="center" wrapText="1"/>
    </xf>
    <xf numFmtId="43" fontId="25" fillId="18" borderId="0" xfId="6" applyFont="1" applyFill="1"/>
    <xf numFmtId="43" fontId="5" fillId="17" borderId="2" xfId="1" applyFont="1" applyFill="1" applyBorder="1"/>
    <xf numFmtId="170" fontId="35" fillId="0" borderId="0" xfId="1" applyNumberFormat="1" applyFont="1" applyFill="1"/>
    <xf numFmtId="164" fontId="33" fillId="0" borderId="0" xfId="1" applyNumberFormat="1" applyFont="1" applyFill="1"/>
    <xf numFmtId="166" fontId="25" fillId="0" borderId="0" xfId="1" applyNumberFormat="1" applyFont="1" applyFill="1" applyBorder="1"/>
    <xf numFmtId="164" fontId="5" fillId="8" borderId="0" xfId="1" applyNumberFormat="1" applyFont="1" applyFill="1" applyBorder="1"/>
    <xf numFmtId="164" fontId="4" fillId="0" borderId="0" xfId="1" applyNumberFormat="1" applyFont="1" applyFill="1" applyAlignment="1">
      <alignment horizontal="center"/>
    </xf>
    <xf numFmtId="0" fontId="5" fillId="0" borderId="0" xfId="0" applyFont="1" applyAlignment="1">
      <alignment horizontal="center" wrapText="1"/>
    </xf>
    <xf numFmtId="0" fontId="31" fillId="8" borderId="20" xfId="0" applyFont="1" applyFill="1" applyBorder="1" applyAlignment="1">
      <alignment horizontal="left" vertical="top"/>
    </xf>
    <xf numFmtId="0" fontId="31" fillId="8" borderId="20" xfId="0" applyFont="1" applyFill="1" applyBorder="1" applyAlignment="1">
      <alignment horizontal="right" vertical="top"/>
    </xf>
    <xf numFmtId="164" fontId="31" fillId="8" borderId="20" xfId="1" applyNumberFormat="1" applyFont="1" applyFill="1" applyBorder="1" applyAlignment="1">
      <alignment horizontal="right" vertical="top"/>
    </xf>
    <xf numFmtId="0" fontId="31" fillId="20" borderId="20" xfId="0" applyFont="1" applyFill="1" applyBorder="1" applyAlignment="1">
      <alignment horizontal="left" vertical="top"/>
    </xf>
    <xf numFmtId="0" fontId="31" fillId="20" borderId="20" xfId="0" applyFont="1" applyFill="1" applyBorder="1" applyAlignment="1">
      <alignment horizontal="right" vertical="top"/>
    </xf>
    <xf numFmtId="164" fontId="31" fillId="20" borderId="20" xfId="1" applyNumberFormat="1" applyFont="1" applyFill="1" applyBorder="1" applyAlignment="1">
      <alignment horizontal="right" vertical="top"/>
    </xf>
    <xf numFmtId="164" fontId="4" fillId="0" borderId="0" xfId="6" applyNumberFormat="1" applyFont="1" applyFill="1" applyAlignment="1">
      <alignment horizontal="center"/>
    </xf>
    <xf numFmtId="164" fontId="5" fillId="8" borderId="0" xfId="0" applyNumberFormat="1" applyFont="1" applyFill="1"/>
    <xf numFmtId="49" fontId="4" fillId="0" borderId="0" xfId="0" applyNumberFormat="1" applyFont="1"/>
    <xf numFmtId="0" fontId="0" fillId="8" borderId="0" xfId="0" applyFill="1"/>
    <xf numFmtId="43" fontId="25" fillId="19" borderId="0" xfId="1" applyFont="1" applyFill="1"/>
    <xf numFmtId="164" fontId="5" fillId="3" borderId="0" xfId="0" applyNumberFormat="1" applyFont="1" applyFill="1"/>
    <xf numFmtId="0" fontId="0" fillId="21" borderId="0" xfId="0" applyFill="1"/>
    <xf numFmtId="2" fontId="4" fillId="0" borderId="0" xfId="0" applyNumberFormat="1" applyFont="1"/>
    <xf numFmtId="166" fontId="4" fillId="0" borderId="0" xfId="0" applyNumberFormat="1" applyFont="1"/>
    <xf numFmtId="0" fontId="0" fillId="22" borderId="0" xfId="0" applyFill="1"/>
    <xf numFmtId="0" fontId="37" fillId="0" borderId="0" xfId="47" applyFont="1"/>
    <xf numFmtId="3" fontId="4" fillId="0" borderId="0" xfId="0" applyNumberFormat="1" applyFont="1"/>
    <xf numFmtId="0" fontId="5" fillId="10" borderId="0" xfId="0" applyFont="1" applyFill="1"/>
    <xf numFmtId="41" fontId="0" fillId="0" borderId="0" xfId="1" applyNumberFormat="1" applyFont="1"/>
    <xf numFmtId="164" fontId="28" fillId="0" borderId="0" xfId="1" applyNumberFormat="1" applyFont="1"/>
    <xf numFmtId="41" fontId="26" fillId="0" borderId="0" xfId="1" applyNumberFormat="1" applyFont="1"/>
    <xf numFmtId="0" fontId="35" fillId="0" borderId="0" xfId="0" applyFont="1" applyAlignment="1">
      <alignment horizontal="right"/>
    </xf>
    <xf numFmtId="43" fontId="35" fillId="0" borderId="0" xfId="0" applyNumberFormat="1" applyFont="1"/>
    <xf numFmtId="164" fontId="4" fillId="3" borderId="0" xfId="0" applyNumberFormat="1" applyFont="1" applyFill="1"/>
    <xf numFmtId="43" fontId="5" fillId="8" borderId="13" xfId="1" applyFont="1" applyFill="1" applyBorder="1"/>
    <xf numFmtId="43" fontId="5" fillId="8" borderId="9" xfId="1" applyFont="1" applyFill="1" applyBorder="1"/>
    <xf numFmtId="43" fontId="25" fillId="0" borderId="0" xfId="2" applyFont="1" applyFill="1"/>
    <xf numFmtId="43" fontId="5" fillId="0" borderId="0" xfId="2" applyFont="1" applyFill="1"/>
    <xf numFmtId="164" fontId="35" fillId="0" borderId="0" xfId="1" applyNumberFormat="1" applyFont="1" applyFill="1" applyAlignment="1">
      <alignment horizontal="center"/>
    </xf>
    <xf numFmtId="164" fontId="5" fillId="0" borderId="4" xfId="0" applyNumberFormat="1" applyFont="1" applyBorder="1"/>
    <xf numFmtId="43" fontId="25" fillId="3" borderId="16" xfId="1" applyFont="1" applyFill="1" applyBorder="1"/>
    <xf numFmtId="43" fontId="25" fillId="3" borderId="16" xfId="6" applyFont="1" applyFill="1" applyBorder="1"/>
    <xf numFmtId="43" fontId="5" fillId="0" borderId="0" xfId="0" applyNumberFormat="1" applyFont="1" applyAlignment="1">
      <alignment horizontal="right"/>
    </xf>
    <xf numFmtId="44" fontId="0" fillId="0" borderId="0" xfId="0" applyNumberFormat="1"/>
    <xf numFmtId="0" fontId="5" fillId="16" borderId="0" xfId="0" applyFont="1" applyFill="1" applyAlignment="1">
      <alignment horizontal="right"/>
    </xf>
    <xf numFmtId="6" fontId="4" fillId="16" borderId="0" xfId="0" applyNumberFormat="1" applyFont="1" applyFill="1"/>
    <xf numFmtId="164" fontId="4" fillId="16" borderId="0" xfId="0" applyNumberFormat="1" applyFont="1" applyFill="1"/>
    <xf numFmtId="44" fontId="0" fillId="0" borderId="0" xfId="1" applyNumberFormat="1" applyFont="1" applyFill="1"/>
    <xf numFmtId="0" fontId="5" fillId="0" borderId="2" xfId="1" applyNumberFormat="1" applyFont="1" applyFill="1" applyBorder="1" applyAlignment="1">
      <alignment horizontal="center"/>
    </xf>
    <xf numFmtId="0" fontId="5" fillId="0" borderId="2" xfId="1" quotePrefix="1" applyNumberFormat="1" applyFont="1" applyFill="1" applyBorder="1" applyAlignment="1">
      <alignment horizontal="center"/>
    </xf>
    <xf numFmtId="174" fontId="4" fillId="0" borderId="0" xfId="0" applyNumberFormat="1" applyFont="1"/>
    <xf numFmtId="0" fontId="5" fillId="4" borderId="0" xfId="0" applyFont="1" applyFill="1"/>
    <xf numFmtId="164" fontId="5" fillId="8" borderId="18" xfId="6" applyNumberFormat="1" applyFont="1" applyFill="1" applyBorder="1"/>
    <xf numFmtId="171" fontId="27" fillId="8" borderId="27" xfId="24" applyNumberFormat="1" applyFont="1" applyFill="1" applyBorder="1"/>
    <xf numFmtId="43" fontId="25" fillId="18" borderId="0" xfId="1" applyFont="1" applyFill="1"/>
    <xf numFmtId="0" fontId="0" fillId="23" borderId="0" xfId="0" applyFill="1"/>
    <xf numFmtId="43" fontId="4" fillId="8" borderId="0" xfId="119" applyNumberFormat="1" applyFill="1"/>
    <xf numFmtId="0" fontId="0" fillId="24" borderId="0" xfId="0" applyFill="1" applyAlignment="1">
      <alignment horizontal="center"/>
    </xf>
    <xf numFmtId="0" fontId="0" fillId="24" borderId="0" xfId="0" applyFill="1"/>
    <xf numFmtId="43" fontId="0" fillId="24" borderId="0" xfId="1" applyFont="1" applyFill="1"/>
    <xf numFmtId="0" fontId="4" fillId="24" borderId="0" xfId="0" quotePrefix="1" applyFont="1" applyFill="1" applyAlignment="1">
      <alignment horizontal="center"/>
    </xf>
    <xf numFmtId="166" fontId="25" fillId="3" borderId="0" xfId="6" applyNumberFormat="1" applyFont="1" applyFill="1"/>
    <xf numFmtId="43" fontId="35" fillId="0" borderId="0" xfId="47" applyNumberFormat="1" applyFont="1"/>
    <xf numFmtId="4" fontId="0" fillId="0" borderId="0" xfId="0" applyNumberFormat="1" applyAlignment="1">
      <alignment horizontal="left"/>
    </xf>
    <xf numFmtId="0" fontId="4" fillId="25" borderId="0" xfId="0" applyFont="1" applyFill="1"/>
    <xf numFmtId="0" fontId="0" fillId="25" borderId="0" xfId="0" applyFill="1"/>
    <xf numFmtId="164" fontId="0" fillId="25" borderId="0" xfId="1" applyNumberFormat="1" applyFont="1" applyFill="1"/>
    <xf numFmtId="43" fontId="0" fillId="0" borderId="0" xfId="6" applyFont="1"/>
    <xf numFmtId="37" fontId="4" fillId="8" borderId="0" xfId="4" applyNumberFormat="1" applyFont="1" applyFill="1"/>
    <xf numFmtId="37" fontId="35" fillId="0" borderId="0" xfId="4" applyNumberFormat="1" applyFont="1" applyFill="1"/>
    <xf numFmtId="0" fontId="31" fillId="25" borderId="20" xfId="0" applyFont="1" applyFill="1" applyBorder="1" applyAlignment="1">
      <alignment horizontal="left" vertical="top"/>
    </xf>
    <xf numFmtId="0" fontId="31" fillId="25" borderId="20" xfId="0" applyFont="1" applyFill="1" applyBorder="1" applyAlignment="1">
      <alignment horizontal="right" vertical="top"/>
    </xf>
    <xf numFmtId="164" fontId="31" fillId="25" borderId="20" xfId="1" applyNumberFormat="1" applyFont="1" applyFill="1" applyBorder="1" applyAlignment="1">
      <alignment horizontal="right" vertical="top"/>
    </xf>
    <xf numFmtId="0" fontId="31" fillId="26" borderId="20" xfId="0" applyFont="1" applyFill="1" applyBorder="1" applyAlignment="1">
      <alignment horizontal="left" vertical="top"/>
    </xf>
    <xf numFmtId="0" fontId="31" fillId="26" borderId="20" xfId="0" applyFont="1" applyFill="1" applyBorder="1" applyAlignment="1">
      <alignment horizontal="right" vertical="top"/>
    </xf>
    <xf numFmtId="164" fontId="31" fillId="26" borderId="20" xfId="1" applyNumberFormat="1" applyFont="1" applyFill="1" applyBorder="1" applyAlignment="1">
      <alignment horizontal="right" vertical="top"/>
    </xf>
    <xf numFmtId="166" fontId="6" fillId="0" borderId="0" xfId="47" applyNumberFormat="1"/>
    <xf numFmtId="175" fontId="6" fillId="5" borderId="18" xfId="47" applyNumberFormat="1" applyFill="1" applyBorder="1"/>
    <xf numFmtId="176" fontId="6" fillId="0" borderId="0" xfId="47" applyNumberFormat="1"/>
    <xf numFmtId="164" fontId="31" fillId="0" borderId="20" xfId="1" applyNumberFormat="1" applyFont="1" applyFill="1" applyBorder="1" applyAlignment="1">
      <alignment horizontal="right" vertical="top"/>
    </xf>
    <xf numFmtId="37" fontId="42" fillId="0" borderId="0" xfId="4" applyNumberFormat="1" applyFont="1" applyFill="1"/>
    <xf numFmtId="0" fontId="0" fillId="8" borderId="0" xfId="0" applyFill="1" applyAlignment="1">
      <alignment horizontal="left" indent="1"/>
    </xf>
    <xf numFmtId="3" fontId="0" fillId="8" borderId="0" xfId="0" applyNumberFormat="1" applyFill="1"/>
    <xf numFmtId="0" fontId="0" fillId="8" borderId="0" xfId="0" applyFill="1" applyAlignment="1">
      <alignment horizontal="left"/>
    </xf>
    <xf numFmtId="14" fontId="42" fillId="0" borderId="0" xfId="0" applyNumberFormat="1" applyFont="1"/>
    <xf numFmtId="4" fontId="43" fillId="0" borderId="0" xfId="0" applyNumberFormat="1" applyFont="1"/>
    <xf numFmtId="177" fontId="6" fillId="0" borderId="0" xfId="47" applyNumberFormat="1"/>
    <xf numFmtId="43" fontId="42" fillId="0" borderId="16" xfId="3" applyFont="1" applyFill="1" applyBorder="1"/>
    <xf numFmtId="164" fontId="43" fillId="3" borderId="0" xfId="3" applyNumberFormat="1" applyFont="1" applyFill="1"/>
    <xf numFmtId="43" fontId="6" fillId="0" borderId="0" xfId="0" applyNumberFormat="1" applyFont="1"/>
    <xf numFmtId="43" fontId="4" fillId="27" borderId="0" xfId="6" applyFont="1" applyFill="1"/>
    <xf numFmtId="43" fontId="25" fillId="27" borderId="0" xfId="6" applyFont="1" applyFill="1"/>
    <xf numFmtId="0" fontId="25" fillId="3" borderId="0" xfId="0" applyFont="1" applyFill="1" applyAlignment="1">
      <alignment horizontal="left"/>
    </xf>
    <xf numFmtId="0" fontId="5" fillId="0" borderId="0" xfId="0" applyFont="1" applyAlignment="1">
      <alignment horizontal="left"/>
    </xf>
    <xf numFmtId="0" fontId="4" fillId="0" borderId="5" xfId="0" applyFont="1" applyBorder="1" applyAlignment="1">
      <alignment horizontal="center"/>
    </xf>
    <xf numFmtId="0" fontId="27" fillId="0" borderId="0" xfId="0" applyFont="1" applyAlignment="1">
      <alignment horizontal="left"/>
    </xf>
    <xf numFmtId="4" fontId="13" fillId="0" borderId="0" xfId="0" applyNumberFormat="1" applyFont="1" applyAlignment="1">
      <alignment horizontal="center"/>
    </xf>
    <xf numFmtId="0" fontId="0" fillId="0" borderId="0" xfId="0" applyAlignment="1">
      <alignment horizontal="left"/>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4" fillId="0" borderId="0" xfId="0" applyFont="1" applyAlignment="1">
      <alignment horizontal="left"/>
    </xf>
    <xf numFmtId="0" fontId="5" fillId="0" borderId="0" xfId="0" applyFont="1"/>
    <xf numFmtId="0" fontId="5" fillId="0" borderId="0" xfId="0" applyFont="1" applyAlignment="1">
      <alignment horizontal="center"/>
    </xf>
    <xf numFmtId="0" fontId="4" fillId="0" borderId="25" xfId="47" applyFont="1" applyBorder="1" applyAlignment="1">
      <alignment horizontal="center"/>
    </xf>
    <xf numFmtId="0" fontId="4" fillId="0" borderId="26" xfId="47" applyFont="1" applyBorder="1" applyAlignment="1">
      <alignment horizontal="center"/>
    </xf>
    <xf numFmtId="0" fontId="4" fillId="0" borderId="27" xfId="47" applyFont="1" applyBorder="1" applyAlignment="1">
      <alignment horizontal="center"/>
    </xf>
    <xf numFmtId="0" fontId="6" fillId="6" borderId="5" xfId="47" applyFill="1" applyBorder="1" applyAlignment="1">
      <alignment horizontal="center"/>
    </xf>
    <xf numFmtId="0" fontId="6" fillId="6" borderId="17" xfId="47" applyFill="1" applyBorder="1" applyAlignment="1">
      <alignment horizontal="center"/>
    </xf>
    <xf numFmtId="0" fontId="4" fillId="6" borderId="17" xfId="47" applyFont="1" applyFill="1" applyBorder="1" applyAlignment="1">
      <alignment horizontal="center"/>
    </xf>
    <xf numFmtId="0" fontId="6" fillId="10" borderId="5" xfId="47" applyFill="1" applyBorder="1" applyAlignment="1">
      <alignment horizontal="center"/>
    </xf>
    <xf numFmtId="0" fontId="6" fillId="10" borderId="17" xfId="47" applyFill="1" applyBorder="1" applyAlignment="1">
      <alignment horizontal="center"/>
    </xf>
    <xf numFmtId="41" fontId="5" fillId="0" borderId="0" xfId="0" applyNumberFormat="1" applyFont="1" applyAlignment="1">
      <alignment horizontal="left"/>
    </xf>
    <xf numFmtId="3" fontId="0" fillId="0" borderId="0" xfId="0" applyNumberFormat="1" applyFill="1"/>
    <xf numFmtId="0" fontId="0" fillId="0" borderId="0" xfId="0" applyFill="1" applyAlignment="1">
      <alignment horizontal="left"/>
    </xf>
    <xf numFmtId="0" fontId="0" fillId="0" borderId="0" xfId="0" applyFill="1" applyAlignment="1">
      <alignment horizontal="left" indent="1"/>
    </xf>
    <xf numFmtId="0" fontId="4" fillId="8" borderId="0" xfId="0" applyFont="1" applyFill="1"/>
    <xf numFmtId="0" fontId="0" fillId="0" borderId="0" xfId="0" applyFill="1"/>
    <xf numFmtId="0" fontId="35" fillId="0" borderId="0" xfId="0" applyFont="1" applyFill="1"/>
    <xf numFmtId="0" fontId="4" fillId="8" borderId="0" xfId="0" applyFont="1" applyFill="1" applyAlignment="1">
      <alignment horizontal="left"/>
    </xf>
    <xf numFmtId="180" fontId="4" fillId="0" borderId="0" xfId="0" applyNumberFormat="1" applyFont="1"/>
    <xf numFmtId="43" fontId="25" fillId="18" borderId="0" xfId="6" applyNumberFormat="1" applyFont="1" applyFill="1"/>
    <xf numFmtId="193" fontId="6" fillId="0" borderId="0" xfId="47" applyNumberFormat="1"/>
    <xf numFmtId="43" fontId="35" fillId="0" borderId="16" xfId="3" applyFont="1" applyFill="1" applyBorder="1"/>
  </cellXfs>
  <cellStyles count="147">
    <cellStyle name="Comma" xfId="1" builtinId="3"/>
    <cellStyle name="Comma 10" xfId="2" xr:uid="{00000000-0005-0000-0000-000001000000}"/>
    <cellStyle name="Comma 10 2" xfId="3" xr:uid="{00000000-0005-0000-0000-000002000000}"/>
    <cellStyle name="Comma 10 2 2" xfId="75" xr:uid="{00000000-0005-0000-0000-000003000000}"/>
    <cellStyle name="Comma 10 3" xfId="74" xr:uid="{00000000-0005-0000-0000-000004000000}"/>
    <cellStyle name="Comma 11" xfId="4" xr:uid="{00000000-0005-0000-0000-000005000000}"/>
    <cellStyle name="Comma 11 2" xfId="5" xr:uid="{00000000-0005-0000-0000-000006000000}"/>
    <cellStyle name="Comma 11 2 2" xfId="77" xr:uid="{00000000-0005-0000-0000-000007000000}"/>
    <cellStyle name="Comma 11 3" xfId="76" xr:uid="{00000000-0005-0000-0000-000008000000}"/>
    <cellStyle name="Comma 12" xfId="6" xr:uid="{00000000-0005-0000-0000-000009000000}"/>
    <cellStyle name="Comma 12 2" xfId="78" xr:uid="{00000000-0005-0000-0000-00000A000000}"/>
    <cellStyle name="Comma 13" xfId="73" xr:uid="{00000000-0005-0000-0000-00000B000000}"/>
    <cellStyle name="Comma 2" xfId="7" xr:uid="{00000000-0005-0000-0000-00000C000000}"/>
    <cellStyle name="Comma 2 2" xfId="79" xr:uid="{00000000-0005-0000-0000-00000D000000}"/>
    <cellStyle name="Comma 3" xfId="8" xr:uid="{00000000-0005-0000-0000-00000E000000}"/>
    <cellStyle name="Comma 3 2" xfId="9" xr:uid="{00000000-0005-0000-0000-00000F000000}"/>
    <cellStyle name="Comma 3 2 2" xfId="10" xr:uid="{00000000-0005-0000-0000-000010000000}"/>
    <cellStyle name="Comma 3 2 2 2" xfId="82" xr:uid="{00000000-0005-0000-0000-000011000000}"/>
    <cellStyle name="Comma 3 2 3" xfId="81" xr:uid="{00000000-0005-0000-0000-000012000000}"/>
    <cellStyle name="Comma 3 3" xfId="11" xr:uid="{00000000-0005-0000-0000-000013000000}"/>
    <cellStyle name="Comma 3 3 2" xfId="83" xr:uid="{00000000-0005-0000-0000-000014000000}"/>
    <cellStyle name="Comma 3 4" xfId="80" xr:uid="{00000000-0005-0000-0000-000015000000}"/>
    <cellStyle name="Comma 4" xfId="12" xr:uid="{00000000-0005-0000-0000-000016000000}"/>
    <cellStyle name="Comma 4 2" xfId="13" xr:uid="{00000000-0005-0000-0000-000017000000}"/>
    <cellStyle name="Comma 4 2 2" xfId="85" xr:uid="{00000000-0005-0000-0000-000018000000}"/>
    <cellStyle name="Comma 4 3" xfId="84" xr:uid="{00000000-0005-0000-0000-000019000000}"/>
    <cellStyle name="Comma 41" xfId="144" xr:uid="{00000000-0005-0000-0000-00001A000000}"/>
    <cellStyle name="Comma 5" xfId="14" xr:uid="{00000000-0005-0000-0000-00001B000000}"/>
    <cellStyle name="Comma 5 2" xfId="15" xr:uid="{00000000-0005-0000-0000-00001C000000}"/>
    <cellStyle name="Comma 5 2 2" xfId="87" xr:uid="{00000000-0005-0000-0000-00001D000000}"/>
    <cellStyle name="Comma 5 3" xfId="86" xr:uid="{00000000-0005-0000-0000-00001E000000}"/>
    <cellStyle name="Comma 6" xfId="16" xr:uid="{00000000-0005-0000-0000-00001F000000}"/>
    <cellStyle name="Comma 6 2" xfId="17" xr:uid="{00000000-0005-0000-0000-000020000000}"/>
    <cellStyle name="Comma 6 2 2" xfId="89" xr:uid="{00000000-0005-0000-0000-000021000000}"/>
    <cellStyle name="Comma 6 3" xfId="88" xr:uid="{00000000-0005-0000-0000-000022000000}"/>
    <cellStyle name="Comma 7" xfId="18" xr:uid="{00000000-0005-0000-0000-000023000000}"/>
    <cellStyle name="Comma 7 2" xfId="19" xr:uid="{00000000-0005-0000-0000-000024000000}"/>
    <cellStyle name="Comma 7 2 2" xfId="91" xr:uid="{00000000-0005-0000-0000-000025000000}"/>
    <cellStyle name="Comma 7 3" xfId="90" xr:uid="{00000000-0005-0000-0000-000026000000}"/>
    <cellStyle name="Comma 8" xfId="20" xr:uid="{00000000-0005-0000-0000-000027000000}"/>
    <cellStyle name="Comma 8 2" xfId="21" xr:uid="{00000000-0005-0000-0000-000028000000}"/>
    <cellStyle name="Comma 8 2 2" xfId="93" xr:uid="{00000000-0005-0000-0000-000029000000}"/>
    <cellStyle name="Comma 8 3" xfId="92" xr:uid="{00000000-0005-0000-0000-00002A000000}"/>
    <cellStyle name="Comma 9" xfId="22" xr:uid="{00000000-0005-0000-0000-00002B000000}"/>
    <cellStyle name="Comma 9 2" xfId="23" xr:uid="{00000000-0005-0000-0000-00002C000000}"/>
    <cellStyle name="Comma 9 2 2" xfId="95" xr:uid="{00000000-0005-0000-0000-00002D000000}"/>
    <cellStyle name="Comma 9 3" xfId="94" xr:uid="{00000000-0005-0000-0000-00002E000000}"/>
    <cellStyle name="Currency" xfId="24" builtinId="4"/>
    <cellStyle name="Currency 10" xfId="25" xr:uid="{00000000-0005-0000-0000-000030000000}"/>
    <cellStyle name="Currency 10 2" xfId="26" xr:uid="{00000000-0005-0000-0000-000031000000}"/>
    <cellStyle name="Currency 10 2 2" xfId="98" xr:uid="{00000000-0005-0000-0000-000032000000}"/>
    <cellStyle name="Currency 10 3" xfId="97" xr:uid="{00000000-0005-0000-0000-000033000000}"/>
    <cellStyle name="Currency 11" xfId="27" xr:uid="{00000000-0005-0000-0000-000034000000}"/>
    <cellStyle name="Currency 11 2" xfId="28" xr:uid="{00000000-0005-0000-0000-000035000000}"/>
    <cellStyle name="Currency 11 2 2" xfId="100" xr:uid="{00000000-0005-0000-0000-000036000000}"/>
    <cellStyle name="Currency 11 3" xfId="99" xr:uid="{00000000-0005-0000-0000-000037000000}"/>
    <cellStyle name="Currency 12" xfId="29" xr:uid="{00000000-0005-0000-0000-000038000000}"/>
    <cellStyle name="Currency 12 2" xfId="101" xr:uid="{00000000-0005-0000-0000-000039000000}"/>
    <cellStyle name="Currency 13" xfId="96" xr:uid="{00000000-0005-0000-0000-00003A000000}"/>
    <cellStyle name="Currency 2" xfId="30" xr:uid="{00000000-0005-0000-0000-00003B000000}"/>
    <cellStyle name="Currency 2 2" xfId="102" xr:uid="{00000000-0005-0000-0000-00003C000000}"/>
    <cellStyle name="Currency 3" xfId="31" xr:uid="{00000000-0005-0000-0000-00003D000000}"/>
    <cellStyle name="Currency 3 2" xfId="32" xr:uid="{00000000-0005-0000-0000-00003E000000}"/>
    <cellStyle name="Currency 3 2 2" xfId="33" xr:uid="{00000000-0005-0000-0000-00003F000000}"/>
    <cellStyle name="Currency 3 2 2 2" xfId="105" xr:uid="{00000000-0005-0000-0000-000040000000}"/>
    <cellStyle name="Currency 3 2 3" xfId="104" xr:uid="{00000000-0005-0000-0000-000041000000}"/>
    <cellStyle name="Currency 3 3" xfId="34" xr:uid="{00000000-0005-0000-0000-000042000000}"/>
    <cellStyle name="Currency 3 3 2" xfId="106" xr:uid="{00000000-0005-0000-0000-000043000000}"/>
    <cellStyle name="Currency 3 4" xfId="103" xr:uid="{00000000-0005-0000-0000-000044000000}"/>
    <cellStyle name="Currency 4" xfId="35" xr:uid="{00000000-0005-0000-0000-000045000000}"/>
    <cellStyle name="Currency 4 2" xfId="36" xr:uid="{00000000-0005-0000-0000-000046000000}"/>
    <cellStyle name="Currency 4 2 2" xfId="108" xr:uid="{00000000-0005-0000-0000-000047000000}"/>
    <cellStyle name="Currency 4 3" xfId="107" xr:uid="{00000000-0005-0000-0000-000048000000}"/>
    <cellStyle name="Currency 5" xfId="37" xr:uid="{00000000-0005-0000-0000-000049000000}"/>
    <cellStyle name="Currency 5 2" xfId="38" xr:uid="{00000000-0005-0000-0000-00004A000000}"/>
    <cellStyle name="Currency 5 2 2" xfId="110" xr:uid="{00000000-0005-0000-0000-00004B000000}"/>
    <cellStyle name="Currency 5 3" xfId="109" xr:uid="{00000000-0005-0000-0000-00004C000000}"/>
    <cellStyle name="Currency 6" xfId="39" xr:uid="{00000000-0005-0000-0000-00004D000000}"/>
    <cellStyle name="Currency 6 2" xfId="40" xr:uid="{00000000-0005-0000-0000-00004E000000}"/>
    <cellStyle name="Currency 6 2 2" xfId="112" xr:uid="{00000000-0005-0000-0000-00004F000000}"/>
    <cellStyle name="Currency 6 3" xfId="111" xr:uid="{00000000-0005-0000-0000-000050000000}"/>
    <cellStyle name="Currency 7" xfId="41" xr:uid="{00000000-0005-0000-0000-000051000000}"/>
    <cellStyle name="Currency 7 2" xfId="42" xr:uid="{00000000-0005-0000-0000-000052000000}"/>
    <cellStyle name="Currency 7 2 2" xfId="114" xr:uid="{00000000-0005-0000-0000-000053000000}"/>
    <cellStyle name="Currency 7 3" xfId="113" xr:uid="{00000000-0005-0000-0000-000054000000}"/>
    <cellStyle name="Currency 8" xfId="43" xr:uid="{00000000-0005-0000-0000-000055000000}"/>
    <cellStyle name="Currency 8 2" xfId="44" xr:uid="{00000000-0005-0000-0000-000056000000}"/>
    <cellStyle name="Currency 8 2 2" xfId="116" xr:uid="{00000000-0005-0000-0000-000057000000}"/>
    <cellStyle name="Currency 8 3" xfId="115" xr:uid="{00000000-0005-0000-0000-000058000000}"/>
    <cellStyle name="Currency 9" xfId="45" xr:uid="{00000000-0005-0000-0000-000059000000}"/>
    <cellStyle name="Currency 9 2" xfId="46" xr:uid="{00000000-0005-0000-0000-00005A000000}"/>
    <cellStyle name="Currency 9 2 2" xfId="118" xr:uid="{00000000-0005-0000-0000-00005B000000}"/>
    <cellStyle name="Currency 9 3" xfId="117" xr:uid="{00000000-0005-0000-0000-00005C000000}"/>
    <cellStyle name="Normal" xfId="0" builtinId="0"/>
    <cellStyle name="Normal 2" xfId="47" xr:uid="{00000000-0005-0000-0000-00005E000000}"/>
    <cellStyle name="Normal 2 2" xfId="119" xr:uid="{00000000-0005-0000-0000-00005F000000}"/>
    <cellStyle name="Normal 3" xfId="72" xr:uid="{00000000-0005-0000-0000-000060000000}"/>
    <cellStyle name="Normal 4" xfId="143" xr:uid="{00000000-0005-0000-0000-000061000000}"/>
    <cellStyle name="Normal 5" xfId="71" xr:uid="{00000000-0005-0000-0000-000062000000}"/>
    <cellStyle name="Normal 5 2" xfId="145" xr:uid="{00000000-0005-0000-0000-000063000000}"/>
    <cellStyle name="Normal 6" xfId="146" xr:uid="{00000000-0005-0000-0000-000064000000}"/>
    <cellStyle name="Percent" xfId="48" builtinId="5"/>
    <cellStyle name="Percent 10" xfId="49" xr:uid="{00000000-0005-0000-0000-000066000000}"/>
    <cellStyle name="Percent 10 2" xfId="50" xr:uid="{00000000-0005-0000-0000-000067000000}"/>
    <cellStyle name="Percent 10 2 2" xfId="122" xr:uid="{00000000-0005-0000-0000-000068000000}"/>
    <cellStyle name="Percent 10 3" xfId="121" xr:uid="{00000000-0005-0000-0000-000069000000}"/>
    <cellStyle name="Percent 11" xfId="51" xr:uid="{00000000-0005-0000-0000-00006A000000}"/>
    <cellStyle name="Percent 11 2" xfId="52" xr:uid="{00000000-0005-0000-0000-00006B000000}"/>
    <cellStyle name="Percent 11 2 2" xfId="124" xr:uid="{00000000-0005-0000-0000-00006C000000}"/>
    <cellStyle name="Percent 11 3" xfId="123" xr:uid="{00000000-0005-0000-0000-00006D000000}"/>
    <cellStyle name="Percent 12" xfId="53" xr:uid="{00000000-0005-0000-0000-00006E000000}"/>
    <cellStyle name="Percent 12 2" xfId="125" xr:uid="{00000000-0005-0000-0000-00006F000000}"/>
    <cellStyle name="Percent 13" xfId="120" xr:uid="{00000000-0005-0000-0000-000070000000}"/>
    <cellStyle name="Percent 2" xfId="54" xr:uid="{00000000-0005-0000-0000-000071000000}"/>
    <cellStyle name="Percent 2 2" xfId="126" xr:uid="{00000000-0005-0000-0000-000072000000}"/>
    <cellStyle name="Percent 3" xfId="55" xr:uid="{00000000-0005-0000-0000-000073000000}"/>
    <cellStyle name="Percent 3 2" xfId="56" xr:uid="{00000000-0005-0000-0000-000074000000}"/>
    <cellStyle name="Percent 3 2 2" xfId="57" xr:uid="{00000000-0005-0000-0000-000075000000}"/>
    <cellStyle name="Percent 3 2 2 2" xfId="129" xr:uid="{00000000-0005-0000-0000-000076000000}"/>
    <cellStyle name="Percent 3 2 3" xfId="128" xr:uid="{00000000-0005-0000-0000-000077000000}"/>
    <cellStyle name="Percent 3 3" xfId="58" xr:uid="{00000000-0005-0000-0000-000078000000}"/>
    <cellStyle name="Percent 3 3 2" xfId="130" xr:uid="{00000000-0005-0000-0000-000079000000}"/>
    <cellStyle name="Percent 3 4" xfId="127" xr:uid="{00000000-0005-0000-0000-00007A000000}"/>
    <cellStyle name="Percent 4" xfId="59" xr:uid="{00000000-0005-0000-0000-00007B000000}"/>
    <cellStyle name="Percent 4 2" xfId="60" xr:uid="{00000000-0005-0000-0000-00007C000000}"/>
    <cellStyle name="Percent 4 2 2" xfId="132" xr:uid="{00000000-0005-0000-0000-00007D000000}"/>
    <cellStyle name="Percent 4 3" xfId="131" xr:uid="{00000000-0005-0000-0000-00007E000000}"/>
    <cellStyle name="Percent 5" xfId="61" xr:uid="{00000000-0005-0000-0000-00007F000000}"/>
    <cellStyle name="Percent 5 2" xfId="62" xr:uid="{00000000-0005-0000-0000-000080000000}"/>
    <cellStyle name="Percent 5 2 2" xfId="134" xr:uid="{00000000-0005-0000-0000-000081000000}"/>
    <cellStyle name="Percent 5 3" xfId="133" xr:uid="{00000000-0005-0000-0000-000082000000}"/>
    <cellStyle name="Percent 6" xfId="63" xr:uid="{00000000-0005-0000-0000-000083000000}"/>
    <cellStyle name="Percent 6 2" xfId="64" xr:uid="{00000000-0005-0000-0000-000084000000}"/>
    <cellStyle name="Percent 6 2 2" xfId="136" xr:uid="{00000000-0005-0000-0000-000085000000}"/>
    <cellStyle name="Percent 6 3" xfId="135" xr:uid="{00000000-0005-0000-0000-000086000000}"/>
    <cellStyle name="Percent 7" xfId="65" xr:uid="{00000000-0005-0000-0000-000087000000}"/>
    <cellStyle name="Percent 7 2" xfId="66" xr:uid="{00000000-0005-0000-0000-000088000000}"/>
    <cellStyle name="Percent 7 2 2" xfId="138" xr:uid="{00000000-0005-0000-0000-000089000000}"/>
    <cellStyle name="Percent 7 3" xfId="137" xr:uid="{00000000-0005-0000-0000-00008A000000}"/>
    <cellStyle name="Percent 8" xfId="67" xr:uid="{00000000-0005-0000-0000-00008B000000}"/>
    <cellStyle name="Percent 8 2" xfId="68" xr:uid="{00000000-0005-0000-0000-00008C000000}"/>
    <cellStyle name="Percent 8 2 2" xfId="140" xr:uid="{00000000-0005-0000-0000-00008D000000}"/>
    <cellStyle name="Percent 8 3" xfId="139" xr:uid="{00000000-0005-0000-0000-00008E000000}"/>
    <cellStyle name="Percent 9" xfId="69" xr:uid="{00000000-0005-0000-0000-00008F000000}"/>
    <cellStyle name="Percent 9 2" xfId="70" xr:uid="{00000000-0005-0000-0000-000090000000}"/>
    <cellStyle name="Percent 9 2 2" xfId="142" xr:uid="{00000000-0005-0000-0000-000091000000}"/>
    <cellStyle name="Percent 9 3" xfId="141" xr:uid="{00000000-0005-0000-0000-00009200000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12</xdr:col>
      <xdr:colOff>542925</xdr:colOff>
      <xdr:row>3</xdr:row>
      <xdr:rowOff>142875</xdr:rowOff>
    </xdr:from>
    <xdr:to>
      <xdr:col>17</xdr:col>
      <xdr:colOff>504825</xdr:colOff>
      <xdr:row>15</xdr:row>
      <xdr:rowOff>95250</xdr:rowOff>
    </xdr:to>
    <xdr:sp macro="" textlink="">
      <xdr:nvSpPr>
        <xdr:cNvPr id="3" name="TextBox 2">
          <a:extLst>
            <a:ext uri="{FF2B5EF4-FFF2-40B4-BE49-F238E27FC236}">
              <a16:creationId xmlns:a16="http://schemas.microsoft.com/office/drawing/2014/main" id="{0C584B51-908E-C791-9394-A0E217A4C179}"/>
            </a:ext>
          </a:extLst>
        </xdr:cNvPr>
        <xdr:cNvSpPr txBox="1"/>
      </xdr:nvSpPr>
      <xdr:spPr>
        <a:xfrm>
          <a:off x="12839700" y="628650"/>
          <a:ext cx="3495675"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Any skus that say "Natural Brands", "Kennesaw", or "Louisburg" get assigned to TX (except small bottle skus 4106, 4116, 4136, 4138.) </a:t>
          </a:r>
        </a:p>
        <a:p>
          <a:endParaRPr lang="en-US">
            <a:effectLst/>
          </a:endParaRPr>
        </a:p>
        <a:p>
          <a:r>
            <a:rPr lang="en-US" sz="1100">
              <a:solidFill>
                <a:schemeClr val="dk1"/>
              </a:solidFill>
              <a:effectLst/>
              <a:latin typeface="+mn-lt"/>
              <a:ea typeface="+mn-ea"/>
              <a:cs typeface="+mn-cs"/>
            </a:rPr>
            <a:t>Aseptic</a:t>
          </a:r>
          <a:r>
            <a:rPr lang="en-US" sz="1100" baseline="0">
              <a:solidFill>
                <a:schemeClr val="dk1"/>
              </a:solidFill>
              <a:effectLst/>
              <a:latin typeface="+mn-lt"/>
              <a:ea typeface="+mn-ea"/>
              <a:cs typeface="+mn-cs"/>
            </a:rPr>
            <a:t> Packaging = DAV</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68</xdr:row>
      <xdr:rowOff>0</xdr:rowOff>
    </xdr:from>
    <xdr:to>
      <xdr:col>9</xdr:col>
      <xdr:colOff>76200</xdr:colOff>
      <xdr:row>69</xdr:row>
      <xdr:rowOff>38100</xdr:rowOff>
    </xdr:to>
    <xdr:sp macro="" textlink="">
      <xdr:nvSpPr>
        <xdr:cNvPr id="2" name="Text Box 17">
          <a:extLst>
            <a:ext uri="{FF2B5EF4-FFF2-40B4-BE49-F238E27FC236}">
              <a16:creationId xmlns:a16="http://schemas.microsoft.com/office/drawing/2014/main" id="{00000000-0008-0000-0100-000002000000}"/>
            </a:ext>
          </a:extLst>
        </xdr:cNvPr>
        <xdr:cNvSpPr txBox="1">
          <a:spLocks noChangeArrowheads="1"/>
        </xdr:cNvSpPr>
      </xdr:nvSpPr>
      <xdr:spPr bwMode="auto">
        <a:xfrm>
          <a:off x="9791700" y="14982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68</xdr:row>
      <xdr:rowOff>0</xdr:rowOff>
    </xdr:from>
    <xdr:to>
      <xdr:col>9</xdr:col>
      <xdr:colOff>76200</xdr:colOff>
      <xdr:row>69</xdr:row>
      <xdr:rowOff>38100</xdr:rowOff>
    </xdr:to>
    <xdr:sp macro="" textlink="">
      <xdr:nvSpPr>
        <xdr:cNvPr id="3" name="Text Box 18">
          <a:extLst>
            <a:ext uri="{FF2B5EF4-FFF2-40B4-BE49-F238E27FC236}">
              <a16:creationId xmlns:a16="http://schemas.microsoft.com/office/drawing/2014/main" id="{00000000-0008-0000-0100-000003000000}"/>
            </a:ext>
          </a:extLst>
        </xdr:cNvPr>
        <xdr:cNvSpPr txBox="1">
          <a:spLocks noChangeArrowheads="1"/>
        </xdr:cNvSpPr>
      </xdr:nvSpPr>
      <xdr:spPr bwMode="auto">
        <a:xfrm>
          <a:off x="9791700" y="156400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298</xdr:row>
      <xdr:rowOff>0</xdr:rowOff>
    </xdr:from>
    <xdr:to>
      <xdr:col>10</xdr:col>
      <xdr:colOff>76200</xdr:colOff>
      <xdr:row>299</xdr:row>
      <xdr:rowOff>25400</xdr:rowOff>
    </xdr:to>
    <xdr:sp macro="" textlink="">
      <xdr:nvSpPr>
        <xdr:cNvPr id="21309" name="Text Box 18">
          <a:extLst>
            <a:ext uri="{FF2B5EF4-FFF2-40B4-BE49-F238E27FC236}">
              <a16:creationId xmlns:a16="http://schemas.microsoft.com/office/drawing/2014/main" id="{00000000-0008-0000-0300-00003D530000}"/>
            </a:ext>
          </a:extLst>
        </xdr:cNvPr>
        <xdr:cNvSpPr txBox="1">
          <a:spLocks noChangeArrowheads="1"/>
        </xdr:cNvSpPr>
      </xdr:nvSpPr>
      <xdr:spPr bwMode="auto">
        <a:xfrm>
          <a:off x="9791700" y="23907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47</xdr:row>
      <xdr:rowOff>0</xdr:rowOff>
    </xdr:from>
    <xdr:to>
      <xdr:col>9</xdr:col>
      <xdr:colOff>76200</xdr:colOff>
      <xdr:row>48</xdr:row>
      <xdr:rowOff>25400</xdr:rowOff>
    </xdr:to>
    <xdr:sp macro="" textlink="">
      <xdr:nvSpPr>
        <xdr:cNvPr id="2" name="Text Box 18">
          <a:extLst>
            <a:ext uri="{FF2B5EF4-FFF2-40B4-BE49-F238E27FC236}">
              <a16:creationId xmlns:a16="http://schemas.microsoft.com/office/drawing/2014/main" id="{6E098679-9010-4A6C-9513-27CE8EBC08B8}"/>
            </a:ext>
          </a:extLst>
        </xdr:cNvPr>
        <xdr:cNvSpPr txBox="1">
          <a:spLocks noChangeArrowheads="1"/>
        </xdr:cNvSpPr>
      </xdr:nvSpPr>
      <xdr:spPr bwMode="auto">
        <a:xfrm>
          <a:off x="9667875" y="47682150"/>
          <a:ext cx="762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sunorchardllc.sharepoint.com/sites/MonthEnd-supportdocuments/Shared%20Documents/General/FY%2025/2025-09%20June/Inventory%20Value%20Report%202025.09.xlsx" TargetMode="External"/><Relationship Id="rId1" Type="http://schemas.openxmlformats.org/officeDocument/2006/relationships/externalLinkPath" Target="/sites/MonthEnd-supportdocuments/Shared%20Documents/General/FY%2025/2025-09%20June/Inventory%20Value%20Report%202025.09.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sunorchardllc.sharepoint.com/sites/MonthEnd-supportdocuments/Shared%20Documents/General/FY%2024/2024-12%20September/Alameda%20Capitalization%20FY2025.xlsx" TargetMode="External"/><Relationship Id="rId1" Type="http://schemas.openxmlformats.org/officeDocument/2006/relationships/externalLinkPath" Target="/sites/MonthEnd-supportdocuments/Shared%20Documents/General/FY%2024/2024-12%20September/Alameda%20Capitalization%20FY2025.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sunorchardllc.sharepoint.com/sites/MonthEnd-supportdocuments/Shared%20Documents/General/FY%2021/2021-12%20September/Alameda%20Capitalization%20FY2022%20Budget.xlsx" TargetMode="External"/><Relationship Id="rId1" Type="http://schemas.openxmlformats.org/officeDocument/2006/relationships/externalLinkPath" Target="/sites/MonthEnd-supportdocuments/Shared%20Documents/General/FY%2021/2021-12%20September/Alameda%20Capitalization%20FY2022%20Budget.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sunorchardllc.sharepoint.com/sites/MonthEnd-supportdocuments/Shared%20Documents/General/FY%2024/2024-12%20September/DL.OH%20Analysis%20FY24.xlsx" TargetMode="External"/><Relationship Id="rId1" Type="http://schemas.openxmlformats.org/officeDocument/2006/relationships/externalLinkPath" Target="/sites/MonthEnd-supportdocuments/Shared%20Documents/General/FY%2024/2024-12%20September/DL.OH%20Analysis%20FY24.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https://sunorchardllc.sharepoint.com/sites/MonthEnd-supportdocuments/Shared%20Documents/General/FY%2025/2025-02%20November/Inventory%20Value%20Report%202025.02.xlsx" TargetMode="External"/><Relationship Id="rId1" Type="http://schemas.openxmlformats.org/officeDocument/2006/relationships/externalLinkPath" Target="/sites/MonthEnd-supportdocuments/Shared%20Documents/General/FY%2025/2025-02%20November/Inventory%20Value%20Report%202025.02.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https://sunorchardllc.sharepoint.com/sites/MonthEnd-supportdocuments/Shared%20Documents/General/FY%2023/2023-12%20September/Alameda%20Capitalization%20FY2024.xlsx" TargetMode="External"/><Relationship Id="rId1" Type="http://schemas.openxmlformats.org/officeDocument/2006/relationships/externalLinkPath" Target="/sites/MonthEnd-supportdocuments/Shared%20Documents/General/FY%2023/2023-12%20September/Alameda%20Capitalization%20FY2024.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https://sunorchardllc-my.sharepoint.com/personal/msaler_sunorchard_com/Documents/Standard%20Cost%20Closing%20and%20Budget/Audits/2024/Variable%20Costs%20Per%20Facility%20FY24.xlsx" TargetMode="External"/><Relationship Id="rId1" Type="http://schemas.openxmlformats.org/officeDocument/2006/relationships/externalLinkPath" Target="https://sunorchardllc-my.sharepoint.com/personal/msaler_sunorchard_com/Documents/Standard%20Cost%20Closing%20and%20Budget/Audits/2024/Variable%20Costs%20Per%20Facility%20FY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Detail"/>
      <sheetName val="PT"/>
      <sheetName val="FL+AZ - RM"/>
      <sheetName val="AZ WIP"/>
      <sheetName val="FL WIP"/>
      <sheetName val="TX WIP"/>
      <sheetName val="AZ DL&amp;OH FG"/>
      <sheetName val="FL DL&amp;OH FG"/>
      <sheetName val="TX DL&amp;OH FG"/>
      <sheetName val="AZ Inv Value"/>
      <sheetName val="FL Inv Value"/>
      <sheetName val="Recap"/>
      <sheetName val="Summary"/>
      <sheetName val="Monthly JE"/>
      <sheetName val="Summary 2"/>
      <sheetName val="Annual Rate ADJ JE"/>
    </sheetNames>
    <sheetDataSet>
      <sheetData sheetId="0" refreshError="1"/>
      <sheetData sheetId="1" refreshError="1"/>
      <sheetData sheetId="2" refreshError="1"/>
      <sheetData sheetId="3">
        <row r="1">
          <cell r="A1" t="str">
            <v>Sun Orchard, LLC - FL Divisions</v>
          </cell>
        </row>
        <row r="2">
          <cell r="A2" t="str">
            <v>Calculation of Inbound freight - Raw materials</v>
          </cell>
        </row>
        <row r="3">
          <cell r="A3" t="str">
            <v>As of June 30th 2025</v>
          </cell>
        </row>
        <row r="5">
          <cell r="C5" t="str">
            <v>FLORIDA</v>
          </cell>
          <cell r="G5" t="str">
            <v>ARIZONA</v>
          </cell>
        </row>
        <row r="6">
          <cell r="C6" t="str">
            <v>Units</v>
          </cell>
          <cell r="D6" t="str">
            <v>Inb frt per UM</v>
          </cell>
          <cell r="E6" t="str">
            <v>Inb freight value</v>
          </cell>
          <cell r="G6" t="str">
            <v>Units</v>
          </cell>
          <cell r="H6" t="str">
            <v>Inb frt per UM</v>
          </cell>
          <cell r="I6" t="str">
            <v>Inb freight value</v>
          </cell>
        </row>
        <row r="7">
          <cell r="F7" t="str">
            <v>FL Last Month</v>
          </cell>
        </row>
        <row r="8">
          <cell r="A8" t="str">
            <v>PUR001</v>
          </cell>
          <cell r="B8" t="str">
            <v>Strw Puree w/seeds</v>
          </cell>
          <cell r="C8">
            <v>570468.64</v>
          </cell>
          <cell r="D8">
            <v>0</v>
          </cell>
          <cell r="E8">
            <v>0</v>
          </cell>
          <cell r="F8">
            <v>559968.4</v>
          </cell>
          <cell r="G8">
            <v>0</v>
          </cell>
          <cell r="H8">
            <v>0.20614306328592044</v>
          </cell>
          <cell r="I8">
            <v>0</v>
          </cell>
        </row>
        <row r="9">
          <cell r="A9" t="str">
            <v>PUR001FRZ</v>
          </cell>
          <cell r="B9" t="str">
            <v>Strw Puree w/seeds Frozen</v>
          </cell>
          <cell r="C9">
            <v>0</v>
          </cell>
          <cell r="E9">
            <v>0</v>
          </cell>
          <cell r="F9">
            <v>0</v>
          </cell>
          <cell r="G9">
            <v>17600</v>
          </cell>
          <cell r="H9">
            <v>9.9000000000000005E-2</v>
          </cell>
          <cell r="I9">
            <v>1742.4</v>
          </cell>
        </row>
        <row r="10">
          <cell r="A10" t="str">
            <v>PUR017FRZ</v>
          </cell>
          <cell r="B10" t="str">
            <v>Strw Puree 7 Brix - seedless Frozen</v>
          </cell>
          <cell r="C10">
            <v>0</v>
          </cell>
          <cell r="G10">
            <v>0</v>
          </cell>
          <cell r="I10">
            <v>0</v>
          </cell>
        </row>
        <row r="11">
          <cell r="A11" t="str">
            <v>PUR001D</v>
          </cell>
          <cell r="B11" t="str">
            <v>Strw Puree w/seeds</v>
          </cell>
          <cell r="C11">
            <v>0</v>
          </cell>
          <cell r="F11">
            <v>0</v>
          </cell>
          <cell r="G11">
            <v>0</v>
          </cell>
          <cell r="I11">
            <v>0</v>
          </cell>
        </row>
        <row r="12">
          <cell r="A12" t="str">
            <v>PUR002</v>
          </cell>
          <cell r="B12" t="str">
            <v>Rasp Puree Con 28 Brix</v>
          </cell>
          <cell r="C12">
            <v>0</v>
          </cell>
          <cell r="E12">
            <v>0</v>
          </cell>
          <cell r="F12">
            <v>0</v>
          </cell>
          <cell r="G12">
            <v>0</v>
          </cell>
          <cell r="I12">
            <v>0</v>
          </cell>
        </row>
        <row r="13">
          <cell r="A13" t="str">
            <v>PUR002CA</v>
          </cell>
          <cell r="C13">
            <v>0</v>
          </cell>
          <cell r="E13">
            <v>0</v>
          </cell>
          <cell r="F13">
            <v>0</v>
          </cell>
          <cell r="G13">
            <v>0</v>
          </cell>
          <cell r="I13">
            <v>0</v>
          </cell>
        </row>
        <row r="14">
          <cell r="A14" t="str">
            <v>PUR007</v>
          </cell>
          <cell r="B14" t="str">
            <v>Rasp Puree 9 Brix</v>
          </cell>
          <cell r="C14">
            <v>25418.7</v>
          </cell>
          <cell r="E14">
            <v>0</v>
          </cell>
          <cell r="F14">
            <v>-3672.1999999999971</v>
          </cell>
          <cell r="G14">
            <v>0</v>
          </cell>
          <cell r="I14">
            <v>0</v>
          </cell>
        </row>
        <row r="15">
          <cell r="A15" t="str">
            <v>PUR008</v>
          </cell>
          <cell r="B15" t="str">
            <v>Marion Blackberry Puree</v>
          </cell>
          <cell r="C15">
            <v>34400</v>
          </cell>
          <cell r="D15">
            <v>0.19769999999999999</v>
          </cell>
          <cell r="E15">
            <v>6800.8799999999992</v>
          </cell>
          <cell r="F15">
            <v>0</v>
          </cell>
          <cell r="G15">
            <v>0</v>
          </cell>
          <cell r="I15">
            <v>0</v>
          </cell>
        </row>
        <row r="16">
          <cell r="A16" t="str">
            <v>PUR009</v>
          </cell>
          <cell r="B16" t="str">
            <v>Banana Puree</v>
          </cell>
          <cell r="C16">
            <v>305617.57</v>
          </cell>
          <cell r="D16">
            <v>0</v>
          </cell>
          <cell r="E16">
            <v>0</v>
          </cell>
          <cell r="F16">
            <v>218431.6</v>
          </cell>
          <cell r="G16">
            <v>8640</v>
          </cell>
          <cell r="H16">
            <v>0.20614306328592044</v>
          </cell>
          <cell r="I16">
            <v>1781.0760667903526</v>
          </cell>
        </row>
        <row r="17">
          <cell r="A17" t="str">
            <v>PUR010</v>
          </cell>
          <cell r="B17" t="str">
            <v>Kiwi Fruit Puree</v>
          </cell>
          <cell r="C17">
            <v>26600</v>
          </cell>
          <cell r="D17">
            <v>0</v>
          </cell>
          <cell r="E17">
            <v>0</v>
          </cell>
          <cell r="F17">
            <v>9800</v>
          </cell>
          <cell r="G17">
            <v>0</v>
          </cell>
          <cell r="I17">
            <v>0</v>
          </cell>
        </row>
        <row r="18">
          <cell r="A18" t="str">
            <v>PUR011</v>
          </cell>
          <cell r="B18" t="str">
            <v>Mango Puree Con</v>
          </cell>
          <cell r="C18">
            <v>0</v>
          </cell>
          <cell r="E18">
            <v>0</v>
          </cell>
          <cell r="F18">
            <v>0</v>
          </cell>
          <cell r="G18">
            <v>0</v>
          </cell>
          <cell r="I18">
            <v>0</v>
          </cell>
        </row>
        <row r="19">
          <cell r="A19" t="str">
            <v>PUR013</v>
          </cell>
          <cell r="B19" t="str">
            <v>Blueberry Puree</v>
          </cell>
          <cell r="C19">
            <v>0</v>
          </cell>
          <cell r="D19">
            <v>0</v>
          </cell>
          <cell r="E19">
            <v>0</v>
          </cell>
          <cell r="F19">
            <v>0</v>
          </cell>
          <cell r="G19">
            <v>0</v>
          </cell>
          <cell r="H19">
            <v>0</v>
          </cell>
          <cell r="I19">
            <v>0</v>
          </cell>
        </row>
        <row r="20">
          <cell r="A20" t="str">
            <v>PUR014</v>
          </cell>
          <cell r="B20" t="str">
            <v>Mango Magdalena Puree</v>
          </cell>
          <cell r="C20">
            <v>0</v>
          </cell>
          <cell r="E20">
            <v>0</v>
          </cell>
          <cell r="F20">
            <v>0</v>
          </cell>
          <cell r="G20">
            <v>0</v>
          </cell>
          <cell r="I20">
            <v>0</v>
          </cell>
        </row>
        <row r="21">
          <cell r="A21" t="str">
            <v>PUR015</v>
          </cell>
          <cell r="B21" t="str">
            <v>Mango Puree 16 Brix</v>
          </cell>
          <cell r="C21">
            <v>0</v>
          </cell>
          <cell r="E21">
            <v>0</v>
          </cell>
          <cell r="F21">
            <v>0</v>
          </cell>
          <cell r="G21">
            <v>0</v>
          </cell>
          <cell r="I21">
            <v>0</v>
          </cell>
        </row>
        <row r="22">
          <cell r="A22" t="str">
            <v>PUR016</v>
          </cell>
          <cell r="B22" t="str">
            <v>Banana Puree 23 Brix</v>
          </cell>
          <cell r="C22">
            <v>0</v>
          </cell>
          <cell r="E22">
            <v>0</v>
          </cell>
          <cell r="F22">
            <v>0</v>
          </cell>
          <cell r="G22">
            <v>0</v>
          </cell>
          <cell r="I22">
            <v>0</v>
          </cell>
        </row>
        <row r="23">
          <cell r="A23" t="str">
            <v>PUR017</v>
          </cell>
          <cell r="B23" t="str">
            <v>Strw Puree 7 Brix - seedless</v>
          </cell>
          <cell r="C23">
            <v>74627.14</v>
          </cell>
          <cell r="D23">
            <v>0</v>
          </cell>
          <cell r="E23">
            <v>0</v>
          </cell>
          <cell r="F23">
            <v>-188383.12</v>
          </cell>
          <cell r="G23">
            <v>36680</v>
          </cell>
          <cell r="H23">
            <v>0.20614306328592044</v>
          </cell>
          <cell r="I23">
            <v>7561.3275613275619</v>
          </cell>
        </row>
        <row r="24">
          <cell r="A24" t="str">
            <v>PUR020</v>
          </cell>
          <cell r="B24" t="str">
            <v>Apple Puree .033 screen</v>
          </cell>
          <cell r="C24">
            <v>107108.85</v>
          </cell>
          <cell r="D24">
            <v>3.5484798875162975E-2</v>
          </cell>
          <cell r="E24">
            <v>3800.7359999999999</v>
          </cell>
          <cell r="F24">
            <v>-7383.9599999999773</v>
          </cell>
          <cell r="G24">
            <v>20372</v>
          </cell>
          <cell r="H24">
            <v>0.20614306328592044</v>
          </cell>
          <cell r="I24">
            <v>4199.5464852607711</v>
          </cell>
        </row>
        <row r="25">
          <cell r="A25" t="str">
            <v>PUR020FRZ</v>
          </cell>
          <cell r="B25" t="str">
            <v>Apple Puree .033 screen</v>
          </cell>
          <cell r="C25">
            <v>0</v>
          </cell>
          <cell r="E25">
            <v>0</v>
          </cell>
          <cell r="F25">
            <v>0</v>
          </cell>
          <cell r="G25">
            <v>0</v>
          </cell>
          <cell r="I25">
            <v>0</v>
          </cell>
        </row>
        <row r="26">
          <cell r="A26" t="str">
            <v>PUR021</v>
          </cell>
          <cell r="B26" t="str">
            <v>YL Cling Peach Puree SS</v>
          </cell>
          <cell r="C26">
            <v>0</v>
          </cell>
          <cell r="E26">
            <v>0</v>
          </cell>
          <cell r="F26">
            <v>0</v>
          </cell>
          <cell r="G26">
            <v>0</v>
          </cell>
          <cell r="I26">
            <v>0</v>
          </cell>
        </row>
        <row r="27">
          <cell r="A27" t="str">
            <v>PUR022</v>
          </cell>
          <cell r="B27" t="str">
            <v>Cranberry Puree SS</v>
          </cell>
          <cell r="C27">
            <v>0</v>
          </cell>
          <cell r="E27">
            <v>0</v>
          </cell>
          <cell r="F27">
            <v>0</v>
          </cell>
          <cell r="G27">
            <v>0</v>
          </cell>
          <cell r="I27">
            <v>0</v>
          </cell>
        </row>
        <row r="28">
          <cell r="A28" t="str">
            <v>PUR027</v>
          </cell>
          <cell r="B28" t="str">
            <v>Pink Guava Puree</v>
          </cell>
          <cell r="C28">
            <v>0</v>
          </cell>
          <cell r="E28">
            <v>0</v>
          </cell>
          <cell r="F28">
            <v>0</v>
          </cell>
          <cell r="G28">
            <v>0</v>
          </cell>
          <cell r="I28">
            <v>0</v>
          </cell>
        </row>
        <row r="29">
          <cell r="A29" t="str">
            <v>PUR028</v>
          </cell>
          <cell r="B29" t="str">
            <v>Dark Sweet Cherry Puree 30 Brix</v>
          </cell>
          <cell r="C29">
            <v>0</v>
          </cell>
          <cell r="E29">
            <v>0</v>
          </cell>
          <cell r="F29">
            <v>0</v>
          </cell>
          <cell r="G29">
            <v>0</v>
          </cell>
          <cell r="I29">
            <v>0</v>
          </cell>
        </row>
        <row r="30">
          <cell r="A30" t="str">
            <v>PUR030</v>
          </cell>
          <cell r="B30" t="str">
            <v>SS Purple Plum Puree 16 Brix</v>
          </cell>
          <cell r="C30">
            <v>0</v>
          </cell>
          <cell r="E30">
            <v>0</v>
          </cell>
          <cell r="F30">
            <v>0</v>
          </cell>
          <cell r="G30">
            <v>0</v>
          </cell>
          <cell r="I30">
            <v>0</v>
          </cell>
        </row>
        <row r="31">
          <cell r="A31" t="str">
            <v>PUR031</v>
          </cell>
          <cell r="B31" t="str">
            <v>Acai Puree 2 Brix</v>
          </cell>
          <cell r="C31">
            <v>0</v>
          </cell>
          <cell r="E31">
            <v>0</v>
          </cell>
          <cell r="F31">
            <v>0</v>
          </cell>
          <cell r="G31">
            <v>0</v>
          </cell>
          <cell r="I31">
            <v>0</v>
          </cell>
        </row>
        <row r="32">
          <cell r="A32" t="str">
            <v>PUR032</v>
          </cell>
          <cell r="B32" t="str">
            <v>Aseptic Peach Puree</v>
          </cell>
          <cell r="C32">
            <v>171610</v>
          </cell>
          <cell r="E32">
            <v>0</v>
          </cell>
          <cell r="F32">
            <v>0</v>
          </cell>
          <cell r="G32">
            <v>0</v>
          </cell>
          <cell r="I32">
            <v>0</v>
          </cell>
        </row>
        <row r="33">
          <cell r="A33" t="str">
            <v>PUR033</v>
          </cell>
          <cell r="B33" t="str">
            <v>Pineaple Puree 12 Brix</v>
          </cell>
          <cell r="C33">
            <v>0</v>
          </cell>
          <cell r="E33">
            <v>0</v>
          </cell>
          <cell r="F33">
            <v>0</v>
          </cell>
          <cell r="G33">
            <v>0</v>
          </cell>
          <cell r="I33">
            <v>0</v>
          </cell>
        </row>
        <row r="34">
          <cell r="A34" t="str">
            <v>PUR035</v>
          </cell>
          <cell r="B34" t="str">
            <v>Carrot Puree w/Citric Acid 8 Brix</v>
          </cell>
          <cell r="C34">
            <v>0</v>
          </cell>
          <cell r="E34">
            <v>0</v>
          </cell>
          <cell r="F34">
            <v>0</v>
          </cell>
          <cell r="G34">
            <v>0</v>
          </cell>
          <cell r="I34">
            <v>0</v>
          </cell>
        </row>
        <row r="35">
          <cell r="A35" t="str">
            <v>PUR035PA</v>
          </cell>
          <cell r="B35" t="str">
            <v>Carrot Puree w/Citric Acid 8 Brix</v>
          </cell>
          <cell r="C35">
            <v>0</v>
          </cell>
          <cell r="E35">
            <v>0</v>
          </cell>
          <cell r="F35">
            <v>0</v>
          </cell>
          <cell r="G35">
            <v>0</v>
          </cell>
          <cell r="I35">
            <v>0</v>
          </cell>
        </row>
        <row r="36">
          <cell r="A36" t="str">
            <v>PUR036</v>
          </cell>
          <cell r="B36" t="str">
            <v>Frozen Ginger Puree R61 3.3 Brix</v>
          </cell>
          <cell r="C36">
            <v>0</v>
          </cell>
          <cell r="E36">
            <v>0</v>
          </cell>
          <cell r="F36">
            <v>0</v>
          </cell>
          <cell r="G36">
            <v>0</v>
          </cell>
          <cell r="I36">
            <v>0</v>
          </cell>
        </row>
        <row r="37">
          <cell r="A37" t="str">
            <v>PUR037</v>
          </cell>
          <cell r="B37" t="str">
            <v>Prickly Pear Puree 12 Brix</v>
          </cell>
          <cell r="C37">
            <v>0</v>
          </cell>
          <cell r="E37">
            <v>0</v>
          </cell>
          <cell r="F37">
            <v>0</v>
          </cell>
          <cell r="G37">
            <v>0</v>
          </cell>
          <cell r="I37">
            <v>0</v>
          </cell>
        </row>
        <row r="38">
          <cell r="A38" t="str">
            <v>PUR038</v>
          </cell>
          <cell r="B38" t="str">
            <v>Seedless Watermelon Puree</v>
          </cell>
          <cell r="C38">
            <v>0</v>
          </cell>
          <cell r="E38">
            <v>0</v>
          </cell>
          <cell r="F38">
            <v>0</v>
          </cell>
          <cell r="G38">
            <v>0</v>
          </cell>
          <cell r="I38">
            <v>0</v>
          </cell>
        </row>
        <row r="39">
          <cell r="A39" t="str">
            <v>PUR041</v>
          </cell>
          <cell r="B39" t="str">
            <v>Kale Puree</v>
          </cell>
          <cell r="C39">
            <v>0</v>
          </cell>
          <cell r="E39">
            <v>0</v>
          </cell>
          <cell r="F39">
            <v>0</v>
          </cell>
          <cell r="G39">
            <v>0</v>
          </cell>
          <cell r="I39">
            <v>0</v>
          </cell>
        </row>
        <row r="40">
          <cell r="A40" t="str">
            <v>PUR042</v>
          </cell>
          <cell r="B40" t="str">
            <v>Organic Blueberry Puree</v>
          </cell>
          <cell r="C40">
            <v>0</v>
          </cell>
          <cell r="E40">
            <v>0</v>
          </cell>
          <cell r="F40">
            <v>0</v>
          </cell>
          <cell r="G40">
            <v>0</v>
          </cell>
          <cell r="I40">
            <v>0</v>
          </cell>
        </row>
        <row r="41">
          <cell r="A41" t="str">
            <v>PUR043</v>
          </cell>
          <cell r="B41" t="str">
            <v>Organic Mango Puree</v>
          </cell>
          <cell r="C41">
            <v>0</v>
          </cell>
          <cell r="E41">
            <v>0</v>
          </cell>
          <cell r="F41">
            <v>0</v>
          </cell>
          <cell r="G41">
            <v>0</v>
          </cell>
          <cell r="I41">
            <v>0</v>
          </cell>
        </row>
        <row r="42">
          <cell r="A42" t="str">
            <v>PUR044</v>
          </cell>
          <cell r="B42" t="str">
            <v>Organic Strawberry Puree</v>
          </cell>
          <cell r="C42">
            <v>0</v>
          </cell>
          <cell r="E42">
            <v>0</v>
          </cell>
          <cell r="F42">
            <v>0</v>
          </cell>
          <cell r="G42">
            <v>0</v>
          </cell>
          <cell r="I42">
            <v>0</v>
          </cell>
        </row>
        <row r="43">
          <cell r="A43" t="str">
            <v>PUR045</v>
          </cell>
          <cell r="B43" t="str">
            <v>Spinach Puree</v>
          </cell>
          <cell r="C43">
            <v>0</v>
          </cell>
          <cell r="E43">
            <v>0</v>
          </cell>
          <cell r="F43">
            <v>0</v>
          </cell>
          <cell r="G43">
            <v>0</v>
          </cell>
          <cell r="I43">
            <v>0</v>
          </cell>
        </row>
        <row r="44">
          <cell r="A44" t="str">
            <v>PUR046</v>
          </cell>
          <cell r="B44" t="str">
            <v>Aseptic Mango Puree 16 Brix</v>
          </cell>
          <cell r="C44">
            <v>186576</v>
          </cell>
          <cell r="E44">
            <v>0</v>
          </cell>
          <cell r="F44">
            <v>-100386</v>
          </cell>
          <cell r="G44">
            <v>25791</v>
          </cell>
          <cell r="H44">
            <v>0.20614306328592044</v>
          </cell>
          <cell r="I44">
            <v>5316.6357452071743</v>
          </cell>
        </row>
        <row r="45">
          <cell r="A45" t="str">
            <v>PUR046H</v>
          </cell>
          <cell r="B45" t="str">
            <v>High Brix Aseptic Mango Puree</v>
          </cell>
          <cell r="C45">
            <v>0</v>
          </cell>
          <cell r="D45">
            <v>0</v>
          </cell>
          <cell r="E45">
            <v>0</v>
          </cell>
          <cell r="F45">
            <v>0</v>
          </cell>
          <cell r="G45">
            <v>0</v>
          </cell>
          <cell r="I45">
            <v>0</v>
          </cell>
        </row>
        <row r="46">
          <cell r="A46" t="str">
            <v>PUR047</v>
          </cell>
          <cell r="B46" t="str">
            <v>Prickly Pear Puree 12 Brix - IMP</v>
          </cell>
          <cell r="C46">
            <v>0</v>
          </cell>
          <cell r="E46">
            <v>0</v>
          </cell>
          <cell r="F46">
            <v>0</v>
          </cell>
          <cell r="G46">
            <v>0</v>
          </cell>
          <cell r="I46">
            <v>0</v>
          </cell>
        </row>
        <row r="47">
          <cell r="A47" t="str">
            <v>PUR048</v>
          </cell>
          <cell r="B47" t="str">
            <v>Strw Puree 9 Brix - seedless - Mexican</v>
          </cell>
          <cell r="C47">
            <v>0</v>
          </cell>
          <cell r="E47">
            <v>0</v>
          </cell>
          <cell r="F47">
            <v>0</v>
          </cell>
          <cell r="G47">
            <v>0</v>
          </cell>
          <cell r="I47">
            <v>0</v>
          </cell>
        </row>
        <row r="48">
          <cell r="A48" t="str">
            <v>PUR050</v>
          </cell>
          <cell r="B48" t="str">
            <v>Prickly Pear Puree Blend 12 Brix - Dom/Imp</v>
          </cell>
          <cell r="C48">
            <v>0</v>
          </cell>
          <cell r="E48">
            <v>0</v>
          </cell>
          <cell r="F48">
            <v>0</v>
          </cell>
          <cell r="G48">
            <v>0</v>
          </cell>
          <cell r="I48">
            <v>0</v>
          </cell>
        </row>
        <row r="49">
          <cell r="A49" t="str">
            <v>PUR052</v>
          </cell>
          <cell r="B49" t="str">
            <v>High Color Blueberry Puree</v>
          </cell>
          <cell r="C49">
            <v>0</v>
          </cell>
          <cell r="E49">
            <v>0</v>
          </cell>
          <cell r="F49">
            <v>0</v>
          </cell>
          <cell r="G49">
            <v>0</v>
          </cell>
          <cell r="I49">
            <v>0</v>
          </cell>
        </row>
        <row r="50">
          <cell r="A50" t="str">
            <v>PUR053</v>
          </cell>
          <cell r="B50" t="str">
            <v>Unpasteurized Strawberry Puree</v>
          </cell>
          <cell r="C50">
            <v>0</v>
          </cell>
          <cell r="E50">
            <v>0</v>
          </cell>
          <cell r="F50">
            <v>0</v>
          </cell>
          <cell r="G50">
            <v>0</v>
          </cell>
          <cell r="I50">
            <v>0</v>
          </cell>
        </row>
        <row r="51">
          <cell r="A51" t="str">
            <v>PUR055</v>
          </cell>
          <cell r="B51" t="str">
            <v>Marion Blackberry Puree in PAILS</v>
          </cell>
          <cell r="C51">
            <v>0</v>
          </cell>
          <cell r="E51">
            <v>0</v>
          </cell>
          <cell r="F51">
            <v>0</v>
          </cell>
          <cell r="G51">
            <v>0</v>
          </cell>
          <cell r="I51">
            <v>0</v>
          </cell>
        </row>
        <row r="52">
          <cell r="A52" t="str">
            <v>PUR056</v>
          </cell>
          <cell r="B52" t="str">
            <v>Premium Imported Prickly Pear Puree</v>
          </cell>
          <cell r="C52">
            <v>0</v>
          </cell>
          <cell r="E52">
            <v>0</v>
          </cell>
          <cell r="F52">
            <v>0</v>
          </cell>
          <cell r="G52">
            <v>0</v>
          </cell>
          <cell r="I52">
            <v>0</v>
          </cell>
        </row>
        <row r="53">
          <cell r="A53" t="str">
            <v>PUR057</v>
          </cell>
          <cell r="B53" t="str">
            <v>Aseptic Blueberry Puree</v>
          </cell>
          <cell r="C53">
            <v>55024.52</v>
          </cell>
          <cell r="E53">
            <v>0</v>
          </cell>
          <cell r="F53">
            <v>0</v>
          </cell>
          <cell r="G53">
            <v>0</v>
          </cell>
          <cell r="I53">
            <v>0</v>
          </cell>
        </row>
        <row r="54">
          <cell r="A54" t="str">
            <v>CON003</v>
          </cell>
          <cell r="B54" t="str">
            <v>White Grape Juice Con Drum Brix 68</v>
          </cell>
          <cell r="C54">
            <v>50</v>
          </cell>
          <cell r="D54">
            <v>1.59</v>
          </cell>
          <cell r="E54">
            <v>79.5</v>
          </cell>
          <cell r="F54">
            <v>0</v>
          </cell>
          <cell r="G54">
            <v>2200</v>
          </cell>
          <cell r="H54">
            <v>0.54949999999999999</v>
          </cell>
          <cell r="I54">
            <v>1208.8999999999999</v>
          </cell>
        </row>
        <row r="55">
          <cell r="A55" t="str">
            <v>CON003B</v>
          </cell>
          <cell r="B55" t="str">
            <v>White Grape Juice Con Bin Brix 68</v>
          </cell>
          <cell r="C55">
            <v>11058</v>
          </cell>
          <cell r="E55">
            <v>0</v>
          </cell>
          <cell r="F55">
            <v>-1675</v>
          </cell>
          <cell r="G55">
            <v>0</v>
          </cell>
          <cell r="I55">
            <v>0</v>
          </cell>
        </row>
        <row r="56">
          <cell r="A56" t="str">
            <v>CON003TK</v>
          </cell>
          <cell r="B56" t="str">
            <v>White Grape Juice Con Tanker Brix 68</v>
          </cell>
          <cell r="C56">
            <v>0</v>
          </cell>
          <cell r="D56">
            <v>1.5764</v>
          </cell>
          <cell r="E56">
            <v>0</v>
          </cell>
          <cell r="F56">
            <v>0</v>
          </cell>
          <cell r="G56">
            <v>0</v>
          </cell>
          <cell r="I56">
            <v>0</v>
          </cell>
        </row>
        <row r="57">
          <cell r="A57" t="str">
            <v>MRM059</v>
          </cell>
          <cell r="B57" t="str">
            <v>Inulin</v>
          </cell>
          <cell r="C57">
            <v>18553.599999999999</v>
          </cell>
          <cell r="D57">
            <v>0.1452</v>
          </cell>
          <cell r="E57">
            <v>2693.9827199999995</v>
          </cell>
          <cell r="F57">
            <v>-8428.7900000000009</v>
          </cell>
          <cell r="G57">
            <v>0</v>
          </cell>
          <cell r="I57">
            <v>0</v>
          </cell>
        </row>
        <row r="58">
          <cell r="A58" t="str">
            <v>SWT001</v>
          </cell>
          <cell r="B58" t="str">
            <v>Sugar bags</v>
          </cell>
          <cell r="C58">
            <v>119400</v>
          </cell>
          <cell r="D58">
            <v>0</v>
          </cell>
          <cell r="E58">
            <v>0</v>
          </cell>
          <cell r="F58">
            <v>51750</v>
          </cell>
          <cell r="G58">
            <v>0</v>
          </cell>
          <cell r="H58">
            <v>7.3300000000000004E-2</v>
          </cell>
          <cell r="I58">
            <v>0</v>
          </cell>
        </row>
        <row r="59">
          <cell r="A59" t="str">
            <v>SWT004</v>
          </cell>
          <cell r="B59" t="str">
            <v>Organic Agave Syrup in Drums</v>
          </cell>
          <cell r="C59">
            <v>0</v>
          </cell>
          <cell r="D59">
            <v>0</v>
          </cell>
          <cell r="E59">
            <v>0</v>
          </cell>
          <cell r="F59">
            <v>0</v>
          </cell>
          <cell r="G59">
            <v>0</v>
          </cell>
          <cell r="H59">
            <v>7.3300000000000004E-2</v>
          </cell>
          <cell r="I59">
            <v>0</v>
          </cell>
        </row>
        <row r="60">
          <cell r="A60" t="str">
            <v>SWT004T</v>
          </cell>
          <cell r="B60" t="str">
            <v>Organic Agave Syrup in Totes</v>
          </cell>
          <cell r="C60">
            <v>108943.64</v>
          </cell>
          <cell r="D60">
            <v>0</v>
          </cell>
          <cell r="E60">
            <v>0</v>
          </cell>
          <cell r="F60">
            <v>21350.179999999993</v>
          </cell>
          <cell r="G60">
            <v>9011</v>
          </cell>
          <cell r="I60">
            <v>0</v>
          </cell>
        </row>
        <row r="61">
          <cell r="A61" t="str">
            <v>SWT008</v>
          </cell>
          <cell r="B61" t="str">
            <v>Evaporated Cane Juice bags</v>
          </cell>
          <cell r="C61">
            <v>0</v>
          </cell>
          <cell r="D61">
            <v>0</v>
          </cell>
          <cell r="E61">
            <v>0</v>
          </cell>
          <cell r="F61">
            <v>0</v>
          </cell>
          <cell r="G61">
            <v>0</v>
          </cell>
          <cell r="H61">
            <v>0.08</v>
          </cell>
          <cell r="I61">
            <v>0</v>
          </cell>
        </row>
        <row r="62">
          <cell r="A62" t="str">
            <v>SWT008T</v>
          </cell>
          <cell r="B62" t="str">
            <v>Evaporated Cane Juice totes</v>
          </cell>
          <cell r="C62">
            <v>96800</v>
          </cell>
          <cell r="E62">
            <v>0</v>
          </cell>
          <cell r="F62">
            <v>-15400</v>
          </cell>
          <cell r="G62">
            <v>11971</v>
          </cell>
          <cell r="H62">
            <v>1.5724918553170163E-3</v>
          </cell>
          <cell r="I62">
            <v>18.824300000000001</v>
          </cell>
        </row>
        <row r="63">
          <cell r="A63" t="str">
            <v>SWT009</v>
          </cell>
          <cell r="B63" t="str">
            <v>Cane Sugar Totes</v>
          </cell>
          <cell r="C63">
            <v>324830.16000000003</v>
          </cell>
          <cell r="E63">
            <v>0</v>
          </cell>
          <cell r="F63">
            <v>-3289.0999999999767</v>
          </cell>
          <cell r="G63">
            <v>321681.99999999994</v>
          </cell>
          <cell r="I63">
            <v>0</v>
          </cell>
        </row>
        <row r="64">
          <cell r="A64" t="str">
            <v>SWT012</v>
          </cell>
          <cell r="B64" t="str">
            <v>Molasses</v>
          </cell>
          <cell r="C64">
            <v>590</v>
          </cell>
          <cell r="D64">
            <v>0.24060000000000001</v>
          </cell>
          <cell r="E64">
            <v>141.95400000000001</v>
          </cell>
          <cell r="F64">
            <v>-295</v>
          </cell>
          <cell r="G64">
            <v>2478</v>
          </cell>
          <cell r="H64">
            <v>0.34499999999999997</v>
          </cell>
          <cell r="I64">
            <v>854.91</v>
          </cell>
        </row>
        <row r="65">
          <cell r="A65" t="str">
            <v>SWT013</v>
          </cell>
          <cell r="B65" t="str">
            <v>Stevia</v>
          </cell>
          <cell r="C65">
            <v>66</v>
          </cell>
          <cell r="D65">
            <v>1.92</v>
          </cell>
          <cell r="E65">
            <v>126.72</v>
          </cell>
          <cell r="F65">
            <v>-11</v>
          </cell>
          <cell r="G65">
            <v>31</v>
          </cell>
          <cell r="I65">
            <v>0</v>
          </cell>
        </row>
        <row r="67">
          <cell r="B67" t="str">
            <v>Total inb frt value</v>
          </cell>
          <cell r="D67">
            <v>45838</v>
          </cell>
          <cell r="E67">
            <v>13643.772719999997</v>
          </cell>
          <cell r="I67">
            <v>22683.620158585862</v>
          </cell>
        </row>
        <row r="68">
          <cell r="D68">
            <v>45808</v>
          </cell>
          <cell r="E68">
            <v>11404.9123</v>
          </cell>
          <cell r="I68">
            <v>20095.086480230882</v>
          </cell>
        </row>
        <row r="69">
          <cell r="D69" t="str">
            <v>Variance</v>
          </cell>
          <cell r="E69">
            <v>2238.8604199999972</v>
          </cell>
          <cell r="I69">
            <v>2588.5336783549792</v>
          </cell>
        </row>
        <row r="70">
          <cell r="E70" t="str">
            <v>Due to PUR020 receipt with freight. Hasn’t had freight since 2023</v>
          </cell>
        </row>
        <row r="72">
          <cell r="B72" t="str">
            <v>Freezer</v>
          </cell>
        </row>
        <row r="73">
          <cell r="B73" t="str">
            <v>2 months + handling + freezing + unloading, per lbs</v>
          </cell>
          <cell r="C73">
            <v>5.0018750000000001E-2</v>
          </cell>
          <cell r="G73">
            <v>1.9077685263846653E-2</v>
          </cell>
        </row>
        <row r="74">
          <cell r="B74" t="str">
            <v>Total freezer valuation</v>
          </cell>
          <cell r="C74">
            <v>75149.515504374998</v>
          </cell>
          <cell r="D74">
            <v>45838</v>
          </cell>
          <cell r="G74">
            <v>2081.0511416361846</v>
          </cell>
          <cell r="H74">
            <v>45838</v>
          </cell>
        </row>
        <row r="75">
          <cell r="C75">
            <v>50721.622478375</v>
          </cell>
          <cell r="D75">
            <v>45808</v>
          </cell>
          <cell r="G75">
            <v>1811.2354389496013</v>
          </cell>
          <cell r="H75">
            <v>45808</v>
          </cell>
        </row>
        <row r="76">
          <cell r="C76">
            <v>24427.893025999998</v>
          </cell>
          <cell r="G76">
            <v>269.81570268658334</v>
          </cell>
        </row>
        <row r="78">
          <cell r="B78" t="str">
            <v>expected oct rate</v>
          </cell>
          <cell r="C78">
            <v>5.0018750000000001E-2</v>
          </cell>
          <cell r="G78">
            <v>1.9077685263846653E-2</v>
          </cell>
        </row>
        <row r="80">
          <cell r="C80" t="str">
            <v>NOTE FROM MS: Formula in C73 needs to be dragged down one cell to include PUR057 when the July file is prepared</v>
          </cell>
        </row>
      </sheetData>
      <sheetData sheetId="4">
        <row r="1">
          <cell r="A1" t="str">
            <v>Sun Orchard, LLC - AZ Divisions</v>
          </cell>
        </row>
        <row r="2">
          <cell r="A2" t="str">
            <v>Calculation of Labor &amp; Overhead  - Work in Process</v>
          </cell>
        </row>
        <row r="3">
          <cell r="A3" t="str">
            <v>As of June 30th 2025</v>
          </cell>
        </row>
        <row r="5">
          <cell r="C5" t="str">
            <v>Units</v>
          </cell>
          <cell r="D5" t="str">
            <v>Gallons</v>
          </cell>
          <cell r="E5" t="str">
            <v>Labor &amp; OH</v>
          </cell>
          <cell r="F5" t="str">
            <v>Labor &amp; OH</v>
          </cell>
        </row>
        <row r="6">
          <cell r="E6" t="str">
            <v>Per GL</v>
          </cell>
          <cell r="F6" t="str">
            <v>Total</v>
          </cell>
        </row>
        <row r="8">
          <cell r="A8" t="str">
            <v>J3792</v>
          </cell>
          <cell r="B8" t="str">
            <v>Del Monte NFC Pineapple Juice</v>
          </cell>
          <cell r="C8">
            <v>0</v>
          </cell>
          <cell r="D8">
            <v>0</v>
          </cell>
          <cell r="F8">
            <v>0</v>
          </cell>
        </row>
        <row r="9">
          <cell r="A9" t="str">
            <v>J4042</v>
          </cell>
          <cell r="B9" t="str">
            <v>Lemon Juice in drums</v>
          </cell>
          <cell r="C9">
            <v>0</v>
          </cell>
          <cell r="D9">
            <v>0</v>
          </cell>
          <cell r="F9">
            <v>0</v>
          </cell>
        </row>
        <row r="10">
          <cell r="A10" t="str">
            <v>J4045</v>
          </cell>
          <cell r="B10" t="str">
            <v>Fresh Frozen Lemon Juice drums</v>
          </cell>
          <cell r="C10">
            <v>0</v>
          </cell>
          <cell r="D10">
            <v>0</v>
          </cell>
          <cell r="E10">
            <v>0.93172360877594329</v>
          </cell>
          <cell r="F10">
            <v>0</v>
          </cell>
        </row>
        <row r="11">
          <cell r="A11" t="str">
            <v>J4045P</v>
          </cell>
          <cell r="B11" t="str">
            <v>Lemon Juice Plastic Drum</v>
          </cell>
          <cell r="C11">
            <v>0</v>
          </cell>
          <cell r="D11">
            <v>0</v>
          </cell>
          <cell r="E11">
            <v>0.93172360877594329</v>
          </cell>
          <cell r="F11">
            <v>0</v>
          </cell>
        </row>
        <row r="12">
          <cell r="A12" t="str">
            <v>J4045V</v>
          </cell>
          <cell r="B12" t="str">
            <v>Lemon Juice Drum 47 Glns</v>
          </cell>
          <cell r="C12">
            <v>0</v>
          </cell>
          <cell r="D12">
            <v>0</v>
          </cell>
          <cell r="E12">
            <v>0.93172360877594329</v>
          </cell>
          <cell r="F12">
            <v>0</v>
          </cell>
        </row>
        <row r="13">
          <cell r="A13" t="str">
            <v>J4046</v>
          </cell>
          <cell r="B13" t="str">
            <v>Lemon Juice Extraction Drum in Gallons</v>
          </cell>
          <cell r="C13">
            <v>184915</v>
          </cell>
          <cell r="D13">
            <v>184915</v>
          </cell>
          <cell r="E13">
            <v>0.93172360877594329</v>
          </cell>
          <cell r="F13">
            <v>172289.67111680354</v>
          </cell>
        </row>
        <row r="14">
          <cell r="A14" t="str">
            <v>J4047</v>
          </cell>
          <cell r="B14" t="str">
            <v>Lemon Juice Mexican Drum in Gallons</v>
          </cell>
          <cell r="C14">
            <v>0</v>
          </cell>
          <cell r="D14">
            <v>0</v>
          </cell>
          <cell r="F14">
            <v>0</v>
          </cell>
        </row>
        <row r="15">
          <cell r="A15" t="str">
            <v>J4055</v>
          </cell>
          <cell r="B15" t="str">
            <v>Mexico Lemon Juice Drum</v>
          </cell>
          <cell r="C15">
            <v>0</v>
          </cell>
          <cell r="D15">
            <v>0</v>
          </cell>
          <cell r="E15">
            <v>0.93172360877594329</v>
          </cell>
          <cell r="F15">
            <v>0</v>
          </cell>
        </row>
        <row r="16">
          <cell r="A16" t="str">
            <v>J4055P</v>
          </cell>
          <cell r="B16" t="str">
            <v>Mexico Lemon Juice Plastic Drum</v>
          </cell>
          <cell r="C16">
            <v>0</v>
          </cell>
          <cell r="D16">
            <v>0</v>
          </cell>
          <cell r="E16">
            <v>0.93172360877594329</v>
          </cell>
          <cell r="F16">
            <v>0</v>
          </cell>
        </row>
        <row r="17">
          <cell r="A17" t="str">
            <v>J4903</v>
          </cell>
          <cell r="B17" t="str">
            <v>Lemon Juice Spanish Aseptic Drum</v>
          </cell>
          <cell r="C17">
            <v>0</v>
          </cell>
          <cell r="D17">
            <v>0</v>
          </cell>
          <cell r="F17">
            <v>0</v>
          </cell>
        </row>
        <row r="18">
          <cell r="A18" t="str">
            <v>J4903DR</v>
          </cell>
          <cell r="B18" t="str">
            <v>Lemon Juice Aseptic Drum Spain</v>
          </cell>
          <cell r="C18">
            <v>0</v>
          </cell>
          <cell r="D18">
            <v>0</v>
          </cell>
          <cell r="F18">
            <v>0</v>
          </cell>
        </row>
        <row r="19">
          <cell r="A19" t="str">
            <v>J4100</v>
          </cell>
          <cell r="B19" t="str">
            <v>Meyer Lemon Juice Internal Drum</v>
          </cell>
          <cell r="C19">
            <v>60364</v>
          </cell>
          <cell r="D19">
            <v>60364</v>
          </cell>
          <cell r="E19">
            <v>0.93172360877594329</v>
          </cell>
          <cell r="F19">
            <v>56242.563920151042</v>
          </cell>
        </row>
        <row r="20">
          <cell r="A20" t="str">
            <v>J4101</v>
          </cell>
          <cell r="B20" t="str">
            <v>Meyer Lemon Juice USA Drum</v>
          </cell>
          <cell r="C20">
            <v>0</v>
          </cell>
          <cell r="D20">
            <v>0</v>
          </cell>
          <cell r="F20">
            <v>0</v>
          </cell>
        </row>
        <row r="21">
          <cell r="A21" t="str">
            <v>J4145</v>
          </cell>
          <cell r="B21" t="str">
            <v>Meyer Lemon Drums</v>
          </cell>
          <cell r="C21">
            <v>0</v>
          </cell>
          <cell r="D21">
            <v>0</v>
          </cell>
          <cell r="E21">
            <v>0.93172360877594329</v>
          </cell>
          <cell r="F21">
            <v>0</v>
          </cell>
        </row>
        <row r="22">
          <cell r="A22" t="str">
            <v>J6145</v>
          </cell>
          <cell r="B22" t="str">
            <v>Key Lime Juice Drums</v>
          </cell>
          <cell r="C22">
            <v>5</v>
          </cell>
          <cell r="D22">
            <v>240</v>
          </cell>
          <cell r="E22">
            <v>0.93172360877594329</v>
          </cell>
          <cell r="F22">
            <v>223.61366610622639</v>
          </cell>
        </row>
        <row r="23">
          <cell r="A23" t="str">
            <v>J6145P</v>
          </cell>
          <cell r="B23" t="str">
            <v>Key Lime Juice Plastic Drum</v>
          </cell>
          <cell r="C23">
            <v>0</v>
          </cell>
          <cell r="D23">
            <v>0</v>
          </cell>
          <cell r="E23">
            <v>0.93172360877594329</v>
          </cell>
          <cell r="F23">
            <v>0</v>
          </cell>
        </row>
        <row r="24">
          <cell r="A24" t="str">
            <v>J6900</v>
          </cell>
          <cell r="B24" t="str">
            <v>Lime Drums</v>
          </cell>
          <cell r="C24">
            <v>0</v>
          </cell>
          <cell r="D24">
            <v>0</v>
          </cell>
          <cell r="E24">
            <v>0.93172360877594329</v>
          </cell>
          <cell r="F24">
            <v>0</v>
          </cell>
        </row>
        <row r="25">
          <cell r="A25" t="str">
            <v>J6900P</v>
          </cell>
          <cell r="B25" t="str">
            <v>Lime Juice Plastic Drums</v>
          </cell>
          <cell r="C25">
            <v>0</v>
          </cell>
          <cell r="D25">
            <v>0</v>
          </cell>
          <cell r="E25">
            <v>0.93172360877594329</v>
          </cell>
          <cell r="F25">
            <v>0</v>
          </cell>
        </row>
        <row r="26">
          <cell r="A26" t="str">
            <v>J6910</v>
          </cell>
          <cell r="B26" t="str">
            <v>Lime Juice Tote</v>
          </cell>
          <cell r="C26">
            <v>0</v>
          </cell>
          <cell r="D26">
            <v>0</v>
          </cell>
          <cell r="F26">
            <v>0</v>
          </cell>
        </row>
        <row r="27">
          <cell r="A27" t="str">
            <v>J6921</v>
          </cell>
          <cell r="B27" t="str">
            <v>Fresh Lime Juice drum</v>
          </cell>
          <cell r="C27">
            <v>0</v>
          </cell>
          <cell r="D27">
            <v>0</v>
          </cell>
          <cell r="E27">
            <v>0.93172360877594329</v>
          </cell>
          <cell r="F27">
            <v>0</v>
          </cell>
        </row>
        <row r="28">
          <cell r="A28" t="str">
            <v>J7300</v>
          </cell>
          <cell r="B28" t="str">
            <v>OJ Mixed Drum</v>
          </cell>
          <cell r="C28">
            <v>0</v>
          </cell>
          <cell r="D28">
            <v>0</v>
          </cell>
          <cell r="F28">
            <v>0</v>
          </cell>
        </row>
        <row r="29">
          <cell r="A29" t="str">
            <v>J7512</v>
          </cell>
          <cell r="B29" t="str">
            <v>Debittered Navel OJ USA Internal Drum 45GL</v>
          </cell>
          <cell r="C29">
            <v>32360</v>
          </cell>
          <cell r="D29">
            <v>32360</v>
          </cell>
          <cell r="E29">
            <v>0.93172360877594329</v>
          </cell>
          <cell r="F29">
            <v>30150.575979989524</v>
          </cell>
        </row>
        <row r="30">
          <cell r="A30" t="str">
            <v>J7901</v>
          </cell>
          <cell r="B30" t="str">
            <v>SOF Valencia OJ Drums</v>
          </cell>
          <cell r="C30">
            <v>0</v>
          </cell>
          <cell r="D30">
            <v>0</v>
          </cell>
          <cell r="E30">
            <v>0.93172360877594329</v>
          </cell>
          <cell r="F30">
            <v>0</v>
          </cell>
        </row>
        <row r="31">
          <cell r="A31" t="str">
            <v>J7700</v>
          </cell>
          <cell r="B31" t="str">
            <v>Debittered Navel OJ  Drum</v>
          </cell>
          <cell r="C31">
            <v>0</v>
          </cell>
          <cell r="D31">
            <v>0</v>
          </cell>
          <cell r="E31">
            <v>0.93172360877594329</v>
          </cell>
          <cell r="F31">
            <v>0</v>
          </cell>
        </row>
        <row r="32">
          <cell r="A32" t="str">
            <v>J7800</v>
          </cell>
          <cell r="B32" t="str">
            <v>Sumo Tangerine Juice Drum</v>
          </cell>
          <cell r="C32">
            <v>0</v>
          </cell>
          <cell r="D32">
            <v>0</v>
          </cell>
          <cell r="E32">
            <v>0.93172360877594329</v>
          </cell>
          <cell r="F32">
            <v>0</v>
          </cell>
        </row>
        <row r="33">
          <cell r="A33" t="str">
            <v>J7900</v>
          </cell>
          <cell r="B33" t="str">
            <v>POJ Drum</v>
          </cell>
          <cell r="C33">
            <v>0</v>
          </cell>
          <cell r="D33">
            <v>0</v>
          </cell>
          <cell r="E33">
            <v>0.93172360877594329</v>
          </cell>
          <cell r="F33">
            <v>0</v>
          </cell>
        </row>
        <row r="34">
          <cell r="A34" t="str">
            <v>J7903</v>
          </cell>
          <cell r="B34" t="str">
            <v>OJ Kinnow Drum</v>
          </cell>
          <cell r="C34">
            <v>0</v>
          </cell>
          <cell r="D34">
            <v>0</v>
          </cell>
          <cell r="E34">
            <v>0.93172360877594329</v>
          </cell>
          <cell r="F34">
            <v>0</v>
          </cell>
        </row>
        <row r="35">
          <cell r="A35" t="str">
            <v>J7904</v>
          </cell>
          <cell r="B35" t="str">
            <v>Val Juice Drum</v>
          </cell>
          <cell r="C35">
            <v>0</v>
          </cell>
          <cell r="D35">
            <v>0</v>
          </cell>
          <cell r="F35">
            <v>0</v>
          </cell>
        </row>
        <row r="36">
          <cell r="A36" t="str">
            <v>J7904P</v>
          </cell>
          <cell r="B36" t="str">
            <v>OJ CA/AZ Valencia Plastic Drum</v>
          </cell>
          <cell r="C36">
            <v>0</v>
          </cell>
          <cell r="D36">
            <v>0</v>
          </cell>
          <cell r="E36">
            <v>0.93172360877594329</v>
          </cell>
          <cell r="F36">
            <v>0</v>
          </cell>
        </row>
        <row r="37">
          <cell r="A37" t="str">
            <v>J7901F</v>
          </cell>
          <cell r="B37" t="str">
            <v>SOF Valencia OJ Drums</v>
          </cell>
          <cell r="C37">
            <v>0</v>
          </cell>
          <cell r="D37">
            <v>0</v>
          </cell>
          <cell r="E37">
            <v>0.93172360877594329</v>
          </cell>
          <cell r="F37">
            <v>0</v>
          </cell>
        </row>
        <row r="38">
          <cell r="A38" t="str">
            <v>J7901P</v>
          </cell>
          <cell r="B38" t="str">
            <v>OJ Valencia Plastic Drum</v>
          </cell>
          <cell r="C38">
            <v>0</v>
          </cell>
          <cell r="D38">
            <v>0</v>
          </cell>
          <cell r="E38">
            <v>0.93172360877594329</v>
          </cell>
          <cell r="F38">
            <v>0</v>
          </cell>
        </row>
        <row r="39">
          <cell r="A39" t="str">
            <v>J7905</v>
          </cell>
          <cell r="B39" t="str">
            <v>OJ Sweets Drum</v>
          </cell>
          <cell r="C39">
            <v>0</v>
          </cell>
          <cell r="D39">
            <v>0</v>
          </cell>
          <cell r="E39">
            <v>0.93172360877594329</v>
          </cell>
          <cell r="F39">
            <v>0</v>
          </cell>
        </row>
        <row r="40">
          <cell r="A40" t="str">
            <v>J7907</v>
          </cell>
          <cell r="B40" t="str">
            <v>OJ Mex Valencia Drum</v>
          </cell>
          <cell r="C40">
            <v>0</v>
          </cell>
          <cell r="D40">
            <v>0</v>
          </cell>
          <cell r="E40">
            <v>0.93172360877594329</v>
          </cell>
          <cell r="F40">
            <v>0</v>
          </cell>
        </row>
        <row r="41">
          <cell r="A41" t="str">
            <v>J7907P</v>
          </cell>
          <cell r="B41" t="str">
            <v>OJ Mex Valencia Drum</v>
          </cell>
          <cell r="C41">
            <v>0</v>
          </cell>
          <cell r="D41">
            <v>0</v>
          </cell>
          <cell r="E41">
            <v>0.93172360877594329</v>
          </cell>
          <cell r="F41">
            <v>0</v>
          </cell>
        </row>
        <row r="42">
          <cell r="A42" t="str">
            <v>J7908</v>
          </cell>
          <cell r="B42" t="str">
            <v>OJ SG Valencia Drum</v>
          </cell>
          <cell r="C42">
            <v>0</v>
          </cell>
          <cell r="D42">
            <v>0</v>
          </cell>
          <cell r="E42">
            <v>0.93172360877594329</v>
          </cell>
          <cell r="F42">
            <v>0</v>
          </cell>
        </row>
        <row r="43">
          <cell r="A43" t="str">
            <v>J7912</v>
          </cell>
          <cell r="B43" t="str">
            <v>OJ CA Valencia Extraction Drum in Gallons</v>
          </cell>
          <cell r="C43">
            <v>142178</v>
          </cell>
          <cell r="D43">
            <v>142178</v>
          </cell>
          <cell r="E43">
            <v>0.93172360877594329</v>
          </cell>
          <cell r="F43">
            <v>132470.59924854606</v>
          </cell>
        </row>
        <row r="44">
          <cell r="A44" t="str">
            <v>J7920</v>
          </cell>
          <cell r="B44" t="str">
            <v>OJ Early Mid Drum</v>
          </cell>
          <cell r="C44">
            <v>0</v>
          </cell>
          <cell r="D44">
            <v>0</v>
          </cell>
          <cell r="E44">
            <v>0.93172360877594329</v>
          </cell>
          <cell r="F44">
            <v>0</v>
          </cell>
        </row>
        <row r="45">
          <cell r="A45" t="str">
            <v>J7952</v>
          </cell>
          <cell r="B45" t="str">
            <v>Tang Juice Drum</v>
          </cell>
          <cell r="C45">
            <v>0</v>
          </cell>
          <cell r="D45">
            <v>0</v>
          </cell>
          <cell r="E45">
            <v>0.93172360877594329</v>
          </cell>
          <cell r="F45">
            <v>0</v>
          </cell>
        </row>
        <row r="46">
          <cell r="A46" t="str">
            <v>J8505</v>
          </cell>
          <cell r="B46" t="str">
            <v>Grapefruit Juice Mexican Internal Drum</v>
          </cell>
          <cell r="C46">
            <v>0</v>
          </cell>
          <cell r="D46">
            <v>0</v>
          </cell>
          <cell r="E46">
            <v>0.93172360877594329</v>
          </cell>
          <cell r="F46">
            <v>0</v>
          </cell>
        </row>
        <row r="47">
          <cell r="A47" t="str">
            <v>J8506</v>
          </cell>
          <cell r="B47" t="str">
            <v>Grapefruit Juice USA Internal Drum</v>
          </cell>
          <cell r="C47">
            <v>4995</v>
          </cell>
          <cell r="D47">
            <v>4995</v>
          </cell>
          <cell r="E47">
            <v>0.93172360877594329</v>
          </cell>
          <cell r="F47">
            <v>4653.9594258358366</v>
          </cell>
        </row>
        <row r="48">
          <cell r="A48" t="str">
            <v>J8550</v>
          </cell>
          <cell r="B48" t="str">
            <v>ULP GFT Drum</v>
          </cell>
          <cell r="C48">
            <v>0</v>
          </cell>
          <cell r="D48">
            <v>0</v>
          </cell>
          <cell r="E48">
            <v>0.93172360877594329</v>
          </cell>
          <cell r="F48">
            <v>0</v>
          </cell>
        </row>
        <row r="49">
          <cell r="A49" t="str">
            <v>J8550P</v>
          </cell>
          <cell r="B49" t="str">
            <v>Gft Plastic Drum</v>
          </cell>
          <cell r="C49">
            <v>0</v>
          </cell>
          <cell r="D49">
            <v>0</v>
          </cell>
          <cell r="E49">
            <v>0.93172360877594329</v>
          </cell>
          <cell r="F49">
            <v>0</v>
          </cell>
        </row>
        <row r="50">
          <cell r="A50" t="str">
            <v>J8551</v>
          </cell>
          <cell r="B50" t="str">
            <v>Gft Drum Southern Gardens</v>
          </cell>
          <cell r="C50">
            <v>0</v>
          </cell>
          <cell r="D50">
            <v>0</v>
          </cell>
          <cell r="E50">
            <v>0.93172360877594329</v>
          </cell>
          <cell r="F50">
            <v>0</v>
          </cell>
        </row>
        <row r="51">
          <cell r="A51" t="str">
            <v>J8552</v>
          </cell>
          <cell r="B51" t="str">
            <v>CA Rio Red Gft Drums</v>
          </cell>
          <cell r="C51">
            <v>0</v>
          </cell>
          <cell r="D51">
            <v>0</v>
          </cell>
          <cell r="E51">
            <v>0.93172360877594329</v>
          </cell>
          <cell r="F51">
            <v>0</v>
          </cell>
        </row>
        <row r="52">
          <cell r="A52" t="str">
            <v>J3926</v>
          </cell>
          <cell r="B52" t="str">
            <v>Fuji Apple Juice Drums</v>
          </cell>
          <cell r="C52">
            <v>0</v>
          </cell>
          <cell r="D52">
            <v>0</v>
          </cell>
          <cell r="E52">
            <v>0.93172360877594329</v>
          </cell>
          <cell r="F52">
            <v>0</v>
          </cell>
        </row>
        <row r="53">
          <cell r="A53" t="str">
            <v>J3901</v>
          </cell>
          <cell r="B53" t="str">
            <v>Apple Cider Drum</v>
          </cell>
          <cell r="C53">
            <v>0</v>
          </cell>
          <cell r="D53">
            <v>0</v>
          </cell>
          <cell r="E53">
            <v>0.93172360877594329</v>
          </cell>
          <cell r="F53">
            <v>0</v>
          </cell>
        </row>
        <row r="55">
          <cell r="B55" t="str">
            <v>Total</v>
          </cell>
          <cell r="C55">
            <v>424817</v>
          </cell>
          <cell r="D55">
            <v>425052</v>
          </cell>
          <cell r="F55">
            <v>396030.98335743218</v>
          </cell>
        </row>
        <row r="57">
          <cell r="A57" t="str">
            <v>J1301</v>
          </cell>
          <cell r="B57" t="str">
            <v>Kroger 5+1 Tropical Premix Juice</v>
          </cell>
          <cell r="C57">
            <v>0</v>
          </cell>
          <cell r="D57">
            <v>0</v>
          </cell>
          <cell r="E57">
            <v>0.93172360877594329</v>
          </cell>
          <cell r="F57">
            <v>0</v>
          </cell>
        </row>
        <row r="58">
          <cell r="A58" t="str">
            <v>J1330</v>
          </cell>
          <cell r="B58" t="str">
            <v>MM Reduced Sugar &amp; added Fiber Mango Smoothie Blend</v>
          </cell>
          <cell r="C58">
            <v>0</v>
          </cell>
          <cell r="D58">
            <v>0</v>
          </cell>
          <cell r="F58">
            <v>0</v>
          </cell>
        </row>
        <row r="59">
          <cell r="A59" t="str">
            <v>J1331</v>
          </cell>
          <cell r="B59" t="str">
            <v>MM Reduced Sugar &amp; added Fiber Strawberry Banana Smoothie Blend</v>
          </cell>
          <cell r="C59">
            <v>0</v>
          </cell>
          <cell r="D59">
            <v>0</v>
          </cell>
          <cell r="E59">
            <v>0.93172360877594329</v>
          </cell>
          <cell r="F59">
            <v>0</v>
          </cell>
        </row>
        <row r="60">
          <cell r="A60" t="str">
            <v>J1390</v>
          </cell>
          <cell r="B60" t="str">
            <v>Kroger 6+1 Blueberry Lavender Black Tea</v>
          </cell>
          <cell r="C60">
            <v>0</v>
          </cell>
          <cell r="D60">
            <v>0</v>
          </cell>
          <cell r="E60">
            <v>0.93172360877594329</v>
          </cell>
          <cell r="F60">
            <v>0</v>
          </cell>
        </row>
        <row r="61">
          <cell r="A61" t="str">
            <v>J1953</v>
          </cell>
          <cell r="B61" t="str">
            <v>5+1 Prickly Pear, Hib,Lime Agua Fresca NSA</v>
          </cell>
          <cell r="C61">
            <v>0</v>
          </cell>
          <cell r="D61">
            <v>0</v>
          </cell>
          <cell r="E61">
            <v>0.93172360877594329</v>
          </cell>
          <cell r="F61">
            <v>0</v>
          </cell>
        </row>
        <row r="62">
          <cell r="A62" t="str">
            <v>J2702</v>
          </cell>
          <cell r="B62" t="str">
            <v>Panera Mango Base w/Vitamins</v>
          </cell>
          <cell r="C62">
            <v>0</v>
          </cell>
          <cell r="D62">
            <v>0</v>
          </cell>
          <cell r="E62">
            <v>0.93172360877594329</v>
          </cell>
          <cell r="F62">
            <v>0</v>
          </cell>
        </row>
        <row r="63">
          <cell r="A63" t="str">
            <v>J2705</v>
          </cell>
          <cell r="B63" t="str">
            <v>Panera Strw Base W/Vit</v>
          </cell>
          <cell r="C63">
            <v>0</v>
          </cell>
          <cell r="D63">
            <v>0</v>
          </cell>
          <cell r="E63">
            <v>0.93172360877594329</v>
          </cell>
          <cell r="F63">
            <v>0</v>
          </cell>
        </row>
        <row r="64">
          <cell r="A64" t="str">
            <v>J2712</v>
          </cell>
          <cell r="B64" t="str">
            <v>Peach Mango Base</v>
          </cell>
          <cell r="C64">
            <v>0</v>
          </cell>
          <cell r="D64">
            <v>0</v>
          </cell>
          <cell r="E64">
            <v>0.93172360877594329</v>
          </cell>
          <cell r="F64">
            <v>0</v>
          </cell>
        </row>
        <row r="65">
          <cell r="A65" t="str">
            <v>J2743</v>
          </cell>
          <cell r="B65" t="str">
            <v>Panera Strw Base w/o ginseng</v>
          </cell>
          <cell r="C65">
            <v>0</v>
          </cell>
          <cell r="D65">
            <v>0</v>
          </cell>
          <cell r="E65">
            <v>0.93172360877594329</v>
          </cell>
          <cell r="F65">
            <v>0</v>
          </cell>
        </row>
        <row r="66">
          <cell r="A66" t="str">
            <v>J2744</v>
          </cell>
          <cell r="B66" t="str">
            <v>Panera Superfruit Power Fruit Base w/o ginseng</v>
          </cell>
          <cell r="C66">
            <v>0</v>
          </cell>
          <cell r="D66">
            <v>0</v>
          </cell>
          <cell r="E66">
            <v>0.93172360877594329</v>
          </cell>
          <cell r="F66">
            <v>0</v>
          </cell>
        </row>
        <row r="67">
          <cell r="A67" t="str">
            <v>J2750</v>
          </cell>
          <cell r="B67" t="str">
            <v>Panera Spiced Carrot Base</v>
          </cell>
          <cell r="C67">
            <v>0</v>
          </cell>
          <cell r="D67">
            <v>0</v>
          </cell>
          <cell r="E67">
            <v>0.93172360877594329</v>
          </cell>
          <cell r="F67">
            <v>0</v>
          </cell>
        </row>
        <row r="68">
          <cell r="A68" t="str">
            <v>J2752</v>
          </cell>
          <cell r="B68" t="str">
            <v>Panera Mango Base W\Vitamins NSA</v>
          </cell>
          <cell r="C68">
            <v>130</v>
          </cell>
          <cell r="D68">
            <v>130</v>
          </cell>
          <cell r="E68">
            <v>0.93172360877594329</v>
          </cell>
          <cell r="F68">
            <v>121.12406914087262</v>
          </cell>
        </row>
        <row r="69">
          <cell r="A69" t="str">
            <v>J2753</v>
          </cell>
          <cell r="B69" t="str">
            <v>Panera Strawberry Base W\Vitamins NSA</v>
          </cell>
          <cell r="C69">
            <v>0</v>
          </cell>
          <cell r="D69">
            <v>0</v>
          </cell>
          <cell r="E69">
            <v>0.93172360877594329</v>
          </cell>
          <cell r="F69">
            <v>0</v>
          </cell>
        </row>
        <row r="70">
          <cell r="A70" t="str">
            <v>J3000</v>
          </cell>
          <cell r="B70" t="str">
            <v>100% Pineapple Juice w/ Ascorbic - Del Monte</v>
          </cell>
          <cell r="C70">
            <v>0</v>
          </cell>
          <cell r="D70">
            <v>0</v>
          </cell>
          <cell r="E70">
            <v>0.93172360877594329</v>
          </cell>
          <cell r="F70">
            <v>0</v>
          </cell>
        </row>
        <row r="71">
          <cell r="A71" t="str">
            <v>J6517</v>
          </cell>
          <cell r="B71" t="str">
            <v>Panera RTU Cheery Limeade Premix</v>
          </cell>
          <cell r="C71">
            <v>0</v>
          </cell>
          <cell r="D71">
            <v>0</v>
          </cell>
          <cell r="E71">
            <v>0.93172360877594329</v>
          </cell>
          <cell r="F71">
            <v>0</v>
          </cell>
        </row>
        <row r="72">
          <cell r="A72" t="str">
            <v>J2711</v>
          </cell>
          <cell r="B72" t="str">
            <v>Carrot Mango Base with Ginger</v>
          </cell>
          <cell r="C72">
            <v>0</v>
          </cell>
          <cell r="D72">
            <v>0</v>
          </cell>
          <cell r="E72">
            <v>0.93172360877594329</v>
          </cell>
          <cell r="F72">
            <v>0</v>
          </cell>
        </row>
        <row r="73">
          <cell r="A73" t="str">
            <v>J2709</v>
          </cell>
          <cell r="B73" t="str">
            <v>Panera Wildberry Fruit Base</v>
          </cell>
          <cell r="C73">
            <v>0</v>
          </cell>
          <cell r="D73">
            <v>0</v>
          </cell>
          <cell r="E73">
            <v>0.93172360877594329</v>
          </cell>
          <cell r="F73">
            <v>0</v>
          </cell>
        </row>
        <row r="74">
          <cell r="A74" t="str">
            <v>J1901</v>
          </cell>
          <cell r="B74" t="str">
            <v>Blood Orange Berry Fruit Water Base</v>
          </cell>
          <cell r="C74">
            <v>0</v>
          </cell>
          <cell r="D74">
            <v>0</v>
          </cell>
          <cell r="E74">
            <v>0.93172360877594329</v>
          </cell>
          <cell r="F74">
            <v>0</v>
          </cell>
        </row>
        <row r="75">
          <cell r="A75" t="str">
            <v>J1905</v>
          </cell>
          <cell r="B75" t="str">
            <v>Pineapple Coconut 5+1 Fruit Water</v>
          </cell>
          <cell r="C75">
            <v>0</v>
          </cell>
          <cell r="D75">
            <v>0</v>
          </cell>
          <cell r="E75">
            <v>0.93172360877594329</v>
          </cell>
          <cell r="F75">
            <v>0</v>
          </cell>
        </row>
        <row r="76">
          <cell r="A76" t="str">
            <v>J1906</v>
          </cell>
          <cell r="B76" t="str">
            <v>Lemon Limeade Fruit Water Base</v>
          </cell>
          <cell r="C76">
            <v>0</v>
          </cell>
          <cell r="D76">
            <v>0</v>
          </cell>
          <cell r="E76">
            <v>0.93172360877594329</v>
          </cell>
          <cell r="F76">
            <v>0</v>
          </cell>
        </row>
        <row r="77">
          <cell r="A77" t="str">
            <v>J2740</v>
          </cell>
          <cell r="B77" t="str">
            <v>Tomato Vegetable &amp; Fruit Base</v>
          </cell>
          <cell r="C77">
            <v>0</v>
          </cell>
          <cell r="D77">
            <v>0</v>
          </cell>
          <cell r="E77">
            <v>0.93172360877594329</v>
          </cell>
          <cell r="F77">
            <v>0</v>
          </cell>
        </row>
        <row r="78">
          <cell r="A78" t="str">
            <v>J2741</v>
          </cell>
          <cell r="B78" t="str">
            <v>Kale Vegetable &amp; Fruit Base</v>
          </cell>
          <cell r="C78">
            <v>0</v>
          </cell>
          <cell r="D78">
            <v>0</v>
          </cell>
          <cell r="E78">
            <v>0.93172360877594329</v>
          </cell>
          <cell r="F78">
            <v>0</v>
          </cell>
        </row>
        <row r="79">
          <cell r="A79" t="str">
            <v>J3201</v>
          </cell>
          <cell r="B79" t="str">
            <v>Apple Cider</v>
          </cell>
          <cell r="C79">
            <v>0</v>
          </cell>
          <cell r="D79">
            <v>0</v>
          </cell>
          <cell r="F79">
            <v>0</v>
          </cell>
        </row>
        <row r="80">
          <cell r="A80" t="str">
            <v>J3400</v>
          </cell>
          <cell r="B80" t="str">
            <v>Fruit Smart Apple Juice</v>
          </cell>
          <cell r="C80">
            <v>0</v>
          </cell>
          <cell r="D80">
            <v>0</v>
          </cell>
          <cell r="F80">
            <v>0</v>
          </cell>
        </row>
        <row r="81">
          <cell r="A81" t="str">
            <v>J3401</v>
          </cell>
          <cell r="B81" t="str">
            <v>Apple Juice Internal Drum</v>
          </cell>
          <cell r="C81">
            <v>0</v>
          </cell>
          <cell r="D81">
            <v>0</v>
          </cell>
          <cell r="E81">
            <v>0.93172360877594329</v>
          </cell>
          <cell r="F81">
            <v>0</v>
          </cell>
        </row>
        <row r="82">
          <cell r="A82" t="str">
            <v>J3426</v>
          </cell>
          <cell r="B82" t="str">
            <v>Fuji Apple Juice</v>
          </cell>
          <cell r="C82">
            <v>0</v>
          </cell>
          <cell r="D82">
            <v>0</v>
          </cell>
          <cell r="E82">
            <v>0.93172360877594329</v>
          </cell>
          <cell r="F82">
            <v>0</v>
          </cell>
        </row>
        <row r="83">
          <cell r="A83" t="str">
            <v>J3701</v>
          </cell>
          <cell r="B83" t="str">
            <v>Aseptic NFC Pineapple Juice</v>
          </cell>
          <cell r="C83">
            <v>0</v>
          </cell>
          <cell r="D83">
            <v>0</v>
          </cell>
          <cell r="F83">
            <v>0</v>
          </cell>
        </row>
        <row r="84">
          <cell r="A84" t="str">
            <v>J3791</v>
          </cell>
          <cell r="B84" t="str">
            <v>FZN NFC Pineapple Juice</v>
          </cell>
          <cell r="C84">
            <v>0</v>
          </cell>
          <cell r="D84">
            <v>0</v>
          </cell>
          <cell r="F84">
            <v>0</v>
          </cell>
        </row>
        <row r="85">
          <cell r="A85" t="str">
            <v>J3800</v>
          </cell>
          <cell r="B85" t="str">
            <v>Non flitered Past NFC Pear Juice</v>
          </cell>
          <cell r="C85">
            <v>0</v>
          </cell>
          <cell r="D85">
            <v>0</v>
          </cell>
          <cell r="F85">
            <v>0</v>
          </cell>
        </row>
        <row r="86">
          <cell r="A86" t="str">
            <v>J3900</v>
          </cell>
          <cell r="B86" t="str">
            <v>NFC Cranberry Juice</v>
          </cell>
          <cell r="C86">
            <v>0</v>
          </cell>
          <cell r="D86">
            <v>0</v>
          </cell>
          <cell r="F86">
            <v>0</v>
          </cell>
        </row>
        <row r="87">
          <cell r="A87" t="str">
            <v>J4001</v>
          </cell>
          <cell r="B87" t="str">
            <v xml:space="preserve"> Past Lemon Juice WIP RTB</v>
          </cell>
          <cell r="C87">
            <v>17795</v>
          </cell>
          <cell r="D87">
            <v>17795</v>
          </cell>
          <cell r="E87">
            <v>0.93172360877594329</v>
          </cell>
          <cell r="F87">
            <v>16580.02161816791</v>
          </cell>
        </row>
        <row r="88">
          <cell r="A88" t="str">
            <v>J4001B</v>
          </cell>
          <cell r="B88" t="str">
            <v>Lemon Juice</v>
          </cell>
          <cell r="C88">
            <v>0</v>
          </cell>
          <cell r="D88">
            <v>0</v>
          </cell>
          <cell r="E88">
            <v>0.93172360877594329</v>
          </cell>
          <cell r="F88">
            <v>0</v>
          </cell>
        </row>
        <row r="89">
          <cell r="A89" t="str">
            <v>J4003</v>
          </cell>
          <cell r="B89" t="str">
            <v>Lemon Juice-Spanish Aseptic Bins in gals</v>
          </cell>
          <cell r="C89">
            <v>0</v>
          </cell>
          <cell r="D89">
            <v>0</v>
          </cell>
          <cell r="F89">
            <v>0</v>
          </cell>
        </row>
        <row r="90">
          <cell r="A90" t="str">
            <v>J4003DR</v>
          </cell>
          <cell r="B90" t="str">
            <v>Lemon Juice NFC Frozen Drum Spain</v>
          </cell>
          <cell r="C90">
            <v>0</v>
          </cell>
          <cell r="D90">
            <v>0</v>
          </cell>
          <cell r="F90">
            <v>0</v>
          </cell>
        </row>
        <row r="91">
          <cell r="A91" t="str">
            <v>J4004</v>
          </cell>
          <cell r="B91" t="str">
            <v>Extracted/Topnote Bulk Lemon Juice</v>
          </cell>
          <cell r="C91">
            <v>0</v>
          </cell>
          <cell r="D91">
            <v>0</v>
          </cell>
          <cell r="F91">
            <v>0</v>
          </cell>
        </row>
        <row r="92">
          <cell r="A92" t="str">
            <v>J4004DR</v>
          </cell>
          <cell r="B92" t="str">
            <v>Lemon Juice NFC Aseptic Drum Egypt</v>
          </cell>
          <cell r="C92">
            <v>0</v>
          </cell>
          <cell r="D92">
            <v>0</v>
          </cell>
          <cell r="F92">
            <v>0</v>
          </cell>
        </row>
        <row r="93">
          <cell r="A93" t="str">
            <v>J4005</v>
          </cell>
          <cell r="B93" t="str">
            <v>Lemon Juice From Concentrate</v>
          </cell>
          <cell r="C93">
            <v>0</v>
          </cell>
          <cell r="D93">
            <v>0</v>
          </cell>
          <cell r="E93">
            <v>0.93172360877594329</v>
          </cell>
          <cell r="F93">
            <v>0</v>
          </cell>
        </row>
        <row r="94">
          <cell r="A94" t="str">
            <v>J4006</v>
          </cell>
          <cell r="B94" t="str">
            <v>Lemon Juice - High titrable acid &gt;4.8</v>
          </cell>
          <cell r="C94">
            <v>0</v>
          </cell>
          <cell r="D94">
            <v>0</v>
          </cell>
          <cell r="F94">
            <v>0</v>
          </cell>
        </row>
        <row r="95">
          <cell r="A95" t="str">
            <v>J4021</v>
          </cell>
          <cell r="B95" t="str">
            <v>Wip Low Temp Lemon Juice</v>
          </cell>
          <cell r="C95">
            <v>0</v>
          </cell>
          <cell r="D95">
            <v>0</v>
          </cell>
          <cell r="E95">
            <v>0.93172360877594329</v>
          </cell>
          <cell r="F95">
            <v>0</v>
          </cell>
        </row>
        <row r="96">
          <cell r="A96" t="str">
            <v>J4021B</v>
          </cell>
          <cell r="B96" t="str">
            <v>Lemon Juice Low Temp</v>
          </cell>
          <cell r="C96">
            <v>0</v>
          </cell>
          <cell r="D96">
            <v>0</v>
          </cell>
          <cell r="E96">
            <v>0.93172360877594329</v>
          </cell>
          <cell r="F96">
            <v>0</v>
          </cell>
        </row>
        <row r="97">
          <cell r="A97" t="str">
            <v>J4040</v>
          </cell>
          <cell r="B97" t="str">
            <v>Lemon Juice Tanker</v>
          </cell>
          <cell r="C97">
            <v>0</v>
          </cell>
          <cell r="D97">
            <v>0</v>
          </cell>
          <cell r="F97">
            <v>0</v>
          </cell>
        </row>
        <row r="98">
          <cell r="A98" t="str">
            <v>J4101</v>
          </cell>
          <cell r="B98" t="str">
            <v>Meyer Lemon Juice</v>
          </cell>
          <cell r="C98">
            <v>0</v>
          </cell>
          <cell r="D98">
            <v>0</v>
          </cell>
          <cell r="E98">
            <v>0.93172360877594329</v>
          </cell>
          <cell r="F98">
            <v>0</v>
          </cell>
        </row>
        <row r="99">
          <cell r="A99" t="str">
            <v>J4102</v>
          </cell>
          <cell r="B99" t="str">
            <v>Meyer Lemon Juice Blend</v>
          </cell>
          <cell r="C99">
            <v>65</v>
          </cell>
          <cell r="D99">
            <v>65</v>
          </cell>
          <cell r="E99">
            <v>0.93172360877594329</v>
          </cell>
          <cell r="F99">
            <v>60.56203457043631</v>
          </cell>
        </row>
        <row r="100">
          <cell r="A100" t="str">
            <v>J4103</v>
          </cell>
          <cell r="B100" t="str">
            <v>Meyer Lemon Juice Blend - 25%</v>
          </cell>
          <cell r="C100">
            <v>0</v>
          </cell>
          <cell r="D100">
            <v>0</v>
          </cell>
          <cell r="E100">
            <v>0.93172360877594329</v>
          </cell>
          <cell r="F100">
            <v>0</v>
          </cell>
        </row>
        <row r="101">
          <cell r="A101" t="str">
            <v>J4104</v>
          </cell>
          <cell r="B101" t="str">
            <v>Meyer Lemon Juice 90%/10% Blend</v>
          </cell>
          <cell r="C101">
            <v>0</v>
          </cell>
          <cell r="D101">
            <v>0</v>
          </cell>
          <cell r="E101">
            <v>0.93172360877594329</v>
          </cell>
          <cell r="F101">
            <v>0</v>
          </cell>
        </row>
        <row r="102">
          <cell r="A102" t="str">
            <v>J4105</v>
          </cell>
          <cell r="B102" t="str">
            <v>Meyer Lemon Juice Internal WIP</v>
          </cell>
          <cell r="C102">
            <v>4815</v>
          </cell>
          <cell r="D102">
            <v>4815</v>
          </cell>
          <cell r="E102">
            <v>0.93172360877594329</v>
          </cell>
          <cell r="F102">
            <v>4486.2491762561667</v>
          </cell>
        </row>
        <row r="103">
          <cell r="A103" t="str">
            <v>J4517</v>
          </cell>
          <cell r="B103" t="str">
            <v>Sweetened Lemon Juice</v>
          </cell>
          <cell r="C103">
            <v>0</v>
          </cell>
          <cell r="D103">
            <v>0</v>
          </cell>
          <cell r="E103">
            <v>0.93172360877594329</v>
          </cell>
          <cell r="F103">
            <v>0</v>
          </cell>
        </row>
        <row r="104">
          <cell r="A104" t="str">
            <v>J4528</v>
          </cell>
          <cell r="B104" t="str">
            <v>Lemon sweet</v>
          </cell>
          <cell r="C104">
            <v>0</v>
          </cell>
          <cell r="D104">
            <v>0</v>
          </cell>
          <cell r="E104">
            <v>0.93172360877594329</v>
          </cell>
          <cell r="F104">
            <v>0</v>
          </cell>
        </row>
        <row r="105">
          <cell r="A105" t="str">
            <v>J4955</v>
          </cell>
          <cell r="B105" t="str">
            <v>High-Acid Lemon Juice Blend</v>
          </cell>
          <cell r="C105">
            <v>90</v>
          </cell>
          <cell r="D105">
            <v>90</v>
          </cell>
          <cell r="E105">
            <v>0.93172360877594329</v>
          </cell>
          <cell r="F105">
            <v>83.855124789834889</v>
          </cell>
        </row>
        <row r="106">
          <cell r="A106" t="str">
            <v>J5000</v>
          </cell>
          <cell r="B106" t="str">
            <v>Marg Mix Reg</v>
          </cell>
          <cell r="C106">
            <v>0</v>
          </cell>
          <cell r="D106">
            <v>0</v>
          </cell>
          <cell r="E106">
            <v>0.93172360877594329</v>
          </cell>
          <cell r="F106">
            <v>0</v>
          </cell>
        </row>
        <row r="107">
          <cell r="A107" t="str">
            <v>J5060</v>
          </cell>
          <cell r="B107" t="str">
            <v>Marg Red Lobster 3+1</v>
          </cell>
          <cell r="C107">
            <v>0</v>
          </cell>
          <cell r="D107">
            <v>0</v>
          </cell>
          <cell r="E107">
            <v>0.93172360877594329</v>
          </cell>
          <cell r="F107">
            <v>0</v>
          </cell>
        </row>
        <row r="108">
          <cell r="A108" t="str">
            <v>J5005</v>
          </cell>
          <cell r="B108" t="str">
            <v>Marg 3+1</v>
          </cell>
          <cell r="C108">
            <v>626</v>
          </cell>
          <cell r="D108">
            <v>626</v>
          </cell>
          <cell r="E108">
            <v>0.93172360877594329</v>
          </cell>
          <cell r="F108">
            <v>583.25897909374055</v>
          </cell>
        </row>
        <row r="109">
          <cell r="A109" t="str">
            <v>J5014</v>
          </cell>
          <cell r="B109" t="str">
            <v>Rykoff Sexton Marg Mix</v>
          </cell>
          <cell r="C109">
            <v>0</v>
          </cell>
          <cell r="D109">
            <v>0</v>
          </cell>
          <cell r="E109">
            <v>0.93172360877594329</v>
          </cell>
          <cell r="F109">
            <v>0</v>
          </cell>
        </row>
        <row r="110">
          <cell r="A110" t="str">
            <v>J5200</v>
          </cell>
          <cell r="B110" t="str">
            <v>Citrus Bar Mix 1+1</v>
          </cell>
          <cell r="C110">
            <v>0</v>
          </cell>
          <cell r="D110">
            <v>0</v>
          </cell>
          <cell r="E110">
            <v>0.93172360877594329</v>
          </cell>
          <cell r="F110">
            <v>0</v>
          </cell>
        </row>
        <row r="111">
          <cell r="A111" t="str">
            <v>J5204</v>
          </cell>
          <cell r="B111" t="str">
            <v>Sweet &amp; Sour Mix 3+1</v>
          </cell>
          <cell r="C111">
            <v>0</v>
          </cell>
          <cell r="D111">
            <v>0</v>
          </cell>
          <cell r="E111">
            <v>0.93172360877594329</v>
          </cell>
          <cell r="F111">
            <v>0</v>
          </cell>
        </row>
        <row r="112">
          <cell r="A112" t="str">
            <v>J5207</v>
          </cell>
          <cell r="B112" t="str">
            <v>Lemon Sour</v>
          </cell>
          <cell r="C112">
            <v>0</v>
          </cell>
          <cell r="D112">
            <v>0</v>
          </cell>
          <cell r="E112">
            <v>0.93172360877594329</v>
          </cell>
          <cell r="F112">
            <v>0</v>
          </cell>
        </row>
        <row r="113">
          <cell r="A113" t="str">
            <v>J5285</v>
          </cell>
          <cell r="B113" t="str">
            <v>Mango RB</v>
          </cell>
          <cell r="C113">
            <v>0</v>
          </cell>
          <cell r="D113">
            <v>0</v>
          </cell>
          <cell r="E113">
            <v>0.93172360877594329</v>
          </cell>
          <cell r="F113">
            <v>0</v>
          </cell>
        </row>
        <row r="114">
          <cell r="A114" t="str">
            <v>J5314</v>
          </cell>
          <cell r="B114" t="str">
            <v>Bloody Mary Mix</v>
          </cell>
          <cell r="C114">
            <v>0</v>
          </cell>
          <cell r="D114">
            <v>0</v>
          </cell>
          <cell r="E114">
            <v>0.93172360877594329</v>
          </cell>
          <cell r="F114">
            <v>0</v>
          </cell>
        </row>
        <row r="115">
          <cell r="A115" t="str">
            <v>J5315</v>
          </cell>
          <cell r="B115" t="str">
            <v>Bloody Mary Mix</v>
          </cell>
          <cell r="C115">
            <v>90</v>
          </cell>
          <cell r="D115">
            <v>90</v>
          </cell>
          <cell r="E115">
            <v>0.93172360877594329</v>
          </cell>
          <cell r="F115">
            <v>83.855124789834889</v>
          </cell>
        </row>
        <row r="116">
          <cell r="A116" t="str">
            <v>J5430</v>
          </cell>
          <cell r="B116" t="str">
            <v>Sweet &amp; Sour RB</v>
          </cell>
          <cell r="C116">
            <v>0</v>
          </cell>
          <cell r="D116">
            <v>0</v>
          </cell>
          <cell r="E116">
            <v>0.93172360877594329</v>
          </cell>
          <cell r="F116">
            <v>0</v>
          </cell>
        </row>
        <row r="117">
          <cell r="A117" t="str">
            <v>J5805</v>
          </cell>
          <cell r="B117" t="str">
            <v>Lemon Lime Juice</v>
          </cell>
          <cell r="C117">
            <v>0</v>
          </cell>
          <cell r="D117">
            <v>0</v>
          </cell>
          <cell r="E117">
            <v>0.93172360877594329</v>
          </cell>
          <cell r="F117">
            <v>0</v>
          </cell>
        </row>
        <row r="118">
          <cell r="A118" t="str">
            <v>J5806</v>
          </cell>
          <cell r="B118" t="str">
            <v>30% Lemon 70% Lime Juice</v>
          </cell>
          <cell r="C118">
            <v>0</v>
          </cell>
          <cell r="D118">
            <v>0</v>
          </cell>
          <cell r="E118">
            <v>0.93172360877594329</v>
          </cell>
          <cell r="F118">
            <v>0</v>
          </cell>
        </row>
        <row r="119">
          <cell r="A119" t="str">
            <v>J5815</v>
          </cell>
          <cell r="B119" t="str">
            <v>50/50 Lemon Lime Juice</v>
          </cell>
          <cell r="C119">
            <v>0</v>
          </cell>
          <cell r="D119">
            <v>0</v>
          </cell>
          <cell r="E119">
            <v>0.93172360877594329</v>
          </cell>
          <cell r="F119">
            <v>0</v>
          </cell>
        </row>
        <row r="120">
          <cell r="A120" t="str">
            <v>J6003</v>
          </cell>
          <cell r="B120" t="str">
            <v>Lime Juice Tote in Gallons</v>
          </cell>
          <cell r="C120">
            <v>15200</v>
          </cell>
          <cell r="D120">
            <v>15200</v>
          </cell>
          <cell r="F120">
            <v>0</v>
          </cell>
        </row>
        <row r="121">
          <cell r="A121" t="str">
            <v>J6040</v>
          </cell>
          <cell r="B121" t="str">
            <v>Lime Juice Tanker</v>
          </cell>
          <cell r="C121">
            <v>49888</v>
          </cell>
          <cell r="D121">
            <v>49888</v>
          </cell>
          <cell r="F121">
            <v>0</v>
          </cell>
        </row>
        <row r="122">
          <cell r="A122" t="str">
            <v>J6001</v>
          </cell>
          <cell r="B122" t="str">
            <v>Lime Juice Ultra LT Past WIP</v>
          </cell>
          <cell r="C122">
            <v>437</v>
          </cell>
          <cell r="D122">
            <v>437</v>
          </cell>
          <cell r="E122">
            <v>0.93172360877594329</v>
          </cell>
          <cell r="F122">
            <v>407.1632170350872</v>
          </cell>
        </row>
        <row r="123">
          <cell r="A123" t="str">
            <v>J6001B</v>
          </cell>
          <cell r="B123" t="str">
            <v>Lime Juice</v>
          </cell>
          <cell r="C123">
            <v>0</v>
          </cell>
          <cell r="D123">
            <v>0</v>
          </cell>
          <cell r="E123">
            <v>0.93172360877594329</v>
          </cell>
          <cell r="F123">
            <v>0</v>
          </cell>
        </row>
        <row r="124">
          <cell r="A124" t="str">
            <v>J6006</v>
          </cell>
          <cell r="B124" t="str">
            <v>Lime Juice Internal Drum</v>
          </cell>
          <cell r="C124">
            <v>0</v>
          </cell>
          <cell r="D124">
            <v>0</v>
          </cell>
          <cell r="E124">
            <v>0.93172360877594329</v>
          </cell>
          <cell r="F124">
            <v>0</v>
          </cell>
        </row>
        <row r="125">
          <cell r="A125" t="str">
            <v>J6101</v>
          </cell>
          <cell r="B125" t="str">
            <v>Key Lime Juice</v>
          </cell>
          <cell r="C125">
            <v>0</v>
          </cell>
          <cell r="D125">
            <v>0</v>
          </cell>
          <cell r="E125">
            <v>0.93172360877594329</v>
          </cell>
          <cell r="F125">
            <v>0</v>
          </cell>
        </row>
        <row r="126">
          <cell r="A126" t="str">
            <v>J6105</v>
          </cell>
          <cell r="B126" t="str">
            <v>Key Lime Juice from Concentrate</v>
          </cell>
          <cell r="C126">
            <v>0</v>
          </cell>
          <cell r="D126">
            <v>0</v>
          </cell>
          <cell r="E126">
            <v>0.93172360877594329</v>
          </cell>
          <cell r="F126">
            <v>0</v>
          </cell>
        </row>
        <row r="127">
          <cell r="A127" t="str">
            <v>J6146</v>
          </cell>
          <cell r="B127" t="str">
            <v>Key Lime Juice Drum</v>
          </cell>
          <cell r="C127">
            <v>2655</v>
          </cell>
          <cell r="D127">
            <v>2655</v>
          </cell>
          <cell r="F127">
            <v>0</v>
          </cell>
        </row>
        <row r="128">
          <cell r="A128" t="str">
            <v>J6150</v>
          </cell>
          <cell r="B128" t="str">
            <v>Key lime juice drum (50 Gln)</v>
          </cell>
          <cell r="C128">
            <v>0</v>
          </cell>
          <cell r="D128">
            <v>0</v>
          </cell>
          <cell r="F128">
            <v>0</v>
          </cell>
        </row>
        <row r="129">
          <cell r="A129" t="str">
            <v>J6592</v>
          </cell>
          <cell r="B129" t="str">
            <v>Limeade 3+1 Blend</v>
          </cell>
          <cell r="C129">
            <v>393</v>
          </cell>
          <cell r="D129">
            <v>393</v>
          </cell>
          <cell r="E129">
            <v>0.93172360877594329</v>
          </cell>
          <cell r="F129">
            <v>366.16737824894574</v>
          </cell>
        </row>
        <row r="130">
          <cell r="A130" t="str">
            <v>J6585</v>
          </cell>
          <cell r="B130" t="str">
            <v>Limeade RTS Blend</v>
          </cell>
          <cell r="C130">
            <v>2115</v>
          </cell>
          <cell r="D130">
            <v>2115</v>
          </cell>
          <cell r="E130">
            <v>0.93172360877594329</v>
          </cell>
          <cell r="F130">
            <v>1970.5954325611201</v>
          </cell>
        </row>
        <row r="131">
          <cell r="A131" t="str">
            <v>J6596</v>
          </cell>
          <cell r="B131" t="str">
            <v>Watermelon Limeade</v>
          </cell>
          <cell r="C131">
            <v>0</v>
          </cell>
          <cell r="D131">
            <v>0</v>
          </cell>
          <cell r="E131">
            <v>0.93172360877594329</v>
          </cell>
          <cell r="F131">
            <v>0</v>
          </cell>
        </row>
        <row r="132">
          <cell r="A132" t="str">
            <v>J6903</v>
          </cell>
          <cell r="B132" t="str">
            <v>Lime Juice Drum</v>
          </cell>
          <cell r="C132">
            <v>0</v>
          </cell>
          <cell r="D132">
            <v>0</v>
          </cell>
        </row>
        <row r="133">
          <cell r="A133" t="str">
            <v>J7004</v>
          </cell>
          <cell r="B133" t="str">
            <v>Seville OJ</v>
          </cell>
          <cell r="C133">
            <v>0</v>
          </cell>
          <cell r="D133">
            <v>0</v>
          </cell>
          <cell r="E133">
            <v>0.93172360877594329</v>
          </cell>
          <cell r="F133">
            <v>0</v>
          </cell>
        </row>
        <row r="134">
          <cell r="A134" t="str">
            <v>J7007</v>
          </cell>
          <cell r="B134" t="str">
            <v>OJ WIP - Minneloas</v>
          </cell>
          <cell r="C134">
            <v>0</v>
          </cell>
          <cell r="D134">
            <v>0</v>
          </cell>
          <cell r="E134">
            <v>0.93172360877594329</v>
          </cell>
          <cell r="F134">
            <v>0</v>
          </cell>
        </row>
        <row r="135">
          <cell r="A135" t="str">
            <v>J7010</v>
          </cell>
          <cell r="B135" t="str">
            <v>OJ WIP - Valencia</v>
          </cell>
          <cell r="C135">
            <v>0</v>
          </cell>
          <cell r="D135">
            <v>0</v>
          </cell>
          <cell r="E135">
            <v>0.93172360877594329</v>
          </cell>
          <cell r="F135">
            <v>0</v>
          </cell>
        </row>
        <row r="136">
          <cell r="A136" t="str">
            <v>J7015</v>
          </cell>
          <cell r="B136" t="str">
            <v>OJ WIP - Sweets</v>
          </cell>
          <cell r="C136">
            <v>0</v>
          </cell>
          <cell r="D136">
            <v>0</v>
          </cell>
          <cell r="E136">
            <v>0.93172360877594329</v>
          </cell>
          <cell r="F136">
            <v>0</v>
          </cell>
        </row>
        <row r="137">
          <cell r="A137" t="str">
            <v>J7017</v>
          </cell>
          <cell r="B137" t="str">
            <v>OJ WIP - Orlando</v>
          </cell>
          <cell r="C137">
            <v>0</v>
          </cell>
          <cell r="D137">
            <v>0</v>
          </cell>
          <cell r="E137">
            <v>0.93172360877594329</v>
          </cell>
          <cell r="F137">
            <v>0</v>
          </cell>
        </row>
        <row r="138">
          <cell r="A138" t="str">
            <v>J7021</v>
          </cell>
          <cell r="B138" t="str">
            <v>Tangerine Juice</v>
          </cell>
          <cell r="C138">
            <v>0</v>
          </cell>
          <cell r="D138">
            <v>0</v>
          </cell>
          <cell r="F138">
            <v>0</v>
          </cell>
        </row>
        <row r="139">
          <cell r="A139" t="str">
            <v>J7022</v>
          </cell>
          <cell r="B139" t="str">
            <v>Tangerine</v>
          </cell>
          <cell r="C139">
            <v>0</v>
          </cell>
          <cell r="D139">
            <v>0</v>
          </cell>
          <cell r="E139">
            <v>0.93172360877594329</v>
          </cell>
          <cell r="F139">
            <v>0</v>
          </cell>
        </row>
        <row r="140">
          <cell r="A140" t="str">
            <v>J7022DB</v>
          </cell>
          <cell r="B140" t="str">
            <v>Tangerine</v>
          </cell>
          <cell r="C140">
            <v>0</v>
          </cell>
          <cell r="D140">
            <v>0</v>
          </cell>
          <cell r="E140">
            <v>0.93172360877594329</v>
          </cell>
          <cell r="F140">
            <v>0</v>
          </cell>
        </row>
        <row r="141">
          <cell r="A141" t="str">
            <v>J7023</v>
          </cell>
          <cell r="B141" t="str">
            <v>Clementine Tangerine Juice</v>
          </cell>
          <cell r="C141">
            <v>0</v>
          </cell>
          <cell r="D141">
            <v>0</v>
          </cell>
          <cell r="E141">
            <v>0.93172360877594329</v>
          </cell>
          <cell r="F141">
            <v>0</v>
          </cell>
        </row>
        <row r="142">
          <cell r="A142" t="str">
            <v>J7208</v>
          </cell>
          <cell r="B142" t="str">
            <v>OJ Mexican Valencia</v>
          </cell>
          <cell r="C142">
            <v>0</v>
          </cell>
          <cell r="D142">
            <v>0</v>
          </cell>
          <cell r="E142">
            <v>0.93172360877594329</v>
          </cell>
          <cell r="F142">
            <v>0</v>
          </cell>
        </row>
        <row r="143">
          <cell r="A143" t="str">
            <v>J7041</v>
          </cell>
          <cell r="B143" t="str">
            <v>OJ Mex Juice</v>
          </cell>
          <cell r="C143">
            <v>0</v>
          </cell>
          <cell r="D143">
            <v>0</v>
          </cell>
          <cell r="F143">
            <v>0</v>
          </cell>
        </row>
        <row r="144">
          <cell r="A144" t="str">
            <v>J7042</v>
          </cell>
          <cell r="B144" t="str">
            <v>OJ FL Juice</v>
          </cell>
          <cell r="C144">
            <v>0</v>
          </cell>
          <cell r="D144">
            <v>0</v>
          </cell>
          <cell r="E144">
            <v>0.93172360877594329</v>
          </cell>
          <cell r="F144">
            <v>0</v>
          </cell>
        </row>
        <row r="145">
          <cell r="A145" t="str">
            <v>J7043</v>
          </cell>
          <cell r="B145" t="str">
            <v>OJ Mexican Valencia Tanker</v>
          </cell>
          <cell r="C145">
            <v>0</v>
          </cell>
          <cell r="D145">
            <v>0</v>
          </cell>
          <cell r="E145">
            <v>0</v>
          </cell>
          <cell r="F145">
            <v>0</v>
          </cell>
        </row>
        <row r="146">
          <cell r="A146" t="str">
            <v>J7044</v>
          </cell>
          <cell r="B146" t="str">
            <v>Fresh Early Mid Tanker Juice</v>
          </cell>
          <cell r="C146">
            <v>0</v>
          </cell>
          <cell r="D146">
            <v>0</v>
          </cell>
          <cell r="E146">
            <v>0</v>
          </cell>
          <cell r="F146">
            <v>0</v>
          </cell>
        </row>
        <row r="147">
          <cell r="A147" t="str">
            <v>J7045</v>
          </cell>
          <cell r="B147" t="str">
            <v>OJ SG VALENCIA</v>
          </cell>
          <cell r="C147">
            <v>0</v>
          </cell>
          <cell r="D147">
            <v>0</v>
          </cell>
          <cell r="E147">
            <v>0.93172360877594329</v>
          </cell>
          <cell r="F147">
            <v>0</v>
          </cell>
        </row>
        <row r="148">
          <cell r="A148" t="str">
            <v>J7046</v>
          </cell>
          <cell r="B148" t="str">
            <v>OJ FL Juice POJ40</v>
          </cell>
          <cell r="C148">
            <v>0</v>
          </cell>
          <cell r="D148">
            <v>0</v>
          </cell>
          <cell r="F148">
            <v>0</v>
          </cell>
        </row>
        <row r="149">
          <cell r="A149" t="str">
            <v>J7053</v>
          </cell>
          <cell r="B149" t="str">
            <v>OJ Mexican Valencia in totes</v>
          </cell>
          <cell r="C149">
            <v>4180</v>
          </cell>
          <cell r="D149">
            <v>4180</v>
          </cell>
          <cell r="F149">
            <v>0</v>
          </cell>
        </row>
        <row r="150">
          <cell r="A150" t="str">
            <v>J7099</v>
          </cell>
          <cell r="B150" t="str">
            <v xml:space="preserve"> NFC Orange Mexican Top Note</v>
          </cell>
          <cell r="C150">
            <v>0</v>
          </cell>
          <cell r="D150">
            <v>0</v>
          </cell>
          <cell r="F150">
            <v>0</v>
          </cell>
        </row>
        <row r="151">
          <cell r="A151" t="str">
            <v>J7442</v>
          </cell>
          <cell r="B151" t="str">
            <v>California Valencia OJ No Pulp</v>
          </cell>
          <cell r="C151">
            <v>0</v>
          </cell>
          <cell r="D151">
            <v>0</v>
          </cell>
          <cell r="E151">
            <v>0.93172360877594329</v>
          </cell>
          <cell r="F151">
            <v>0</v>
          </cell>
        </row>
        <row r="152">
          <cell r="A152" t="str">
            <v>J7500</v>
          </cell>
          <cell r="B152" t="str">
            <v>Ultra Lite Past OJ RTB</v>
          </cell>
          <cell r="C152">
            <v>1613.2</v>
          </cell>
          <cell r="D152">
            <v>1613.2</v>
          </cell>
          <cell r="E152">
            <v>0.93172360877594329</v>
          </cell>
          <cell r="F152">
            <v>1503.0565256773518</v>
          </cell>
        </row>
        <row r="153">
          <cell r="A153" t="str">
            <v>J7500B</v>
          </cell>
          <cell r="B153" t="str">
            <v>OJ</v>
          </cell>
          <cell r="C153">
            <v>0</v>
          </cell>
          <cell r="D153">
            <v>0</v>
          </cell>
          <cell r="E153">
            <v>0.93172360877594329</v>
          </cell>
          <cell r="F153">
            <v>0</v>
          </cell>
        </row>
        <row r="154">
          <cell r="A154" t="str">
            <v>J7501</v>
          </cell>
          <cell r="B154" t="str">
            <v>OJ Valencia</v>
          </cell>
          <cell r="C154">
            <v>0</v>
          </cell>
          <cell r="D154">
            <v>0</v>
          </cell>
          <cell r="E154">
            <v>0.93172360877594329</v>
          </cell>
          <cell r="F154">
            <v>0</v>
          </cell>
        </row>
        <row r="155">
          <cell r="A155" t="str">
            <v>J7507</v>
          </cell>
          <cell r="B155" t="str">
            <v>Debittered Navel OJ USA Tanker</v>
          </cell>
          <cell r="C155">
            <v>0</v>
          </cell>
          <cell r="D155">
            <v>0</v>
          </cell>
          <cell r="F155">
            <v>0</v>
          </cell>
        </row>
        <row r="156">
          <cell r="A156" t="str">
            <v>J7510</v>
          </cell>
          <cell r="B156" t="str">
            <v>OJ Enhanced</v>
          </cell>
          <cell r="C156">
            <v>12940</v>
          </cell>
          <cell r="D156">
            <v>12940</v>
          </cell>
          <cell r="E156">
            <v>0.93172360877594329</v>
          </cell>
          <cell r="F156">
            <v>12056.503497560707</v>
          </cell>
        </row>
        <row r="157">
          <cell r="A157" t="str">
            <v>J7542</v>
          </cell>
          <cell r="B157" t="str">
            <v>NFC Valencia Tanker</v>
          </cell>
          <cell r="C157">
            <v>0</v>
          </cell>
          <cell r="D157">
            <v>0</v>
          </cell>
          <cell r="E157">
            <v>0</v>
          </cell>
          <cell r="F157">
            <v>0</v>
          </cell>
        </row>
        <row r="158">
          <cell r="A158" t="str">
            <v>J7540</v>
          </cell>
          <cell r="B158" t="str">
            <v>Past OJ No Pulp RTB</v>
          </cell>
          <cell r="C158">
            <v>69412</v>
          </cell>
          <cell r="D158">
            <v>69412</v>
          </cell>
          <cell r="E158">
            <v>0.93172360877594329</v>
          </cell>
          <cell r="F158">
            <v>64672.799132355773</v>
          </cell>
        </row>
        <row r="159">
          <cell r="A159" t="str">
            <v>J7540B</v>
          </cell>
          <cell r="B159" t="str">
            <v>OJ No Pulp</v>
          </cell>
          <cell r="C159">
            <v>0</v>
          </cell>
          <cell r="D159">
            <v>0</v>
          </cell>
          <cell r="E159">
            <v>0.93172360877594329</v>
          </cell>
          <cell r="F159">
            <v>0</v>
          </cell>
        </row>
        <row r="160">
          <cell r="A160" t="str">
            <v>J7541</v>
          </cell>
          <cell r="B160" t="str">
            <v>Pur OJ Val Tnkr Mex</v>
          </cell>
          <cell r="C160">
            <v>0</v>
          </cell>
          <cell r="D160">
            <v>0</v>
          </cell>
          <cell r="E160">
            <v>0</v>
          </cell>
          <cell r="F160">
            <v>0</v>
          </cell>
        </row>
        <row r="161">
          <cell r="A161" t="str">
            <v>J7544</v>
          </cell>
          <cell r="B161" t="str">
            <v>Pasteurized California Mixed Varietal Orange Juice Tanker</v>
          </cell>
          <cell r="C161">
            <v>0</v>
          </cell>
          <cell r="D161">
            <v>0</v>
          </cell>
          <cell r="E161">
            <v>0</v>
          </cell>
          <cell r="F161">
            <v>0</v>
          </cell>
        </row>
        <row r="162">
          <cell r="A162" t="str">
            <v>J7545</v>
          </cell>
          <cell r="B162" t="str">
            <v>OJ Mexican Juice in Totes</v>
          </cell>
          <cell r="C162">
            <v>0</v>
          </cell>
          <cell r="D162">
            <v>0</v>
          </cell>
        </row>
        <row r="163">
          <cell r="A163" t="str">
            <v>J7547</v>
          </cell>
          <cell r="B163" t="str">
            <v>OJ Mexican Juice in Drums</v>
          </cell>
          <cell r="C163">
            <v>0</v>
          </cell>
          <cell r="D163">
            <v>0</v>
          </cell>
        </row>
        <row r="164">
          <cell r="A164" t="str">
            <v>J7570</v>
          </cell>
          <cell r="B164" t="str">
            <v>OSSI PULPY OJ WIP</v>
          </cell>
          <cell r="C164">
            <v>0</v>
          </cell>
          <cell r="D164">
            <v>0</v>
          </cell>
          <cell r="E164">
            <v>0.93172360877594329</v>
          </cell>
          <cell r="F164">
            <v>0</v>
          </cell>
        </row>
        <row r="165">
          <cell r="A165" t="str">
            <v>J7570B</v>
          </cell>
          <cell r="B165" t="str">
            <v>OSSI PULPY OJ WIP</v>
          </cell>
          <cell r="C165">
            <v>0</v>
          </cell>
          <cell r="D165">
            <v>0</v>
          </cell>
          <cell r="E165">
            <v>0.93172360877594329</v>
          </cell>
          <cell r="F165">
            <v>0</v>
          </cell>
        </row>
        <row r="166">
          <cell r="A166" t="str">
            <v>J7823</v>
          </cell>
          <cell r="B166" t="str">
            <v>Wendy's OJ 3+1</v>
          </cell>
          <cell r="C166">
            <v>0</v>
          </cell>
          <cell r="D166">
            <v>0</v>
          </cell>
          <cell r="E166">
            <v>0.93172360877594329</v>
          </cell>
          <cell r="F166">
            <v>0</v>
          </cell>
        </row>
        <row r="167">
          <cell r="A167" t="str">
            <v>J7902</v>
          </cell>
          <cell r="B167" t="str">
            <v>OJ Early Mid Drum</v>
          </cell>
          <cell r="C167">
            <v>0</v>
          </cell>
          <cell r="D167">
            <v>0</v>
          </cell>
          <cell r="E167">
            <v>0.93172360877594329</v>
          </cell>
          <cell r="F167">
            <v>0</v>
          </cell>
        </row>
        <row r="168">
          <cell r="A168" t="str">
            <v>J7902P</v>
          </cell>
          <cell r="B168" t="str">
            <v>OJ Early Mid Plastic Drum</v>
          </cell>
          <cell r="C168">
            <v>0</v>
          </cell>
          <cell r="D168">
            <v>0</v>
          </cell>
          <cell r="E168">
            <v>0.93172360877594329</v>
          </cell>
          <cell r="F168">
            <v>0</v>
          </cell>
        </row>
        <row r="169">
          <cell r="A169" t="str">
            <v>J7916</v>
          </cell>
          <cell r="B169" t="str">
            <v>OJ USA Juice Internal Drum 45GL</v>
          </cell>
          <cell r="C169">
            <v>98234</v>
          </cell>
          <cell r="D169">
            <v>98234</v>
          </cell>
          <cell r="E169">
            <v>0.93172360877594329</v>
          </cell>
          <cell r="F169">
            <v>91526.936984496017</v>
          </cell>
        </row>
        <row r="170">
          <cell r="A170" t="str">
            <v>J7917</v>
          </cell>
          <cell r="B170" t="str">
            <v>Citrofruit Valencia Tote</v>
          </cell>
          <cell r="C170">
            <v>0</v>
          </cell>
          <cell r="D170">
            <v>0</v>
          </cell>
          <cell r="F170">
            <v>0</v>
          </cell>
        </row>
        <row r="171">
          <cell r="A171" t="str">
            <v>J8040</v>
          </cell>
          <cell r="B171" t="str">
            <v>Red Gft Juice NFC Tanker</v>
          </cell>
          <cell r="C171">
            <v>0</v>
          </cell>
          <cell r="D171">
            <v>0</v>
          </cell>
          <cell r="E171">
            <v>0.93172360877594329</v>
          </cell>
          <cell r="F171">
            <v>0</v>
          </cell>
        </row>
        <row r="172">
          <cell r="A172" t="str">
            <v>J8502</v>
          </cell>
          <cell r="B172" t="str">
            <v>CA Rio Red Gft</v>
          </cell>
          <cell r="C172">
            <v>0</v>
          </cell>
          <cell r="D172">
            <v>0</v>
          </cell>
          <cell r="E172">
            <v>0.93172360877594329</v>
          </cell>
          <cell r="F172">
            <v>0</v>
          </cell>
        </row>
        <row r="173">
          <cell r="A173" t="str">
            <v>J8500</v>
          </cell>
          <cell r="B173" t="str">
            <v>Gft</v>
          </cell>
          <cell r="C173">
            <v>685</v>
          </cell>
          <cell r="D173">
            <v>685</v>
          </cell>
          <cell r="E173">
            <v>0.93172360877594329</v>
          </cell>
          <cell r="F173">
            <v>638.23067201152116</v>
          </cell>
        </row>
        <row r="174">
          <cell r="A174" t="str">
            <v>J8500B</v>
          </cell>
          <cell r="B174" t="str">
            <v>Gft</v>
          </cell>
          <cell r="C174">
            <v>0</v>
          </cell>
          <cell r="D174">
            <v>0</v>
          </cell>
          <cell r="E174">
            <v>0.93172360877594329</v>
          </cell>
          <cell r="F174">
            <v>0</v>
          </cell>
        </row>
        <row r="175">
          <cell r="A175" t="str">
            <v>J8503</v>
          </cell>
          <cell r="B175" t="str">
            <v>St Mary Gft</v>
          </cell>
          <cell r="C175">
            <v>0</v>
          </cell>
          <cell r="D175">
            <v>0</v>
          </cell>
          <cell r="E175">
            <v>0.93172360877594329</v>
          </cell>
          <cell r="F175">
            <v>0</v>
          </cell>
        </row>
        <row r="176">
          <cell r="A176" t="str">
            <v>J8504</v>
          </cell>
          <cell r="B176" t="str">
            <v>Texas Rio Red Grapefruit Juice</v>
          </cell>
          <cell r="C176">
            <v>50760</v>
          </cell>
          <cell r="D176">
            <v>50760</v>
          </cell>
          <cell r="F176">
            <v>0</v>
          </cell>
        </row>
        <row r="177">
          <cell r="A177" t="str">
            <v>J8553</v>
          </cell>
          <cell r="B177" t="str">
            <v>SMFB Gft Drums</v>
          </cell>
          <cell r="C177">
            <v>0</v>
          </cell>
          <cell r="D177">
            <v>0</v>
          </cell>
          <cell r="E177">
            <v>0.93172360877594329</v>
          </cell>
          <cell r="F177">
            <v>0</v>
          </cell>
        </row>
        <row r="178">
          <cell r="A178" t="str">
            <v>J8903P</v>
          </cell>
          <cell r="B178" t="str">
            <v>SMFB Gft Plastic Drum</v>
          </cell>
          <cell r="C178">
            <v>0</v>
          </cell>
          <cell r="D178">
            <v>0</v>
          </cell>
          <cell r="E178">
            <v>0.93172360877594329</v>
          </cell>
          <cell r="F178">
            <v>0</v>
          </cell>
        </row>
        <row r="179">
          <cell r="A179" t="str">
            <v>J9000</v>
          </cell>
          <cell r="B179" t="str">
            <v>LA RTB</v>
          </cell>
          <cell r="C179">
            <v>4999.8</v>
          </cell>
          <cell r="D179">
            <v>4999.8</v>
          </cell>
          <cell r="E179">
            <v>0.93172360877594329</v>
          </cell>
          <cell r="F179">
            <v>4658.4316991579617</v>
          </cell>
        </row>
        <row r="180">
          <cell r="A180" t="str">
            <v>J9038</v>
          </cell>
          <cell r="B180" t="str">
            <v>Panera Agave LA RTU</v>
          </cell>
          <cell r="C180">
            <v>0</v>
          </cell>
          <cell r="D180">
            <v>0</v>
          </cell>
          <cell r="E180">
            <v>0.93172360877594329</v>
          </cell>
          <cell r="F180">
            <v>0</v>
          </cell>
        </row>
        <row r="181">
          <cell r="A181" t="str">
            <v>J9140</v>
          </cell>
          <cell r="B181" t="str">
            <v>LA 5+1</v>
          </cell>
          <cell r="C181">
            <v>0</v>
          </cell>
          <cell r="D181">
            <v>0</v>
          </cell>
          <cell r="E181">
            <v>0.93172360877594329</v>
          </cell>
          <cell r="F181">
            <v>0</v>
          </cell>
        </row>
        <row r="182">
          <cell r="A182" t="str">
            <v>J9144</v>
          </cell>
          <cell r="B182" t="str">
            <v>Panera 5+1 Agave LA Cond</v>
          </cell>
          <cell r="C182">
            <v>0</v>
          </cell>
          <cell r="D182">
            <v>0</v>
          </cell>
          <cell r="E182">
            <v>0.93172360877594329</v>
          </cell>
          <cell r="F182">
            <v>0</v>
          </cell>
        </row>
        <row r="183">
          <cell r="A183" t="str">
            <v>J9145</v>
          </cell>
          <cell r="B183" t="str">
            <v>3+1 Blood Orange Carrot LA</v>
          </cell>
          <cell r="C183">
            <v>0</v>
          </cell>
          <cell r="D183">
            <v>0</v>
          </cell>
          <cell r="E183">
            <v>0.93172360877594329</v>
          </cell>
          <cell r="F183">
            <v>0</v>
          </cell>
        </row>
        <row r="184">
          <cell r="A184" t="str">
            <v>J9161</v>
          </cell>
          <cell r="B184" t="str">
            <v>Cheesecake Lemon Sunburst LA Base</v>
          </cell>
          <cell r="C184">
            <v>0</v>
          </cell>
          <cell r="D184">
            <v>0</v>
          </cell>
          <cell r="E184">
            <v>0.93172360877594329</v>
          </cell>
          <cell r="F184">
            <v>0</v>
          </cell>
        </row>
        <row r="185">
          <cell r="A185" t="str">
            <v>J9163</v>
          </cell>
          <cell r="B185" t="str">
            <v>Panera 5+1 Agave LA Cond Alt Spec 3</v>
          </cell>
          <cell r="C185">
            <v>225</v>
          </cell>
          <cell r="D185">
            <v>225</v>
          </cell>
          <cell r="E185">
            <v>0.93172360877594329</v>
          </cell>
          <cell r="F185">
            <v>209.63781197458724</v>
          </cell>
        </row>
        <row r="186">
          <cell r="A186" t="str">
            <v>J9250</v>
          </cell>
          <cell r="B186" t="str">
            <v>LA 2+1 RTB</v>
          </cell>
          <cell r="C186">
            <v>0</v>
          </cell>
          <cell r="D186">
            <v>0</v>
          </cell>
          <cell r="E186">
            <v>0.93172360877594329</v>
          </cell>
          <cell r="F186">
            <v>0</v>
          </cell>
        </row>
        <row r="187">
          <cell r="A187" t="str">
            <v>J9226</v>
          </cell>
          <cell r="B187" t="str">
            <v>LA Jamba 2.51+1</v>
          </cell>
          <cell r="C187">
            <v>0</v>
          </cell>
          <cell r="D187">
            <v>0</v>
          </cell>
          <cell r="E187">
            <v>0.93172360877594329</v>
          </cell>
          <cell r="F187">
            <v>0</v>
          </cell>
        </row>
        <row r="188">
          <cell r="A188" t="str">
            <v>J9300</v>
          </cell>
          <cell r="B188" t="str">
            <v>LA 3+1 RTB</v>
          </cell>
          <cell r="C188">
            <v>0</v>
          </cell>
          <cell r="D188">
            <v>0</v>
          </cell>
          <cell r="E188">
            <v>0.93172360877594329</v>
          </cell>
          <cell r="F188">
            <v>0</v>
          </cell>
        </row>
        <row r="189">
          <cell r="A189" t="str">
            <v>J9314</v>
          </cell>
          <cell r="B189" t="str">
            <v>Meyer LA</v>
          </cell>
          <cell r="C189">
            <v>4724</v>
          </cell>
          <cell r="D189">
            <v>4724</v>
          </cell>
          <cell r="E189">
            <v>0.93172360877594329</v>
          </cell>
          <cell r="F189">
            <v>4401.4623278575564</v>
          </cell>
        </row>
        <row r="190">
          <cell r="A190" t="str">
            <v>J9035</v>
          </cell>
          <cell r="B190" t="str">
            <v>Panera Lemonades RTU</v>
          </cell>
          <cell r="C190">
            <v>0</v>
          </cell>
          <cell r="D190">
            <v>0</v>
          </cell>
          <cell r="E190">
            <v>0.93172360877594329</v>
          </cell>
          <cell r="F190">
            <v>0</v>
          </cell>
        </row>
        <row r="191">
          <cell r="A191" t="str">
            <v>J9334</v>
          </cell>
          <cell r="B191" t="str">
            <v>Rykoff Sexton Prickly Pear Lemonade</v>
          </cell>
          <cell r="C191">
            <v>0</v>
          </cell>
          <cell r="D191">
            <v>0</v>
          </cell>
          <cell r="E191">
            <v>0.93172360877594329</v>
          </cell>
          <cell r="F191">
            <v>0</v>
          </cell>
        </row>
        <row r="192">
          <cell r="A192" t="str">
            <v>J9400</v>
          </cell>
          <cell r="B192" t="str">
            <v>LA 4+1 RTB</v>
          </cell>
          <cell r="C192">
            <v>256</v>
          </cell>
          <cell r="D192">
            <v>256</v>
          </cell>
          <cell r="E192">
            <v>0.93172360877594329</v>
          </cell>
          <cell r="F192">
            <v>238.52124384664148</v>
          </cell>
        </row>
        <row r="193">
          <cell r="A193" t="str">
            <v>J9405</v>
          </cell>
          <cell r="B193" t="str">
            <v>LA Fatburger 4+1 RTB</v>
          </cell>
          <cell r="C193">
            <v>0</v>
          </cell>
          <cell r="D193">
            <v>0</v>
          </cell>
          <cell r="E193">
            <v>0.93172360877594329</v>
          </cell>
          <cell r="F193">
            <v>0</v>
          </cell>
        </row>
        <row r="194">
          <cell r="A194" t="str">
            <v>J9324</v>
          </cell>
          <cell r="B194" t="str">
            <v>Meyer Straw LA</v>
          </cell>
          <cell r="C194">
            <v>0</v>
          </cell>
          <cell r="D194">
            <v>0</v>
          </cell>
          <cell r="E194">
            <v>0.93172360877594329</v>
          </cell>
          <cell r="F194">
            <v>0</v>
          </cell>
        </row>
        <row r="195">
          <cell r="A195" t="str">
            <v>J9410</v>
          </cell>
          <cell r="B195" t="str">
            <v>Old Fashioned Lemonade Mix</v>
          </cell>
          <cell r="C195">
            <v>0</v>
          </cell>
          <cell r="D195">
            <v>0</v>
          </cell>
          <cell r="E195">
            <v>0.93172360877594329</v>
          </cell>
          <cell r="F195">
            <v>0</v>
          </cell>
        </row>
        <row r="196">
          <cell r="A196" t="str">
            <v>J9456</v>
          </cell>
          <cell r="B196" t="str">
            <v>3+1 Sweet Strw LA FZN</v>
          </cell>
          <cell r="C196">
            <v>0</v>
          </cell>
          <cell r="D196">
            <v>0</v>
          </cell>
          <cell r="E196">
            <v>0.93172360877594329</v>
          </cell>
          <cell r="F196">
            <v>0</v>
          </cell>
        </row>
        <row r="197">
          <cell r="A197" t="str">
            <v>J9500</v>
          </cell>
          <cell r="B197" t="str">
            <v>LA 5+1 RTB</v>
          </cell>
          <cell r="C197">
            <v>0</v>
          </cell>
          <cell r="D197">
            <v>0</v>
          </cell>
          <cell r="E197">
            <v>0.93172360877594329</v>
          </cell>
          <cell r="F197">
            <v>0</v>
          </cell>
        </row>
        <row r="198">
          <cell r="A198" t="str">
            <v>J9510</v>
          </cell>
          <cell r="B198" t="str">
            <v>LA Charley's 5+1 RTB</v>
          </cell>
          <cell r="C198">
            <v>0</v>
          </cell>
          <cell r="D198">
            <v>0</v>
          </cell>
          <cell r="E198">
            <v>0.93172360877594329</v>
          </cell>
          <cell r="F198">
            <v>0</v>
          </cell>
        </row>
        <row r="199">
          <cell r="A199" t="str">
            <v>J9610</v>
          </cell>
          <cell r="B199" t="str">
            <v>LA Strw RTB</v>
          </cell>
          <cell r="C199">
            <v>0</v>
          </cell>
          <cell r="D199">
            <v>0</v>
          </cell>
          <cell r="E199">
            <v>0.93172360877594329</v>
          </cell>
          <cell r="F199">
            <v>0</v>
          </cell>
        </row>
        <row r="200">
          <cell r="A200" t="str">
            <v>J9604</v>
          </cell>
          <cell r="B200" t="str">
            <v>LA Strw 3+1 RTB</v>
          </cell>
          <cell r="C200">
            <v>135</v>
          </cell>
          <cell r="D200">
            <v>135</v>
          </cell>
          <cell r="E200">
            <v>0.93172360877594329</v>
          </cell>
          <cell r="F200">
            <v>125.78268718475235</v>
          </cell>
        </row>
        <row r="201">
          <cell r="A201" t="str">
            <v>J9610</v>
          </cell>
          <cell r="C201">
            <v>0</v>
          </cell>
          <cell r="D201">
            <v>0</v>
          </cell>
          <cell r="E201">
            <v>0.93172360877594329</v>
          </cell>
          <cell r="F201">
            <v>0</v>
          </cell>
        </row>
        <row r="202">
          <cell r="A202" t="str">
            <v>J9664</v>
          </cell>
          <cell r="C202">
            <v>0</v>
          </cell>
          <cell r="D202">
            <v>0</v>
          </cell>
          <cell r="E202">
            <v>0.93172360877594329</v>
          </cell>
          <cell r="F202">
            <v>0</v>
          </cell>
        </row>
        <row r="203">
          <cell r="A203" t="str">
            <v>J9700</v>
          </cell>
          <cell r="B203" t="str">
            <v>LA Auntie Annes 3+1 RTB</v>
          </cell>
          <cell r="C203">
            <v>0</v>
          </cell>
          <cell r="D203">
            <v>0</v>
          </cell>
          <cell r="E203">
            <v>0.93172360877594329</v>
          </cell>
          <cell r="F203">
            <v>0</v>
          </cell>
        </row>
        <row r="204">
          <cell r="A204" t="str">
            <v>J9823</v>
          </cell>
          <cell r="C204">
            <v>0</v>
          </cell>
          <cell r="D204">
            <v>0</v>
          </cell>
          <cell r="E204">
            <v>0.93172360877594329</v>
          </cell>
        </row>
        <row r="205">
          <cell r="A205" t="str">
            <v>J9824</v>
          </cell>
          <cell r="C205">
            <v>0</v>
          </cell>
          <cell r="D205">
            <v>0</v>
          </cell>
          <cell r="E205">
            <v>0.93172360877594329</v>
          </cell>
        </row>
        <row r="206">
          <cell r="A206" t="str">
            <v>J9834</v>
          </cell>
          <cell r="B206" t="str">
            <v>Golden Corral Diet LA 2+1</v>
          </cell>
          <cell r="C206">
            <v>0</v>
          </cell>
          <cell r="D206">
            <v>0</v>
          </cell>
          <cell r="E206">
            <v>0.93172360877594329</v>
          </cell>
          <cell r="F206">
            <v>0</v>
          </cell>
        </row>
        <row r="208">
          <cell r="B208" t="str">
            <v>Total RTB</v>
          </cell>
          <cell r="C208">
            <v>342463</v>
          </cell>
          <cell r="D208">
            <v>342463</v>
          </cell>
          <cell r="F208">
            <v>204774.21473677683</v>
          </cell>
        </row>
        <row r="210">
          <cell r="C210">
            <v>767280</v>
          </cell>
          <cell r="D210">
            <v>767515</v>
          </cell>
          <cell r="F210">
            <v>600805.19809420896</v>
          </cell>
        </row>
        <row r="211">
          <cell r="F211">
            <v>580734.38080340123</v>
          </cell>
        </row>
        <row r="212">
          <cell r="F212">
            <v>20070.817290807725</v>
          </cell>
        </row>
        <row r="213">
          <cell r="E213" t="str">
            <v>extraction drumming (OJ), and purchased/blended OJ &amp; Lemon</v>
          </cell>
        </row>
        <row r="216">
          <cell r="B216" t="str">
            <v xml:space="preserve"> </v>
          </cell>
          <cell r="C216" t="str">
            <v xml:space="preserve"> </v>
          </cell>
        </row>
        <row r="218">
          <cell r="F218" t="str">
            <v>GL CHANGE</v>
          </cell>
        </row>
        <row r="219">
          <cell r="F219">
            <v>115027.79999999999</v>
          </cell>
        </row>
        <row r="220">
          <cell r="F220">
            <v>-42814</v>
          </cell>
        </row>
        <row r="221">
          <cell r="F221">
            <v>-4981.7999999999884</v>
          </cell>
        </row>
        <row r="222">
          <cell r="F222">
            <v>13420</v>
          </cell>
        </row>
        <row r="223">
          <cell r="F223">
            <v>626</v>
          </cell>
        </row>
        <row r="229">
          <cell r="B229" t="str">
            <v>WIP for DL&amp;OH calculation</v>
          </cell>
          <cell r="C229">
            <v>644832</v>
          </cell>
        </row>
        <row r="230">
          <cell r="B230" t="str">
            <v>This is gallons subject to L&amp;OH capitalization</v>
          </cell>
          <cell r="C230" t="str">
            <v>gallons on hand - gallons without cap rate</v>
          </cell>
        </row>
      </sheetData>
      <sheetData sheetId="5">
        <row r="1">
          <cell r="A1" t="str">
            <v>Sun Orchard, LLC - FL Divisions</v>
          </cell>
        </row>
        <row r="2">
          <cell r="A2" t="str">
            <v>Calculation of Labor &amp; Overhead - Work in Process</v>
          </cell>
        </row>
        <row r="3">
          <cell r="A3" t="str">
            <v>As of June 30th 2025</v>
          </cell>
        </row>
        <row r="5">
          <cell r="C5" t="str">
            <v>Units</v>
          </cell>
          <cell r="D5" t="str">
            <v>Gallons</v>
          </cell>
          <cell r="E5" t="str">
            <v>Labor &amp; OH</v>
          </cell>
          <cell r="F5" t="str">
            <v>Labor &amp; OH</v>
          </cell>
        </row>
        <row r="6">
          <cell r="E6" t="str">
            <v>Per GL</v>
          </cell>
          <cell r="F6" t="str">
            <v>Total</v>
          </cell>
        </row>
        <row r="8">
          <cell r="A8" t="str">
            <v>J4003</v>
          </cell>
          <cell r="B8" t="str">
            <v>Lemon Juice-Spanish Aseptic Bins in gal</v>
          </cell>
          <cell r="C8">
            <v>418441.05</v>
          </cell>
          <cell r="D8">
            <v>418441.05</v>
          </cell>
          <cell r="F8">
            <v>0</v>
          </cell>
        </row>
        <row r="9">
          <cell r="A9" t="str">
            <v>J4003DR</v>
          </cell>
          <cell r="B9" t="str">
            <v>Lemon Juice NFC Frozen Drum Spain</v>
          </cell>
          <cell r="C9">
            <v>0</v>
          </cell>
          <cell r="D9">
            <v>0</v>
          </cell>
          <cell r="F9">
            <v>0</v>
          </cell>
        </row>
        <row r="10">
          <cell r="A10" t="str">
            <v>J4007</v>
          </cell>
          <cell r="B10" t="str">
            <v>Lemon Juice-Brazilian Aseptic Bins in gal</v>
          </cell>
          <cell r="C10">
            <v>0</v>
          </cell>
          <cell r="D10">
            <v>0</v>
          </cell>
          <cell r="F10">
            <v>0</v>
          </cell>
        </row>
        <row r="11">
          <cell r="A11" t="str">
            <v>J4008</v>
          </cell>
          <cell r="B11" t="str">
            <v>Lemon Juice-Mexican Aseptic Bins in gal</v>
          </cell>
          <cell r="C11">
            <v>35381</v>
          </cell>
          <cell r="D11">
            <v>35381</v>
          </cell>
          <cell r="F11">
            <v>0</v>
          </cell>
        </row>
        <row r="12">
          <cell r="A12" t="str">
            <v>J4009</v>
          </cell>
          <cell r="B12" t="str">
            <v>Lemon Juice-Argentinean Aseptic Bins in GL</v>
          </cell>
          <cell r="C12">
            <v>0</v>
          </cell>
          <cell r="D12">
            <v>0</v>
          </cell>
          <cell r="F12">
            <v>0</v>
          </cell>
        </row>
        <row r="13">
          <cell r="A13" t="str">
            <v>J4900</v>
          </cell>
          <cell r="B13" t="str">
            <v>Lemon Juice Drum</v>
          </cell>
          <cell r="C13">
            <v>0</v>
          </cell>
          <cell r="D13">
            <v>0</v>
          </cell>
          <cell r="E13">
            <v>0.69981901303574467</v>
          </cell>
          <cell r="F13">
            <v>0</v>
          </cell>
        </row>
        <row r="14">
          <cell r="A14" t="str">
            <v>J4045P</v>
          </cell>
          <cell r="B14" t="str">
            <v>Lemon Juice Plastic Drum</v>
          </cell>
          <cell r="C14">
            <v>0</v>
          </cell>
          <cell r="D14">
            <v>0</v>
          </cell>
          <cell r="E14">
            <v>0.69981901303574467</v>
          </cell>
          <cell r="F14">
            <v>0</v>
          </cell>
        </row>
        <row r="15">
          <cell r="A15" t="str">
            <v>J4055</v>
          </cell>
          <cell r="B15" t="str">
            <v>Mexico Lemon Juice Drum</v>
          </cell>
          <cell r="C15">
            <v>0</v>
          </cell>
          <cell r="D15">
            <v>0</v>
          </cell>
          <cell r="F15">
            <v>0</v>
          </cell>
        </row>
        <row r="16">
          <cell r="A16" t="str">
            <v>J4104</v>
          </cell>
          <cell r="B16" t="str">
            <v>Meyer Lemon Juice 90%/10% Blend</v>
          </cell>
          <cell r="C16">
            <v>0</v>
          </cell>
          <cell r="D16">
            <v>0</v>
          </cell>
          <cell r="E16">
            <v>0.69981901303574467</v>
          </cell>
          <cell r="F16">
            <v>0</v>
          </cell>
        </row>
        <row r="17">
          <cell r="A17" t="str">
            <v>J4900F</v>
          </cell>
          <cell r="B17" t="str">
            <v>Lemon Juice Drum</v>
          </cell>
          <cell r="C17">
            <v>0</v>
          </cell>
          <cell r="D17">
            <v>0</v>
          </cell>
          <cell r="E17">
            <v>0.69981901303574467</v>
          </cell>
          <cell r="F17">
            <v>0</v>
          </cell>
        </row>
        <row r="18">
          <cell r="A18" t="str">
            <v>J4900M</v>
          </cell>
          <cell r="B18" t="str">
            <v>Mexican Lemon Juice Drum</v>
          </cell>
          <cell r="C18">
            <v>0</v>
          </cell>
          <cell r="D18">
            <v>0</v>
          </cell>
          <cell r="E18">
            <v>0.69981901303574467</v>
          </cell>
          <cell r="F18">
            <v>0</v>
          </cell>
        </row>
        <row r="19">
          <cell r="A19" t="str">
            <v>J4900MP</v>
          </cell>
          <cell r="B19" t="str">
            <v>Mexican Lemon Juice Plastic Drum</v>
          </cell>
          <cell r="C19">
            <v>0</v>
          </cell>
          <cell r="D19">
            <v>0</v>
          </cell>
          <cell r="E19">
            <v>0.69981901303574467</v>
          </cell>
          <cell r="F19">
            <v>0</v>
          </cell>
        </row>
        <row r="20">
          <cell r="A20" t="str">
            <v>J4900P</v>
          </cell>
          <cell r="B20" t="str">
            <v>Lemon Juice Drum</v>
          </cell>
          <cell r="C20">
            <v>0</v>
          </cell>
          <cell r="D20">
            <v>0</v>
          </cell>
          <cell r="E20">
            <v>0.69981901303574467</v>
          </cell>
          <cell r="F20">
            <v>0</v>
          </cell>
        </row>
        <row r="21">
          <cell r="A21" t="str">
            <v>J4902</v>
          </cell>
          <cell r="B21" t="str">
            <v>Lemon Juice Brazilian Drum</v>
          </cell>
          <cell r="C21">
            <v>0</v>
          </cell>
          <cell r="D21">
            <v>0</v>
          </cell>
          <cell r="F21">
            <v>0</v>
          </cell>
        </row>
        <row r="22">
          <cell r="A22" t="str">
            <v>J4903</v>
          </cell>
          <cell r="B22" t="str">
            <v>Lemon Juice Spanish Aseptic Drum</v>
          </cell>
          <cell r="C22">
            <v>0</v>
          </cell>
          <cell r="D22">
            <v>0</v>
          </cell>
          <cell r="F22">
            <v>0</v>
          </cell>
        </row>
        <row r="23">
          <cell r="A23" t="str">
            <v>J4903DR</v>
          </cell>
          <cell r="B23" t="str">
            <v>Lemon Juice Aseptic Drum Spain</v>
          </cell>
          <cell r="C23">
            <v>0</v>
          </cell>
          <cell r="D23">
            <v>0</v>
          </cell>
          <cell r="F23">
            <v>0</v>
          </cell>
        </row>
        <row r="24">
          <cell r="A24" t="str">
            <v>J4145</v>
          </cell>
          <cell r="B24" t="str">
            <v>Meyer Lemon Drum</v>
          </cell>
          <cell r="C24">
            <v>0</v>
          </cell>
          <cell r="D24">
            <v>0</v>
          </cell>
          <cell r="E24">
            <v>0.69981901303574467</v>
          </cell>
          <cell r="F24">
            <v>0</v>
          </cell>
        </row>
        <row r="25">
          <cell r="A25" t="str">
            <v>J4920</v>
          </cell>
          <cell r="B25" t="str">
            <v>Raw Mexican Lemon Drums</v>
          </cell>
          <cell r="C25">
            <v>0</v>
          </cell>
          <cell r="D25">
            <v>0</v>
          </cell>
          <cell r="E25">
            <v>0.69981901303574467</v>
          </cell>
          <cell r="F25">
            <v>0</v>
          </cell>
        </row>
        <row r="26">
          <cell r="A26" t="str">
            <v>J4920M</v>
          </cell>
          <cell r="B26" t="str">
            <v>Raw Italian Lemon Drums</v>
          </cell>
          <cell r="C26">
            <v>0</v>
          </cell>
          <cell r="D26">
            <v>0</v>
          </cell>
          <cell r="E26">
            <v>0.69981901303574467</v>
          </cell>
          <cell r="F26">
            <v>0</v>
          </cell>
        </row>
        <row r="27">
          <cell r="A27" t="str">
            <v>J6006</v>
          </cell>
          <cell r="B27" t="str">
            <v>Lime Juice Internal Drum</v>
          </cell>
          <cell r="C27">
            <v>0</v>
          </cell>
          <cell r="D27">
            <v>0</v>
          </cell>
          <cell r="E27">
            <v>0.69981901303574467</v>
          </cell>
          <cell r="F27">
            <v>0</v>
          </cell>
        </row>
        <row r="28">
          <cell r="A28" t="str">
            <v>J6145</v>
          </cell>
          <cell r="B28" t="str">
            <v>Key Lime Juice Drums</v>
          </cell>
          <cell r="C28">
            <v>0</v>
          </cell>
          <cell r="D28">
            <v>0</v>
          </cell>
          <cell r="E28">
            <v>0.69981901303574467</v>
          </cell>
          <cell r="F28">
            <v>0</v>
          </cell>
        </row>
        <row r="29">
          <cell r="A29" t="str">
            <v>J6150</v>
          </cell>
          <cell r="B29" t="str">
            <v>Key Lime Juice Drum (50GLN)</v>
          </cell>
          <cell r="C29">
            <v>0</v>
          </cell>
          <cell r="D29">
            <v>0</v>
          </cell>
          <cell r="F29">
            <v>0</v>
          </cell>
        </row>
        <row r="30">
          <cell r="A30" t="str">
            <v>J6900</v>
          </cell>
          <cell r="B30" t="str">
            <v>Lime Juice Drums</v>
          </cell>
          <cell r="C30">
            <v>0</v>
          </cell>
          <cell r="D30">
            <v>0</v>
          </cell>
          <cell r="E30">
            <v>0.69981901303574467</v>
          </cell>
          <cell r="F30">
            <v>0</v>
          </cell>
        </row>
        <row r="31">
          <cell r="A31" t="str">
            <v>J6900P</v>
          </cell>
          <cell r="B31" t="str">
            <v>Lime Juice Plastic Drums</v>
          </cell>
          <cell r="C31">
            <v>0</v>
          </cell>
          <cell r="D31">
            <v>0</v>
          </cell>
          <cell r="E31">
            <v>0.69981901303574467</v>
          </cell>
          <cell r="F31">
            <v>0</v>
          </cell>
        </row>
        <row r="32">
          <cell r="A32" t="str">
            <v>J6900F</v>
          </cell>
          <cell r="B32" t="str">
            <v>Lime Juice Drums</v>
          </cell>
          <cell r="C32">
            <v>0</v>
          </cell>
          <cell r="D32">
            <v>0</v>
          </cell>
          <cell r="E32">
            <v>0.69981901303574467</v>
          </cell>
          <cell r="F32">
            <v>0</v>
          </cell>
        </row>
        <row r="33">
          <cell r="A33" t="str">
            <v>J6920P</v>
          </cell>
          <cell r="B33" t="str">
            <v>Fresh Lime Juice Plastice Drum</v>
          </cell>
          <cell r="C33">
            <v>0</v>
          </cell>
          <cell r="D33">
            <v>0</v>
          </cell>
          <cell r="E33">
            <v>0.69981901303574467</v>
          </cell>
          <cell r="F33">
            <v>0</v>
          </cell>
        </row>
        <row r="34">
          <cell r="A34" t="str">
            <v>J7022DB</v>
          </cell>
          <cell r="B34" t="str">
            <v>Tangerine Juice debittered</v>
          </cell>
          <cell r="C34">
            <v>0</v>
          </cell>
          <cell r="D34">
            <v>0</v>
          </cell>
          <cell r="F34">
            <v>0</v>
          </cell>
        </row>
        <row r="35">
          <cell r="A35" t="str">
            <v>J7024DB</v>
          </cell>
          <cell r="B35" t="str">
            <v>Dancy Tangerine Juice debittered</v>
          </cell>
          <cell r="C35">
            <v>0</v>
          </cell>
          <cell r="D35">
            <v>0</v>
          </cell>
          <cell r="E35">
            <v>0.69981901303574467</v>
          </cell>
          <cell r="F35">
            <v>0</v>
          </cell>
        </row>
        <row r="36">
          <cell r="A36" t="str">
            <v>J7025</v>
          </cell>
          <cell r="B36" t="str">
            <v>Honey Tangerine Juice</v>
          </cell>
          <cell r="C36">
            <v>0</v>
          </cell>
          <cell r="D36">
            <v>0</v>
          </cell>
          <cell r="E36">
            <v>0.69981901303574467</v>
          </cell>
          <cell r="F36">
            <v>0</v>
          </cell>
        </row>
        <row r="37">
          <cell r="A37" t="str">
            <v>J7025DB</v>
          </cell>
          <cell r="B37" t="str">
            <v>Honey Tangerine Juice debittered</v>
          </cell>
          <cell r="C37">
            <v>0</v>
          </cell>
          <cell r="D37">
            <v>0</v>
          </cell>
          <cell r="E37">
            <v>0.69981901303574467</v>
          </cell>
          <cell r="F37">
            <v>0</v>
          </cell>
        </row>
        <row r="38">
          <cell r="A38" t="str">
            <v>J7026</v>
          </cell>
          <cell r="B38" t="str">
            <v>Sunburst Tangerine Juice</v>
          </cell>
          <cell r="C38">
            <v>0</v>
          </cell>
          <cell r="D38">
            <v>0</v>
          </cell>
          <cell r="E38">
            <v>0.69981901303574467</v>
          </cell>
          <cell r="F38">
            <v>0</v>
          </cell>
        </row>
        <row r="39">
          <cell r="A39" t="str">
            <v>J7026DB</v>
          </cell>
          <cell r="B39" t="str">
            <v>Sunburst Tangerine Juice debittered</v>
          </cell>
          <cell r="C39">
            <v>0</v>
          </cell>
          <cell r="D39">
            <v>0</v>
          </cell>
          <cell r="E39">
            <v>0.69981901303574467</v>
          </cell>
          <cell r="F39">
            <v>0</v>
          </cell>
        </row>
        <row r="40">
          <cell r="A40" t="str">
            <v>J7027</v>
          </cell>
          <cell r="B40" t="str">
            <v>Temple Tangerine Juice</v>
          </cell>
          <cell r="C40">
            <v>0</v>
          </cell>
          <cell r="D40">
            <v>0</v>
          </cell>
          <cell r="E40">
            <v>0.69981901303574467</v>
          </cell>
          <cell r="F40">
            <v>0</v>
          </cell>
        </row>
        <row r="41">
          <cell r="A41" t="str">
            <v>J7027DB</v>
          </cell>
          <cell r="B41" t="str">
            <v>Temple Tangerine Juice debittered</v>
          </cell>
          <cell r="C41">
            <v>0</v>
          </cell>
          <cell r="D41">
            <v>0</v>
          </cell>
          <cell r="E41">
            <v>0.69981901303574467</v>
          </cell>
          <cell r="F41">
            <v>0</v>
          </cell>
        </row>
        <row r="42">
          <cell r="A42" t="str">
            <v>J7030DB</v>
          </cell>
          <cell r="B42" t="str">
            <v>Tangerine Other Varieties Juice Blend</v>
          </cell>
          <cell r="C42">
            <v>0</v>
          </cell>
          <cell r="D42">
            <v>0</v>
          </cell>
          <cell r="E42">
            <v>0.69981901303574467</v>
          </cell>
          <cell r="F42">
            <v>0</v>
          </cell>
        </row>
        <row r="43">
          <cell r="A43" t="str">
            <v>J7512</v>
          </cell>
          <cell r="B43" t="str">
            <v>Debittered Navel OJ USA Internal Drum 45GL</v>
          </cell>
          <cell r="C43">
            <v>5400</v>
          </cell>
          <cell r="D43">
            <v>5400</v>
          </cell>
          <cell r="E43">
            <v>0.69981901303574467</v>
          </cell>
          <cell r="F43">
            <v>3779.0226703930211</v>
          </cell>
        </row>
        <row r="44">
          <cell r="A44" t="str">
            <v>J7900</v>
          </cell>
          <cell r="B44" t="str">
            <v>POJ Drum</v>
          </cell>
          <cell r="C44">
            <v>0</v>
          </cell>
          <cell r="D44">
            <v>0</v>
          </cell>
          <cell r="E44">
            <v>0.69981901303574467</v>
          </cell>
          <cell r="F44">
            <v>0</v>
          </cell>
        </row>
        <row r="45">
          <cell r="A45" t="str">
            <v>J7900F</v>
          </cell>
          <cell r="B45" t="str">
            <v>POJ Drum</v>
          </cell>
          <cell r="C45">
            <v>0</v>
          </cell>
          <cell r="D45">
            <v>0</v>
          </cell>
          <cell r="E45">
            <v>0.69981901303574467</v>
          </cell>
          <cell r="F45">
            <v>0</v>
          </cell>
        </row>
        <row r="46">
          <cell r="A46" t="str">
            <v>J7900P</v>
          </cell>
          <cell r="B46" t="str">
            <v>POJ Plastic Drum</v>
          </cell>
          <cell r="C46">
            <v>0</v>
          </cell>
          <cell r="D46">
            <v>0</v>
          </cell>
          <cell r="E46">
            <v>0.69981901303574467</v>
          </cell>
          <cell r="F46">
            <v>0</v>
          </cell>
        </row>
        <row r="47">
          <cell r="A47" t="str">
            <v>J7901P</v>
          </cell>
          <cell r="B47" t="str">
            <v>OJ Valencia Plastic Drum</v>
          </cell>
          <cell r="C47">
            <v>0</v>
          </cell>
          <cell r="D47">
            <v>0</v>
          </cell>
          <cell r="E47">
            <v>0.69981901303574467</v>
          </cell>
          <cell r="F47">
            <v>0</v>
          </cell>
        </row>
        <row r="48">
          <cell r="A48" t="str">
            <v>J7901F</v>
          </cell>
          <cell r="B48" t="str">
            <v>Past OJ Drums</v>
          </cell>
          <cell r="C48">
            <v>0</v>
          </cell>
          <cell r="D48">
            <v>0</v>
          </cell>
          <cell r="E48">
            <v>0.69981901303574467</v>
          </cell>
          <cell r="F48">
            <v>0</v>
          </cell>
        </row>
        <row r="49">
          <cell r="A49" t="str">
            <v>J7901FFP</v>
          </cell>
          <cell r="B49" t="str">
            <v>Fresh Frozen OJ Valencia Plastic Drum</v>
          </cell>
          <cell r="C49">
            <v>0</v>
          </cell>
          <cell r="D49">
            <v>0</v>
          </cell>
          <cell r="E49">
            <v>0.69981901303574467</v>
          </cell>
          <cell r="F49">
            <v>0</v>
          </cell>
        </row>
        <row r="50">
          <cell r="A50" t="str">
            <v>J7902P</v>
          </cell>
          <cell r="B50" t="str">
            <v>OJ Early Mid Plastic Drum</v>
          </cell>
          <cell r="C50">
            <v>0</v>
          </cell>
          <cell r="D50">
            <v>0</v>
          </cell>
          <cell r="E50">
            <v>0.69981901303574467</v>
          </cell>
          <cell r="F50">
            <v>0</v>
          </cell>
        </row>
        <row r="51">
          <cell r="A51" t="str">
            <v>J7902F</v>
          </cell>
          <cell r="B51" t="str">
            <v>OJ Early Mid Drum</v>
          </cell>
          <cell r="C51">
            <v>0</v>
          </cell>
          <cell r="D51">
            <v>0</v>
          </cell>
          <cell r="E51">
            <v>0.69981901303574467</v>
          </cell>
          <cell r="F51">
            <v>0</v>
          </cell>
        </row>
        <row r="52">
          <cell r="A52" t="str">
            <v>J7905</v>
          </cell>
          <cell r="B52" t="str">
            <v>OJ Val SG Drum</v>
          </cell>
          <cell r="C52">
            <v>0</v>
          </cell>
          <cell r="D52">
            <v>0</v>
          </cell>
          <cell r="E52">
            <v>0.69981901303574467</v>
          </cell>
          <cell r="F52">
            <v>0</v>
          </cell>
        </row>
        <row r="53">
          <cell r="A53" t="str">
            <v>J7905F</v>
          </cell>
          <cell r="B53" t="str">
            <v>OJ Valencia SG Drum</v>
          </cell>
          <cell r="C53">
            <v>0</v>
          </cell>
          <cell r="D53">
            <v>0</v>
          </cell>
          <cell r="E53">
            <v>0.69981901303574467</v>
          </cell>
          <cell r="F53">
            <v>0</v>
          </cell>
        </row>
        <row r="54">
          <cell r="A54" t="str">
            <v>J7912</v>
          </cell>
          <cell r="B54" t="str">
            <v>OJ USA California Valencia Internal Drum 45GL</v>
          </cell>
          <cell r="C54">
            <v>10608</v>
          </cell>
          <cell r="D54">
            <v>10608</v>
          </cell>
          <cell r="E54">
            <v>0.69981901303574467</v>
          </cell>
          <cell r="F54">
            <v>7423.6800902831792</v>
          </cell>
        </row>
        <row r="55">
          <cell r="A55" t="str">
            <v>J7913</v>
          </cell>
          <cell r="B55" t="str">
            <v>NFC Orange Mexican Top Note Internal Drum</v>
          </cell>
          <cell r="C55">
            <v>0</v>
          </cell>
          <cell r="D55">
            <v>0</v>
          </cell>
          <cell r="E55">
            <v>0.69981901303574467</v>
          </cell>
          <cell r="F55">
            <v>0</v>
          </cell>
        </row>
        <row r="56">
          <cell r="A56" t="str">
            <v>J7922</v>
          </cell>
          <cell r="B56" t="str">
            <v>Panera Valencia OJ Drums</v>
          </cell>
          <cell r="C56">
            <v>0</v>
          </cell>
          <cell r="D56">
            <v>0</v>
          </cell>
          <cell r="E56">
            <v>0.69981901303574467</v>
          </cell>
          <cell r="F56">
            <v>0</v>
          </cell>
        </row>
        <row r="57">
          <cell r="A57" t="str">
            <v>J7930</v>
          </cell>
          <cell r="B57" t="str">
            <v>NFC Orange California Top Note Internal Drum</v>
          </cell>
          <cell r="C57">
            <v>2515</v>
          </cell>
          <cell r="D57">
            <v>2515</v>
          </cell>
          <cell r="E57">
            <v>0.69981901303574467</v>
          </cell>
          <cell r="F57">
            <v>1760.0448177848978</v>
          </cell>
        </row>
        <row r="58">
          <cell r="A58" t="str">
            <v>J7952P</v>
          </cell>
          <cell r="B58" t="str">
            <v>Past Tang Plastic Drum</v>
          </cell>
          <cell r="C58">
            <v>0</v>
          </cell>
          <cell r="D58">
            <v>0</v>
          </cell>
          <cell r="E58">
            <v>0.69981901303574467</v>
          </cell>
          <cell r="F58">
            <v>0</v>
          </cell>
        </row>
        <row r="59">
          <cell r="A59" t="str">
            <v>J7952F</v>
          </cell>
          <cell r="B59" t="str">
            <v xml:space="preserve">Past Tang Drum </v>
          </cell>
          <cell r="C59">
            <v>0</v>
          </cell>
          <cell r="D59">
            <v>0</v>
          </cell>
          <cell r="E59">
            <v>0.69981901303574467</v>
          </cell>
          <cell r="F59">
            <v>0</v>
          </cell>
        </row>
        <row r="60">
          <cell r="A60" t="str">
            <v>J7953</v>
          </cell>
          <cell r="B60" t="str">
            <v>Kinnnow Juice Drum</v>
          </cell>
          <cell r="C60">
            <v>0</v>
          </cell>
          <cell r="D60">
            <v>0</v>
          </cell>
          <cell r="E60">
            <v>0.69981901303574467</v>
          </cell>
          <cell r="F60">
            <v>0</v>
          </cell>
        </row>
        <row r="61">
          <cell r="A61" t="str">
            <v>J8550</v>
          </cell>
          <cell r="C61">
            <v>0</v>
          </cell>
          <cell r="D61">
            <v>0</v>
          </cell>
          <cell r="E61">
            <v>0.69981901303574467</v>
          </cell>
          <cell r="F61">
            <v>0</v>
          </cell>
        </row>
        <row r="62">
          <cell r="A62" t="str">
            <v>J8950F</v>
          </cell>
          <cell r="B62" t="str">
            <v>GFT Drums</v>
          </cell>
          <cell r="C62">
            <v>0</v>
          </cell>
          <cell r="D62">
            <v>0</v>
          </cell>
          <cell r="E62">
            <v>0.69981901303574467</v>
          </cell>
          <cell r="F62">
            <v>0</v>
          </cell>
        </row>
        <row r="63">
          <cell r="A63" t="str">
            <v>J8950P</v>
          </cell>
          <cell r="B63" t="str">
            <v>Gft Plastic Drum</v>
          </cell>
          <cell r="C63">
            <v>0</v>
          </cell>
          <cell r="D63">
            <v>0</v>
          </cell>
          <cell r="E63">
            <v>0.69981901303574467</v>
          </cell>
          <cell r="F63">
            <v>0</v>
          </cell>
        </row>
        <row r="64">
          <cell r="A64" t="str">
            <v>J89508</v>
          </cell>
          <cell r="B64" t="str">
            <v>Gft Drums</v>
          </cell>
          <cell r="C64">
            <v>0</v>
          </cell>
          <cell r="D64">
            <v>0</v>
          </cell>
          <cell r="E64">
            <v>0.69981901303574467</v>
          </cell>
          <cell r="F64">
            <v>0</v>
          </cell>
        </row>
        <row r="65">
          <cell r="A65" t="str">
            <v>J39268</v>
          </cell>
          <cell r="B65" t="str">
            <v>Fuji Apple Drums</v>
          </cell>
          <cell r="C65">
            <v>0</v>
          </cell>
          <cell r="D65">
            <v>0</v>
          </cell>
          <cell r="E65">
            <v>0.69981901303574467</v>
          </cell>
          <cell r="F65">
            <v>0</v>
          </cell>
        </row>
        <row r="66">
          <cell r="A66" t="str">
            <v>J3926F</v>
          </cell>
          <cell r="B66" t="str">
            <v>Fuji Apple Drums</v>
          </cell>
          <cell r="C66">
            <v>0</v>
          </cell>
          <cell r="D66">
            <v>0</v>
          </cell>
          <cell r="E66">
            <v>0.69981901303574467</v>
          </cell>
          <cell r="F66">
            <v>0</v>
          </cell>
        </row>
        <row r="67">
          <cell r="A67" t="str">
            <v>J3901</v>
          </cell>
          <cell r="B67" t="str">
            <v>Apple Cider Drum</v>
          </cell>
          <cell r="C67">
            <v>0</v>
          </cell>
          <cell r="D67">
            <v>0</v>
          </cell>
          <cell r="E67">
            <v>0.69981901303574467</v>
          </cell>
          <cell r="F67">
            <v>0</v>
          </cell>
        </row>
        <row r="68">
          <cell r="A68" t="str">
            <v>J60018</v>
          </cell>
          <cell r="B68" t="str">
            <v>Lime Rework Drum</v>
          </cell>
          <cell r="C68">
            <v>0</v>
          </cell>
          <cell r="D68">
            <v>0</v>
          </cell>
          <cell r="E68">
            <v>0.69981901303574467</v>
          </cell>
          <cell r="F68">
            <v>0</v>
          </cell>
        </row>
        <row r="70">
          <cell r="B70" t="str">
            <v>Total Frozen WIP</v>
          </cell>
          <cell r="C70">
            <v>472345.05</v>
          </cell>
          <cell r="D70">
            <v>472345.05</v>
          </cell>
          <cell r="F70">
            <v>12962.747578461098</v>
          </cell>
        </row>
        <row r="73">
          <cell r="A73" t="str">
            <v>1335A</v>
          </cell>
          <cell r="B73" t="str">
            <v>Bottled MM Mixed Berries Smoothie Blend 10oz</v>
          </cell>
          <cell r="C73">
            <v>70344</v>
          </cell>
          <cell r="D73">
            <v>5495.4843119999996</v>
          </cell>
          <cell r="E73">
            <v>0.69981901303574467</v>
          </cell>
          <cell r="F73">
            <v>3845.844407377258</v>
          </cell>
        </row>
        <row r="74">
          <cell r="A74" t="str">
            <v>1335B</v>
          </cell>
          <cell r="B74" t="str">
            <v>Bottled MM Green Smoothie Blend 10oz</v>
          </cell>
          <cell r="C74">
            <v>82460</v>
          </cell>
          <cell r="D74">
            <v>6442.0225799999998</v>
          </cell>
          <cell r="E74">
            <v>0.69981901303574467</v>
          </cell>
          <cell r="F74">
            <v>4508.2498838895817</v>
          </cell>
        </row>
        <row r="75">
          <cell r="A75" t="str">
            <v>1335C</v>
          </cell>
          <cell r="B75" t="str">
            <v>Bottled MM Mango Smoothie Blend 10oz</v>
          </cell>
          <cell r="C75">
            <v>95895</v>
          </cell>
          <cell r="D75">
            <v>7491.6050850000001</v>
          </cell>
          <cell r="E75">
            <v>0.69981901303574467</v>
          </cell>
          <cell r="F75">
            <v>5242.7676766382665</v>
          </cell>
        </row>
        <row r="76">
          <cell r="A76" t="str">
            <v>1335D</v>
          </cell>
          <cell r="B76" t="str">
            <v>Bottled MM Strawberry Banana Smoothie Blend 10oz</v>
          </cell>
          <cell r="C76">
            <v>66239</v>
          </cell>
          <cell r="D76">
            <v>5174.7893969999996</v>
          </cell>
          <cell r="E76">
            <v>0.69981901303574467</v>
          </cell>
          <cell r="F76">
            <v>3621.4160084763762</v>
          </cell>
        </row>
        <row r="77">
          <cell r="A77" t="str">
            <v>J1256</v>
          </cell>
          <cell r="B77" t="str">
            <v>Lidl Green Smoothie Blend</v>
          </cell>
          <cell r="C77">
            <v>0</v>
          </cell>
          <cell r="D77">
            <v>0</v>
          </cell>
          <cell r="E77">
            <v>0.69981901303574467</v>
          </cell>
          <cell r="F77">
            <v>0</v>
          </cell>
        </row>
        <row r="78">
          <cell r="A78" t="str">
            <v>J1257</v>
          </cell>
          <cell r="B78" t="str">
            <v>Lidl Blue Smoothie Blend</v>
          </cell>
          <cell r="C78">
            <v>0</v>
          </cell>
          <cell r="D78">
            <v>0</v>
          </cell>
          <cell r="E78">
            <v>0.69981901303574467</v>
          </cell>
          <cell r="F78">
            <v>0</v>
          </cell>
        </row>
        <row r="79">
          <cell r="A79" t="str">
            <v>J1258</v>
          </cell>
          <cell r="B79" t="str">
            <v>Lidl Mango Smoothie Blend</v>
          </cell>
          <cell r="C79">
            <v>0</v>
          </cell>
          <cell r="D79">
            <v>0</v>
          </cell>
          <cell r="E79">
            <v>0.69981901303574467</v>
          </cell>
          <cell r="F79">
            <v>0</v>
          </cell>
        </row>
        <row r="80">
          <cell r="A80" t="str">
            <v>J1259</v>
          </cell>
          <cell r="B80" t="str">
            <v>Lidl Straw Banana Smoothie Blend</v>
          </cell>
          <cell r="C80">
            <v>0</v>
          </cell>
          <cell r="D80">
            <v>0</v>
          </cell>
          <cell r="E80">
            <v>0.69981901303574467</v>
          </cell>
          <cell r="F80">
            <v>0</v>
          </cell>
        </row>
        <row r="81">
          <cell r="A81" t="str">
            <v>J1330</v>
          </cell>
          <cell r="B81" t="str">
            <v>MM Reduced Sugar &amp; added Fiber Mango Smoothie Blend</v>
          </cell>
          <cell r="C81">
            <v>0</v>
          </cell>
          <cell r="D81">
            <v>0</v>
          </cell>
          <cell r="E81">
            <v>0.69981901303574467</v>
          </cell>
          <cell r="F81">
            <v>0</v>
          </cell>
        </row>
        <row r="82">
          <cell r="A82" t="str">
            <v>J1331</v>
          </cell>
          <cell r="B82" t="str">
            <v>MM Reduced Sugar &amp; added Fiber Strawberry Banana Smoothie Blend</v>
          </cell>
          <cell r="C82">
            <v>54</v>
          </cell>
          <cell r="D82">
            <v>54</v>
          </cell>
          <cell r="E82">
            <v>0.69981901303574467</v>
          </cell>
          <cell r="F82">
            <v>37.790226703930216</v>
          </cell>
        </row>
        <row r="83">
          <cell r="A83" t="str">
            <v>J1300</v>
          </cell>
          <cell r="B83" t="str">
            <v>Kroger 5+1 Calypso Breeze Juice</v>
          </cell>
          <cell r="C83">
            <v>0</v>
          </cell>
          <cell r="D83">
            <v>0</v>
          </cell>
          <cell r="E83">
            <v>0.69981901303574467</v>
          </cell>
          <cell r="F83">
            <v>0</v>
          </cell>
        </row>
        <row r="84">
          <cell r="A84" t="str">
            <v>J1301</v>
          </cell>
          <cell r="B84" t="str">
            <v>Kroger 5+1 Tropical Premix Juice</v>
          </cell>
          <cell r="C84">
            <v>0</v>
          </cell>
          <cell r="D84">
            <v>0</v>
          </cell>
          <cell r="E84">
            <v>0.69981901303574467</v>
          </cell>
          <cell r="F84">
            <v>0</v>
          </cell>
        </row>
        <row r="85">
          <cell r="A85" t="str">
            <v>J1302</v>
          </cell>
          <cell r="B85" t="str">
            <v>Kroger 5+1 Citrus Premix Juice</v>
          </cell>
          <cell r="C85">
            <v>0</v>
          </cell>
          <cell r="D85">
            <v>0</v>
          </cell>
          <cell r="E85">
            <v>0.69981901303574467</v>
          </cell>
          <cell r="F85">
            <v>0</v>
          </cell>
        </row>
        <row r="86">
          <cell r="A86" t="str">
            <v>J1309</v>
          </cell>
          <cell r="B86" t="str">
            <v>Simple Truth 100% Fruit Smoothie Great Greens</v>
          </cell>
          <cell r="C86">
            <v>0</v>
          </cell>
          <cell r="D86">
            <v>0</v>
          </cell>
          <cell r="E86">
            <v>0.69981901303574467</v>
          </cell>
          <cell r="F86">
            <v>0</v>
          </cell>
        </row>
        <row r="87">
          <cell r="A87" t="str">
            <v>J1327</v>
          </cell>
          <cell r="B87" t="str">
            <v>MM Reduced Sugar &amp; added Fiber Mixed Berries Smoothie Blend</v>
          </cell>
          <cell r="C87">
            <v>39</v>
          </cell>
          <cell r="D87">
            <v>39</v>
          </cell>
          <cell r="E87">
            <v>0.69981901303574467</v>
          </cell>
          <cell r="F87">
            <v>27.292941508394044</v>
          </cell>
        </row>
        <row r="88">
          <cell r="A88" t="str">
            <v>J1329</v>
          </cell>
          <cell r="B88" t="str">
            <v>MM Reduced Sugar &amp; added Fiber Green Smoothie Blend</v>
          </cell>
          <cell r="C88">
            <v>0</v>
          </cell>
          <cell r="D88">
            <v>0</v>
          </cell>
          <cell r="E88">
            <v>0.69981901303574467</v>
          </cell>
          <cell r="F88">
            <v>0</v>
          </cell>
        </row>
        <row r="89">
          <cell r="A89" t="str">
            <v>J1332</v>
          </cell>
          <cell r="B89" t="str">
            <v>MM Reduced Sugar &amp; added Fiber Green Smoothie Blend V2</v>
          </cell>
          <cell r="C89">
            <v>22.7</v>
          </cell>
          <cell r="D89">
            <v>22.7</v>
          </cell>
          <cell r="E89">
            <v>0.69981901303574467</v>
          </cell>
          <cell r="F89">
            <v>15.885891595911403</v>
          </cell>
        </row>
        <row r="90">
          <cell r="A90" t="str">
            <v>J1701</v>
          </cell>
          <cell r="B90" t="str">
            <v>Cava Blueberry Lavender Puree</v>
          </cell>
          <cell r="C90">
            <v>0</v>
          </cell>
          <cell r="D90">
            <v>0</v>
          </cell>
          <cell r="E90">
            <v>0.69981901303574467</v>
          </cell>
          <cell r="F90">
            <v>0</v>
          </cell>
        </row>
        <row r="91">
          <cell r="A91" t="str">
            <v>J1953</v>
          </cell>
          <cell r="B91" t="str">
            <v>5+1 Prickly Pear, Hib,Lime Agua Fresca NSA</v>
          </cell>
          <cell r="C91">
            <v>0</v>
          </cell>
          <cell r="D91">
            <v>0</v>
          </cell>
          <cell r="E91">
            <v>0.69981901303574467</v>
          </cell>
          <cell r="F91">
            <v>0</v>
          </cell>
        </row>
        <row r="92">
          <cell r="A92" t="str">
            <v>J2602</v>
          </cell>
          <cell r="B92" t="str">
            <v>Organic Beet &amp; Berry w/ Chia</v>
          </cell>
          <cell r="C92">
            <v>0</v>
          </cell>
          <cell r="D92">
            <v>0</v>
          </cell>
          <cell r="E92">
            <v>0.69981901303574467</v>
          </cell>
          <cell r="F92">
            <v>0</v>
          </cell>
        </row>
        <row r="93">
          <cell r="A93" t="str">
            <v>J2603</v>
          </cell>
          <cell r="B93" t="str">
            <v>Organic Chia Berry</v>
          </cell>
          <cell r="C93">
            <v>0</v>
          </cell>
          <cell r="D93">
            <v>0</v>
          </cell>
          <cell r="E93">
            <v>0.69981901303574467</v>
          </cell>
          <cell r="F93">
            <v>0</v>
          </cell>
        </row>
        <row r="94">
          <cell r="A94" t="str">
            <v>J2604</v>
          </cell>
          <cell r="B94" t="str">
            <v>Organic Orange Mango Carrot</v>
          </cell>
          <cell r="C94">
            <v>0</v>
          </cell>
          <cell r="D94">
            <v>0</v>
          </cell>
          <cell r="E94">
            <v>0.69981901303574467</v>
          </cell>
          <cell r="F94">
            <v>0</v>
          </cell>
        </row>
        <row r="95">
          <cell r="A95" t="str">
            <v>J2605</v>
          </cell>
          <cell r="B95" t="str">
            <v>Organic Ginseng Mango</v>
          </cell>
          <cell r="C95">
            <v>0</v>
          </cell>
          <cell r="D95">
            <v>0</v>
          </cell>
          <cell r="E95">
            <v>0.69981901303574467</v>
          </cell>
          <cell r="F95">
            <v>0</v>
          </cell>
        </row>
        <row r="96">
          <cell r="A96" t="str">
            <v>J2701</v>
          </cell>
          <cell r="B96" t="str">
            <v>Panera Mango Base</v>
          </cell>
          <cell r="C96">
            <v>0</v>
          </cell>
          <cell r="D96">
            <v>0</v>
          </cell>
          <cell r="E96">
            <v>0.69981901303574467</v>
          </cell>
          <cell r="F96">
            <v>0</v>
          </cell>
        </row>
        <row r="97">
          <cell r="A97" t="str">
            <v>J2702</v>
          </cell>
          <cell r="B97" t="str">
            <v>Panera Mango Base W\Vitamins</v>
          </cell>
          <cell r="C97">
            <v>0</v>
          </cell>
          <cell r="D97">
            <v>0</v>
          </cell>
          <cell r="E97">
            <v>0.69981901303574467</v>
          </cell>
          <cell r="F97">
            <v>0</v>
          </cell>
        </row>
        <row r="98">
          <cell r="A98" t="str">
            <v>J2704</v>
          </cell>
          <cell r="B98" t="str">
            <v>Strw Base</v>
          </cell>
          <cell r="C98">
            <v>0</v>
          </cell>
          <cell r="D98">
            <v>0</v>
          </cell>
          <cell r="E98">
            <v>0.69981901303574467</v>
          </cell>
          <cell r="F98">
            <v>0</v>
          </cell>
        </row>
        <row r="99">
          <cell r="A99" t="str">
            <v>J2705</v>
          </cell>
          <cell r="B99" t="str">
            <v>Panera Strw Base W\Vitamins</v>
          </cell>
          <cell r="C99">
            <v>0</v>
          </cell>
          <cell r="D99">
            <v>0</v>
          </cell>
          <cell r="E99">
            <v>0.69981901303574467</v>
          </cell>
          <cell r="F99">
            <v>0</v>
          </cell>
        </row>
        <row r="100">
          <cell r="A100" t="str">
            <v>J2707</v>
          </cell>
          <cell r="B100" t="str">
            <v>Panera Black Cherry Base w/Vit</v>
          </cell>
          <cell r="C100">
            <v>0</v>
          </cell>
          <cell r="D100">
            <v>0</v>
          </cell>
          <cell r="E100">
            <v>0.69981901303574467</v>
          </cell>
          <cell r="F100">
            <v>0</v>
          </cell>
        </row>
        <row r="101">
          <cell r="A101" t="str">
            <v>J2712</v>
          </cell>
          <cell r="B101" t="str">
            <v>Peach Mango Base</v>
          </cell>
          <cell r="C101">
            <v>0</v>
          </cell>
          <cell r="D101">
            <v>0</v>
          </cell>
          <cell r="E101">
            <v>0.69981901303574467</v>
          </cell>
          <cell r="F101">
            <v>0</v>
          </cell>
        </row>
        <row r="102">
          <cell r="A102" t="str">
            <v>J2741</v>
          </cell>
          <cell r="B102" t="str">
            <v>Kale Vegetable &amp; Fruit Base</v>
          </cell>
          <cell r="C102">
            <v>0</v>
          </cell>
          <cell r="D102">
            <v>0</v>
          </cell>
          <cell r="E102">
            <v>0.69981901303574467</v>
          </cell>
          <cell r="F102">
            <v>0</v>
          </cell>
        </row>
        <row r="103">
          <cell r="A103" t="str">
            <v>J2737</v>
          </cell>
          <cell r="B103" t="str">
            <v>Panera Superfruit Power Fruit Base</v>
          </cell>
          <cell r="C103">
            <v>0</v>
          </cell>
          <cell r="D103">
            <v>0</v>
          </cell>
          <cell r="E103">
            <v>0.69981901303574467</v>
          </cell>
          <cell r="F103">
            <v>0</v>
          </cell>
        </row>
        <row r="104">
          <cell r="A104" t="str">
            <v>J2709</v>
          </cell>
          <cell r="B104" t="str">
            <v>Panera Wildberry Base</v>
          </cell>
          <cell r="C104">
            <v>0</v>
          </cell>
          <cell r="D104">
            <v>0</v>
          </cell>
          <cell r="E104">
            <v>0.69981901303574467</v>
          </cell>
          <cell r="F104">
            <v>0</v>
          </cell>
        </row>
        <row r="105">
          <cell r="A105" t="str">
            <v>J2743</v>
          </cell>
          <cell r="B105" t="str">
            <v>Panera Strw Base w/o ginseng</v>
          </cell>
          <cell r="C105">
            <v>0</v>
          </cell>
          <cell r="D105">
            <v>0</v>
          </cell>
          <cell r="E105">
            <v>0.69981901303574467</v>
          </cell>
          <cell r="F105">
            <v>0</v>
          </cell>
        </row>
        <row r="106">
          <cell r="A106" t="str">
            <v>J2744</v>
          </cell>
          <cell r="B106" t="str">
            <v>Panera Superfruit Power Fruit Base w/o ginseng</v>
          </cell>
          <cell r="C106">
            <v>0</v>
          </cell>
          <cell r="D106">
            <v>0</v>
          </cell>
          <cell r="E106">
            <v>0.69981901303574467</v>
          </cell>
          <cell r="F106">
            <v>0</v>
          </cell>
        </row>
        <row r="107">
          <cell r="A107" t="str">
            <v>J2745</v>
          </cell>
          <cell r="B107" t="str">
            <v>Blueberry Pom Fruit Base with Coconut cream</v>
          </cell>
          <cell r="C107">
            <v>0</v>
          </cell>
          <cell r="D107">
            <v>0</v>
          </cell>
          <cell r="E107">
            <v>0.69981901303574467</v>
          </cell>
          <cell r="F107">
            <v>0</v>
          </cell>
        </row>
        <row r="108">
          <cell r="A108" t="str">
            <v>J2750</v>
          </cell>
          <cell r="B108" t="str">
            <v>Panera Spiced Carrot Base</v>
          </cell>
          <cell r="C108">
            <v>0</v>
          </cell>
          <cell r="D108">
            <v>0</v>
          </cell>
          <cell r="E108">
            <v>0.69981901303574467</v>
          </cell>
          <cell r="F108">
            <v>0</v>
          </cell>
        </row>
        <row r="109">
          <cell r="A109" t="str">
            <v>J2752</v>
          </cell>
          <cell r="B109" t="str">
            <v>Panera Mango Base W\Vitamins NSA</v>
          </cell>
          <cell r="C109">
            <v>1025</v>
          </cell>
          <cell r="D109">
            <v>1025</v>
          </cell>
          <cell r="E109">
            <v>0.69981901303574467</v>
          </cell>
          <cell r="F109">
            <v>717.31448836163827</v>
          </cell>
        </row>
        <row r="110">
          <cell r="A110" t="str">
            <v>J2753</v>
          </cell>
          <cell r="B110" t="str">
            <v>Panera Strawberry Base W\Vitamins NSA</v>
          </cell>
          <cell r="C110">
            <v>0</v>
          </cell>
          <cell r="D110">
            <v>0</v>
          </cell>
          <cell r="E110">
            <v>0.69981901303574467</v>
          </cell>
          <cell r="F110">
            <v>0</v>
          </cell>
        </row>
        <row r="111">
          <cell r="A111" t="str">
            <v>J2802</v>
          </cell>
          <cell r="B111" t="str">
            <v>Pomegranate Blueberry Juice</v>
          </cell>
          <cell r="C111">
            <v>0</v>
          </cell>
          <cell r="D111">
            <v>0</v>
          </cell>
          <cell r="E111">
            <v>0.69981901303574467</v>
          </cell>
          <cell r="F111">
            <v>0</v>
          </cell>
        </row>
        <row r="112">
          <cell r="A112" t="str">
            <v>J2811</v>
          </cell>
          <cell r="B112" t="str">
            <v>Strawberry Chia</v>
          </cell>
          <cell r="C112">
            <v>0</v>
          </cell>
          <cell r="D112">
            <v>0</v>
          </cell>
          <cell r="E112">
            <v>0.69981901303574467</v>
          </cell>
          <cell r="F112">
            <v>0</v>
          </cell>
        </row>
        <row r="113">
          <cell r="A113" t="str">
            <v>J2829</v>
          </cell>
          <cell r="B113" t="str">
            <v>Lidl Pomegranate Juice Blend</v>
          </cell>
          <cell r="C113">
            <v>0</v>
          </cell>
          <cell r="D113">
            <v>0</v>
          </cell>
          <cell r="E113">
            <v>0.69981901303574467</v>
          </cell>
          <cell r="F113">
            <v>0</v>
          </cell>
        </row>
        <row r="114">
          <cell r="A114" t="str">
            <v>J3000</v>
          </cell>
          <cell r="B114" t="str">
            <v>100% Pineapple Juice w/ Ascorbic - Del Monte</v>
          </cell>
          <cell r="C114">
            <v>0</v>
          </cell>
          <cell r="D114">
            <v>0</v>
          </cell>
          <cell r="E114">
            <v>0.69981901303574467</v>
          </cell>
          <cell r="F114">
            <v>0</v>
          </cell>
        </row>
        <row r="115">
          <cell r="A115" t="str">
            <v>J3100</v>
          </cell>
          <cell r="B115" t="str">
            <v>Pineapple Mango Juice</v>
          </cell>
          <cell r="C115">
            <v>0</v>
          </cell>
          <cell r="D115">
            <v>0</v>
          </cell>
          <cell r="E115">
            <v>0.69981901303574467</v>
          </cell>
          <cell r="F115">
            <v>0</v>
          </cell>
        </row>
        <row r="116">
          <cell r="A116" t="str">
            <v>J3400</v>
          </cell>
          <cell r="B116" t="str">
            <v>Fruit Smart Apple Juice Tanker</v>
          </cell>
          <cell r="C116">
            <v>11670</v>
          </cell>
          <cell r="D116">
            <v>11670</v>
          </cell>
          <cell r="F116">
            <v>0</v>
          </cell>
        </row>
        <row r="117">
          <cell r="A117" t="str">
            <v>J3401</v>
          </cell>
          <cell r="B117" t="str">
            <v>Apple Juice Internal Drum</v>
          </cell>
          <cell r="C117">
            <v>12710</v>
          </cell>
          <cell r="D117">
            <v>12710</v>
          </cell>
          <cell r="E117">
            <v>0.69981901303574467</v>
          </cell>
          <cell r="F117">
            <v>8894.6996556843151</v>
          </cell>
        </row>
        <row r="118">
          <cell r="A118" t="str">
            <v>J3402</v>
          </cell>
          <cell r="B118" t="str">
            <v>Apple Juice Drums</v>
          </cell>
          <cell r="C118">
            <v>0</v>
          </cell>
          <cell r="D118">
            <v>0</v>
          </cell>
          <cell r="F118">
            <v>0</v>
          </cell>
        </row>
        <row r="119">
          <cell r="A119" t="str">
            <v>J3426</v>
          </cell>
          <cell r="B119" t="str">
            <v>Fuji Apple Juice</v>
          </cell>
          <cell r="C119">
            <v>0</v>
          </cell>
          <cell r="D119">
            <v>0</v>
          </cell>
          <cell r="F119">
            <v>0</v>
          </cell>
        </row>
        <row r="120">
          <cell r="A120" t="str">
            <v>J3701</v>
          </cell>
          <cell r="B120" t="str">
            <v>NFC Pineapple Juice</v>
          </cell>
          <cell r="C120">
            <v>7370.0999999999995</v>
          </cell>
          <cell r="D120">
            <v>7370.0999999999995</v>
          </cell>
          <cell r="E120">
            <v>0</v>
          </cell>
          <cell r="F120">
            <v>0</v>
          </cell>
        </row>
        <row r="121">
          <cell r="A121" t="str">
            <v>J3791</v>
          </cell>
          <cell r="B121" t="str">
            <v>FZN NFC Pineapple Juice</v>
          </cell>
          <cell r="C121">
            <v>0</v>
          </cell>
          <cell r="D121">
            <v>0</v>
          </cell>
          <cell r="E121">
            <v>0.69981901303574467</v>
          </cell>
          <cell r="F121">
            <v>0</v>
          </cell>
        </row>
        <row r="122">
          <cell r="A122" t="str">
            <v>J3792</v>
          </cell>
          <cell r="B122" t="str">
            <v>Del Monte NFC Pineapple Juice</v>
          </cell>
          <cell r="C122">
            <v>0</v>
          </cell>
          <cell r="D122">
            <v>0</v>
          </cell>
          <cell r="E122">
            <v>0.69981901303574467</v>
          </cell>
          <cell r="F122">
            <v>0</v>
          </cell>
        </row>
        <row r="123">
          <cell r="A123" t="str">
            <v>J3800</v>
          </cell>
          <cell r="B123" t="str">
            <v>Non filtered past NFC Pear Juice</v>
          </cell>
          <cell r="C123">
            <v>0</v>
          </cell>
          <cell r="D123">
            <v>0</v>
          </cell>
          <cell r="F123">
            <v>0</v>
          </cell>
        </row>
        <row r="124">
          <cell r="A124" t="str">
            <v>J3801</v>
          </cell>
          <cell r="B124" t="str">
            <v>Noble Organic Apple Juice</v>
          </cell>
          <cell r="C124">
            <v>0</v>
          </cell>
          <cell r="D124">
            <v>0</v>
          </cell>
          <cell r="F124">
            <v>0</v>
          </cell>
        </row>
        <row r="125">
          <cell r="A125" t="str">
            <v>J3900</v>
          </cell>
          <cell r="B125" t="str">
            <v>NFC Cranberry Juice</v>
          </cell>
          <cell r="C125">
            <v>0</v>
          </cell>
          <cell r="D125">
            <v>0</v>
          </cell>
          <cell r="F125">
            <v>0</v>
          </cell>
        </row>
        <row r="126">
          <cell r="A126" t="str">
            <v>J3926</v>
          </cell>
          <cell r="B126" t="str">
            <v>Fuji Apple Drum</v>
          </cell>
          <cell r="C126">
            <v>0</v>
          </cell>
          <cell r="D126">
            <v>0</v>
          </cell>
        </row>
        <row r="127">
          <cell r="A127" t="str">
            <v>J4001</v>
          </cell>
          <cell r="B127" t="str">
            <v>Past Lemon Juice WIP</v>
          </cell>
          <cell r="C127">
            <v>4451</v>
          </cell>
          <cell r="D127">
            <v>4451</v>
          </cell>
          <cell r="E127">
            <v>0.69981901303574467</v>
          </cell>
          <cell r="F127">
            <v>3114.8944270220995</v>
          </cell>
        </row>
        <row r="128">
          <cell r="A128" t="str">
            <v>J4002</v>
          </cell>
          <cell r="B128" t="str">
            <v>NFC Frozen Lemon Brazil</v>
          </cell>
          <cell r="C128">
            <v>0</v>
          </cell>
          <cell r="D128">
            <v>0</v>
          </cell>
          <cell r="F128">
            <v>0</v>
          </cell>
        </row>
        <row r="129">
          <cell r="A129" t="str">
            <v>J4005</v>
          </cell>
          <cell r="B129" t="str">
            <v>Lemon Juice From Concentrate</v>
          </cell>
          <cell r="C129">
            <v>0</v>
          </cell>
          <cell r="D129">
            <v>0</v>
          </cell>
          <cell r="E129">
            <v>0.69981901303574467</v>
          </cell>
          <cell r="F129">
            <v>0</v>
          </cell>
        </row>
        <row r="130">
          <cell r="A130" t="str">
            <v>J4100</v>
          </cell>
          <cell r="B130" t="str">
            <v>Meyer Lemon Juice Internal Drum</v>
          </cell>
          <cell r="C130">
            <v>6165</v>
          </cell>
          <cell r="D130">
            <v>6165</v>
          </cell>
          <cell r="E130">
            <v>0.69981901303574467</v>
          </cell>
          <cell r="F130">
            <v>4314.3842153653659</v>
          </cell>
        </row>
        <row r="131">
          <cell r="A131" t="str">
            <v>J4517</v>
          </cell>
          <cell r="B131" t="str">
            <v>Sweetened Lemon Juice</v>
          </cell>
          <cell r="C131">
            <v>0</v>
          </cell>
          <cell r="D131">
            <v>0</v>
          </cell>
          <cell r="E131">
            <v>0.69981901303574467</v>
          </cell>
          <cell r="F131">
            <v>0</v>
          </cell>
        </row>
        <row r="132">
          <cell r="A132" t="str">
            <v>J4040</v>
          </cell>
          <cell r="B132" t="str">
            <v>Lemon Juice</v>
          </cell>
          <cell r="C132">
            <v>0</v>
          </cell>
          <cell r="D132">
            <v>0</v>
          </cell>
          <cell r="F132">
            <v>0</v>
          </cell>
        </row>
        <row r="133">
          <cell r="A133" t="str">
            <v>J4040TT380GL</v>
          </cell>
          <cell r="C133">
            <v>0</v>
          </cell>
          <cell r="D133">
            <v>0</v>
          </cell>
          <cell r="F133">
            <v>0</v>
          </cell>
        </row>
        <row r="134">
          <cell r="A134" t="str">
            <v>J4042</v>
          </cell>
          <cell r="B134" t="str">
            <v>Lemon Juice in drums</v>
          </cell>
          <cell r="C134">
            <v>0</v>
          </cell>
          <cell r="D134">
            <v>0</v>
          </cell>
          <cell r="F134">
            <v>0</v>
          </cell>
        </row>
        <row r="135">
          <cell r="A135" t="str">
            <v>J4047</v>
          </cell>
          <cell r="B135" t="str">
            <v>Lemon Juice Mexican Drum in Gallons</v>
          </cell>
          <cell r="C135">
            <v>0</v>
          </cell>
          <cell r="D135">
            <v>0</v>
          </cell>
          <cell r="F135">
            <v>0</v>
          </cell>
        </row>
        <row r="136">
          <cell r="A136" t="str">
            <v>J4101</v>
          </cell>
          <cell r="B136" t="str">
            <v>Meyer Lemon Juice</v>
          </cell>
          <cell r="C136">
            <v>0</v>
          </cell>
          <cell r="D136">
            <v>0</v>
          </cell>
          <cell r="E136">
            <v>0.69981901303574467</v>
          </cell>
          <cell r="F136">
            <v>0</v>
          </cell>
        </row>
        <row r="137">
          <cell r="A137" t="str">
            <v>J4102</v>
          </cell>
          <cell r="B137" t="str">
            <v>Meyer Lemon Juice Blend</v>
          </cell>
          <cell r="C137">
            <v>0</v>
          </cell>
          <cell r="D137">
            <v>0</v>
          </cell>
          <cell r="E137">
            <v>0.69981901303574467</v>
          </cell>
          <cell r="F137">
            <v>0</v>
          </cell>
        </row>
        <row r="138">
          <cell r="A138" t="str">
            <v>J4103</v>
          </cell>
          <cell r="B138" t="str">
            <v>Meyer Lemon Juice Blend-25%</v>
          </cell>
          <cell r="C138">
            <v>0</v>
          </cell>
          <cell r="D138">
            <v>0</v>
          </cell>
          <cell r="E138">
            <v>0.69981901303574467</v>
          </cell>
          <cell r="F138">
            <v>0</v>
          </cell>
        </row>
        <row r="139">
          <cell r="A139" t="str">
            <v>J4200</v>
          </cell>
          <cell r="B139" t="str">
            <v>Lemon Juice From Con</v>
          </cell>
          <cell r="C139">
            <v>0</v>
          </cell>
          <cell r="D139">
            <v>0</v>
          </cell>
          <cell r="E139">
            <v>0.69981901303574467</v>
          </cell>
          <cell r="F139">
            <v>0</v>
          </cell>
        </row>
        <row r="140">
          <cell r="A140" t="str">
            <v>J4903GL</v>
          </cell>
          <cell r="B140" t="str">
            <v>Lemon Juice Spanish Aseptic Drum, UoM Gln</v>
          </cell>
          <cell r="C140">
            <v>0</v>
          </cell>
          <cell r="D140">
            <v>0</v>
          </cell>
          <cell r="E140">
            <v>0</v>
          </cell>
          <cell r="F140">
            <v>0</v>
          </cell>
        </row>
        <row r="141">
          <cell r="A141" t="str">
            <v>J5000</v>
          </cell>
          <cell r="B141" t="str">
            <v>Marg Mix Reg WIP RTB</v>
          </cell>
          <cell r="C141">
            <v>0</v>
          </cell>
          <cell r="D141">
            <v>0</v>
          </cell>
          <cell r="E141">
            <v>0.69981901303574467</v>
          </cell>
          <cell r="F141">
            <v>0</v>
          </cell>
        </row>
        <row r="142">
          <cell r="A142" t="str">
            <v>J5003</v>
          </cell>
          <cell r="B142" t="str">
            <v>LEMON LIME SOUR MIX</v>
          </cell>
          <cell r="C142">
            <v>0</v>
          </cell>
          <cell r="D142">
            <v>0</v>
          </cell>
          <cell r="E142">
            <v>0.69981901303574467</v>
          </cell>
          <cell r="F142">
            <v>0</v>
          </cell>
        </row>
        <row r="143">
          <cell r="A143" t="str">
            <v>J5005</v>
          </cell>
          <cell r="B143" t="str">
            <v>Marg 3+1</v>
          </cell>
          <cell r="C143">
            <v>1063</v>
          </cell>
          <cell r="D143">
            <v>1063</v>
          </cell>
          <cell r="E143">
            <v>0.69981901303574467</v>
          </cell>
          <cell r="F143">
            <v>743.9076108569966</v>
          </cell>
        </row>
        <row r="144">
          <cell r="A144" t="str">
            <v>J5014</v>
          </cell>
          <cell r="B144" t="str">
            <v>Rykoff Sexton Marg Mix</v>
          </cell>
          <cell r="C144">
            <v>0</v>
          </cell>
          <cell r="D144">
            <v>0</v>
          </cell>
          <cell r="E144">
            <v>0.69981901303574467</v>
          </cell>
          <cell r="F144">
            <v>0</v>
          </cell>
        </row>
        <row r="145">
          <cell r="A145" t="str">
            <v>J5024</v>
          </cell>
          <cell r="B145" t="str">
            <v>Rykoff Sexton Mango Marg Mix</v>
          </cell>
          <cell r="C145">
            <v>0</v>
          </cell>
          <cell r="D145">
            <v>0</v>
          </cell>
          <cell r="E145">
            <v>0.69981901303574467</v>
          </cell>
          <cell r="F145">
            <v>0</v>
          </cell>
        </row>
        <row r="146">
          <cell r="A146" t="str">
            <v>J5420ME</v>
          </cell>
          <cell r="B146" t="str">
            <v>Marg RB ME</v>
          </cell>
          <cell r="C146">
            <v>0</v>
          </cell>
          <cell r="D146">
            <v>0</v>
          </cell>
          <cell r="E146">
            <v>0.69981901303574467</v>
          </cell>
          <cell r="F146">
            <v>0</v>
          </cell>
        </row>
        <row r="147">
          <cell r="A147" t="str">
            <v>J5060</v>
          </cell>
          <cell r="B147" t="str">
            <v>Marg Red Lob 3+1</v>
          </cell>
          <cell r="C147">
            <v>0</v>
          </cell>
          <cell r="D147">
            <v>0</v>
          </cell>
          <cell r="E147">
            <v>0.69981901303574467</v>
          </cell>
          <cell r="F147">
            <v>0</v>
          </cell>
        </row>
        <row r="148">
          <cell r="A148" t="str">
            <v>J5204</v>
          </cell>
          <cell r="B148" t="str">
            <v>Sweet &amp; Sout Mix 3+1</v>
          </cell>
          <cell r="C148">
            <v>0</v>
          </cell>
          <cell r="D148">
            <v>0</v>
          </cell>
          <cell r="E148">
            <v>0.69981901303574467</v>
          </cell>
          <cell r="F148">
            <v>0</v>
          </cell>
        </row>
        <row r="149">
          <cell r="A149" t="str">
            <v>J5314</v>
          </cell>
          <cell r="B149" t="str">
            <v>Bloody Mary Mix</v>
          </cell>
          <cell r="C149">
            <v>0</v>
          </cell>
          <cell r="E149">
            <v>0.69981901303574467</v>
          </cell>
          <cell r="F149">
            <v>0</v>
          </cell>
        </row>
        <row r="150">
          <cell r="A150" t="str">
            <v>J5400</v>
          </cell>
          <cell r="B150" t="str">
            <v>Strw RB</v>
          </cell>
          <cell r="C150">
            <v>0</v>
          </cell>
          <cell r="D150">
            <v>0</v>
          </cell>
          <cell r="E150">
            <v>0.69981901303574467</v>
          </cell>
          <cell r="F150">
            <v>0</v>
          </cell>
        </row>
        <row r="151">
          <cell r="A151" t="str">
            <v>J5805</v>
          </cell>
          <cell r="B151" t="str">
            <v>Lemon Lime Juice</v>
          </cell>
          <cell r="C151">
            <v>0</v>
          </cell>
          <cell r="D151">
            <v>0</v>
          </cell>
          <cell r="E151">
            <v>0.69981901303574467</v>
          </cell>
          <cell r="F151">
            <v>0</v>
          </cell>
        </row>
        <row r="152">
          <cell r="A152" t="str">
            <v>J5806</v>
          </cell>
          <cell r="B152" t="str">
            <v>70% Lime Juice 30% Lemon</v>
          </cell>
          <cell r="C152">
            <v>0</v>
          </cell>
          <cell r="D152">
            <v>0</v>
          </cell>
          <cell r="E152">
            <v>0.69981901303574467</v>
          </cell>
          <cell r="F152">
            <v>0</v>
          </cell>
        </row>
        <row r="153">
          <cell r="A153" t="str">
            <v>J5815</v>
          </cell>
          <cell r="B153" t="str">
            <v>50/50 Lemon Lime Juice</v>
          </cell>
          <cell r="C153">
            <v>1100</v>
          </cell>
          <cell r="D153">
            <v>1100</v>
          </cell>
          <cell r="E153">
            <v>0.69981901303574467</v>
          </cell>
          <cell r="F153">
            <v>769.80091433931909</v>
          </cell>
        </row>
        <row r="154">
          <cell r="A154" t="str">
            <v>J6517</v>
          </cell>
          <cell r="B154" t="str">
            <v>Panera RTU Cherry Limeade Premix</v>
          </cell>
          <cell r="C154">
            <v>0</v>
          </cell>
          <cell r="D154">
            <v>0</v>
          </cell>
          <cell r="E154">
            <v>0.69981901303574467</v>
          </cell>
          <cell r="F154">
            <v>0</v>
          </cell>
        </row>
        <row r="155">
          <cell r="A155" t="str">
            <v>J6001</v>
          </cell>
          <cell r="B155" t="str">
            <v>Lime Juice WIP RTB</v>
          </cell>
          <cell r="C155">
            <v>4509</v>
          </cell>
          <cell r="D155">
            <v>4509</v>
          </cell>
          <cell r="E155">
            <v>0.69981901303574467</v>
          </cell>
          <cell r="F155">
            <v>3155.4839297781728</v>
          </cell>
        </row>
        <row r="156">
          <cell r="A156" t="str">
            <v>J6001B</v>
          </cell>
          <cell r="B156" t="str">
            <v>Lime Juice</v>
          </cell>
          <cell r="C156">
            <v>0</v>
          </cell>
          <cell r="D156">
            <v>0</v>
          </cell>
          <cell r="E156">
            <v>0.69981901303574467</v>
          </cell>
          <cell r="F156">
            <v>0</v>
          </cell>
        </row>
        <row r="157">
          <cell r="A157" t="str">
            <v>J6003</v>
          </cell>
          <cell r="B157" t="str">
            <v>Lime Juice Tote in Gallons</v>
          </cell>
          <cell r="C157">
            <v>55981.08</v>
          </cell>
          <cell r="D157">
            <v>55981.08</v>
          </cell>
          <cell r="F157">
            <v>0</v>
          </cell>
        </row>
        <row r="158">
          <cell r="A158" t="str">
            <v>J6005</v>
          </cell>
          <cell r="B158" t="str">
            <v>Lime Juice from Concentrate</v>
          </cell>
          <cell r="C158">
            <v>0</v>
          </cell>
          <cell r="D158">
            <v>0</v>
          </cell>
          <cell r="E158">
            <v>0.69981901303574467</v>
          </cell>
          <cell r="F158">
            <v>0</v>
          </cell>
        </row>
        <row r="159">
          <cell r="A159" t="str">
            <v>J6105</v>
          </cell>
          <cell r="B159" t="str">
            <v>Key Lime Juice from Conc</v>
          </cell>
          <cell r="C159">
            <v>0</v>
          </cell>
          <cell r="D159">
            <v>0</v>
          </cell>
          <cell r="E159">
            <v>0.69981901303574467</v>
          </cell>
          <cell r="F159">
            <v>0</v>
          </cell>
        </row>
        <row r="160">
          <cell r="A160" t="str">
            <v>J6040</v>
          </cell>
          <cell r="B160" t="str">
            <v>Lime Juice</v>
          </cell>
          <cell r="C160">
            <v>10531</v>
          </cell>
          <cell r="D160">
            <v>10531</v>
          </cell>
          <cell r="F160">
            <v>0</v>
          </cell>
        </row>
        <row r="161">
          <cell r="A161" t="str">
            <v>J6041</v>
          </cell>
          <cell r="B161" t="str">
            <v>Lime Juice Tanker Brazil</v>
          </cell>
          <cell r="C161">
            <v>312</v>
          </cell>
          <cell r="D161">
            <v>312</v>
          </cell>
          <cell r="F161">
            <v>0</v>
          </cell>
        </row>
        <row r="162">
          <cell r="A162" t="str">
            <v>J6101</v>
          </cell>
          <cell r="B162" t="str">
            <v xml:space="preserve">Key Lime Juice  </v>
          </cell>
          <cell r="C162">
            <v>0</v>
          </cell>
          <cell r="D162">
            <v>0</v>
          </cell>
          <cell r="E162">
            <v>0.69981901303574467</v>
          </cell>
          <cell r="F162">
            <v>0</v>
          </cell>
        </row>
        <row r="163">
          <cell r="A163" t="str">
            <v>J6140</v>
          </cell>
          <cell r="B163" t="str">
            <v>Key Lime Juice Tanker</v>
          </cell>
          <cell r="C163">
            <v>0</v>
          </cell>
          <cell r="D163">
            <v>0</v>
          </cell>
          <cell r="F163">
            <v>0</v>
          </cell>
        </row>
        <row r="164">
          <cell r="A164" t="str">
            <v>J6146</v>
          </cell>
          <cell r="B164" t="str">
            <v>Key Lime Juice Drum</v>
          </cell>
          <cell r="C164">
            <v>13905</v>
          </cell>
          <cell r="D164">
            <v>13905</v>
          </cell>
          <cell r="F164">
            <v>0</v>
          </cell>
        </row>
        <row r="165">
          <cell r="A165" t="str">
            <v>J6217</v>
          </cell>
          <cell r="B165" t="str">
            <v>Sweet lime base</v>
          </cell>
          <cell r="C165">
            <v>0</v>
          </cell>
          <cell r="D165">
            <v>0</v>
          </cell>
          <cell r="E165">
            <v>0.69981901303574467</v>
          </cell>
          <cell r="F165">
            <v>0</v>
          </cell>
        </row>
        <row r="166">
          <cell r="A166" t="str">
            <v>J6903</v>
          </cell>
          <cell r="B166" t="str">
            <v>Lime Juice Drum</v>
          </cell>
          <cell r="C166">
            <v>0</v>
          </cell>
          <cell r="D166">
            <v>0</v>
          </cell>
          <cell r="F166">
            <v>0</v>
          </cell>
        </row>
        <row r="167">
          <cell r="A167" t="str">
            <v>J6592</v>
          </cell>
          <cell r="B167" t="str">
            <v>Limeade 3+1</v>
          </cell>
          <cell r="C167">
            <v>0</v>
          </cell>
          <cell r="D167">
            <v>0</v>
          </cell>
          <cell r="E167">
            <v>0.69981901303574467</v>
          </cell>
          <cell r="F167">
            <v>0</v>
          </cell>
        </row>
        <row r="168">
          <cell r="A168" t="str">
            <v>J6596</v>
          </cell>
          <cell r="B168" t="str">
            <v>Watermelon Limeade</v>
          </cell>
          <cell r="C168">
            <v>0</v>
          </cell>
          <cell r="D168">
            <v>0</v>
          </cell>
          <cell r="E168">
            <v>0.69981901303574467</v>
          </cell>
          <cell r="F168">
            <v>0</v>
          </cell>
        </row>
        <row r="169">
          <cell r="A169" t="str">
            <v>J6910</v>
          </cell>
          <cell r="B169" t="str">
            <v>Lime Juice Tote</v>
          </cell>
          <cell r="C169">
            <v>0</v>
          </cell>
          <cell r="D169">
            <v>0</v>
          </cell>
          <cell r="F169">
            <v>0</v>
          </cell>
        </row>
        <row r="170">
          <cell r="A170" t="str">
            <v>J7008</v>
          </cell>
          <cell r="B170" t="str">
            <v>Brazilian OJ Tanker</v>
          </cell>
          <cell r="C170">
            <v>0</v>
          </cell>
          <cell r="D170">
            <v>0</v>
          </cell>
          <cell r="F170">
            <v>0</v>
          </cell>
        </row>
        <row r="171">
          <cell r="A171" t="str">
            <v>J7023</v>
          </cell>
          <cell r="B171" t="str">
            <v>Clementine Tangerine Juice</v>
          </cell>
          <cell r="C171">
            <v>0</v>
          </cell>
          <cell r="D171">
            <v>0</v>
          </cell>
          <cell r="E171">
            <v>0.69981901303574467</v>
          </cell>
          <cell r="F171">
            <v>0</v>
          </cell>
        </row>
        <row r="172">
          <cell r="A172" t="str">
            <v>J7042</v>
          </cell>
          <cell r="B172" t="str">
            <v>OJ SG</v>
          </cell>
          <cell r="C172">
            <v>0</v>
          </cell>
          <cell r="D172">
            <v>0</v>
          </cell>
          <cell r="E172">
            <v>0.69981901303574467</v>
          </cell>
          <cell r="F172">
            <v>0</v>
          </cell>
        </row>
        <row r="173">
          <cell r="A173" t="str">
            <v>J7043</v>
          </cell>
          <cell r="B173" t="str">
            <v>OJ Mexican Valencia</v>
          </cell>
          <cell r="C173">
            <v>0</v>
          </cell>
          <cell r="D173">
            <v>0</v>
          </cell>
          <cell r="E173">
            <v>0.69981901303574467</v>
          </cell>
          <cell r="F173">
            <v>0</v>
          </cell>
        </row>
        <row r="174">
          <cell r="A174" t="str">
            <v>J7045</v>
          </cell>
          <cell r="B174" t="str">
            <v>OJ SG VALENCIA</v>
          </cell>
          <cell r="C174">
            <v>0</v>
          </cell>
          <cell r="D174">
            <v>0</v>
          </cell>
          <cell r="E174">
            <v>0.69981901303574467</v>
          </cell>
          <cell r="F174">
            <v>0</v>
          </cell>
        </row>
        <row r="175">
          <cell r="A175" t="str">
            <v>J7046</v>
          </cell>
          <cell r="B175" t="str">
            <v>OJ FL Juice POJ40</v>
          </cell>
          <cell r="C175">
            <v>0</v>
          </cell>
          <cell r="D175">
            <v>0</v>
          </cell>
          <cell r="F175">
            <v>0</v>
          </cell>
        </row>
        <row r="176">
          <cell r="A176" t="str">
            <v>J7047</v>
          </cell>
          <cell r="B176" t="str">
            <v>OJ FL Juice POJ41 East Coast Orange Juice Blend</v>
          </cell>
          <cell r="C176">
            <v>0</v>
          </cell>
          <cell r="D176">
            <v>0</v>
          </cell>
          <cell r="F176">
            <v>0</v>
          </cell>
        </row>
        <row r="177">
          <cell r="A177" t="str">
            <v>J7050</v>
          </cell>
          <cell r="B177" t="str">
            <v>OJ for Panera AL POJ02</v>
          </cell>
          <cell r="C177">
            <v>0</v>
          </cell>
          <cell r="D177">
            <v>0</v>
          </cell>
          <cell r="F177">
            <v>0</v>
          </cell>
        </row>
        <row r="178">
          <cell r="A178" t="str">
            <v>J7053</v>
          </cell>
          <cell r="B178" t="str">
            <v>OJ Mexican Valencia in totes</v>
          </cell>
          <cell r="C178">
            <v>71859.3</v>
          </cell>
          <cell r="D178">
            <v>71859.3</v>
          </cell>
          <cell r="F178">
            <v>0</v>
          </cell>
        </row>
        <row r="179">
          <cell r="A179" t="str">
            <v>J7099</v>
          </cell>
          <cell r="B179" t="str">
            <v xml:space="preserve"> NFC Orange Mexican Top Note</v>
          </cell>
          <cell r="C179">
            <v>216373.32</v>
          </cell>
          <cell r="D179">
            <v>216373.32</v>
          </cell>
          <cell r="F179">
            <v>0</v>
          </cell>
        </row>
        <row r="180">
          <cell r="A180" t="str">
            <v>J7350</v>
          </cell>
          <cell r="B180" t="str">
            <v>Noble Tangerine Guava Mango Juice</v>
          </cell>
          <cell r="C180">
            <v>0</v>
          </cell>
          <cell r="D180">
            <v>0</v>
          </cell>
          <cell r="E180">
            <v>0.69981901303574467</v>
          </cell>
          <cell r="F180">
            <v>0</v>
          </cell>
        </row>
        <row r="181">
          <cell r="A181" t="str">
            <v>J7360</v>
          </cell>
          <cell r="B181" t="str">
            <v>Noble Royal Mandarin Green</v>
          </cell>
          <cell r="C181">
            <v>0</v>
          </cell>
          <cell r="D181">
            <v>0</v>
          </cell>
          <cell r="E181">
            <v>0.69981901303574467</v>
          </cell>
          <cell r="F181">
            <v>0</v>
          </cell>
        </row>
        <row r="182">
          <cell r="A182" t="str">
            <v>J7400</v>
          </cell>
          <cell r="B182" t="str">
            <v>Noble Blood Orange Juice</v>
          </cell>
          <cell r="C182">
            <v>0</v>
          </cell>
          <cell r="D182">
            <v>0</v>
          </cell>
          <cell r="E182">
            <v>0.69981901303574467</v>
          </cell>
          <cell r="F182">
            <v>0</v>
          </cell>
        </row>
        <row r="183">
          <cell r="A183" t="str">
            <v>J7410</v>
          </cell>
          <cell r="B183" t="str">
            <v>OJ Organic Tang</v>
          </cell>
          <cell r="C183">
            <v>0</v>
          </cell>
          <cell r="D183">
            <v>0</v>
          </cell>
          <cell r="E183">
            <v>0.69981901303574467</v>
          </cell>
          <cell r="F183">
            <v>0</v>
          </cell>
        </row>
        <row r="184">
          <cell r="A184" t="str">
            <v>J7415</v>
          </cell>
          <cell r="B184" t="str">
            <v>100% Valencia Orange Juice</v>
          </cell>
          <cell r="C184">
            <v>648</v>
          </cell>
          <cell r="D184">
            <v>648</v>
          </cell>
          <cell r="F184">
            <v>0</v>
          </cell>
        </row>
        <row r="185">
          <cell r="A185" t="str">
            <v>J7426</v>
          </cell>
          <cell r="B185" t="str">
            <v>Organic Sunburst Tangerine Juice</v>
          </cell>
          <cell r="C185">
            <v>0</v>
          </cell>
          <cell r="D185">
            <v>0</v>
          </cell>
          <cell r="E185">
            <v>0.69981901303574467</v>
          </cell>
          <cell r="F185">
            <v>0</v>
          </cell>
        </row>
        <row r="186">
          <cell r="A186" t="str">
            <v>J7500</v>
          </cell>
          <cell r="B186" t="str">
            <v>Ultra Lite Past OJ RTB</v>
          </cell>
          <cell r="C186">
            <v>21806</v>
          </cell>
          <cell r="D186">
            <v>21806</v>
          </cell>
          <cell r="E186">
            <v>0.69981901303574467</v>
          </cell>
          <cell r="F186">
            <v>15260.253398257448</v>
          </cell>
        </row>
        <row r="187">
          <cell r="A187" t="str">
            <v>J7501</v>
          </cell>
          <cell r="B187" t="str">
            <v>OJ Valencia</v>
          </cell>
          <cell r="C187">
            <v>0</v>
          </cell>
          <cell r="D187">
            <v>0</v>
          </cell>
          <cell r="E187">
            <v>0.69981901303574467</v>
          </cell>
          <cell r="F187">
            <v>0</v>
          </cell>
        </row>
        <row r="188">
          <cell r="A188" t="str">
            <v>J7502</v>
          </cell>
          <cell r="B188" t="str">
            <v>OJ  Early Mid</v>
          </cell>
          <cell r="C188">
            <v>0</v>
          </cell>
          <cell r="D188">
            <v>0</v>
          </cell>
          <cell r="E188">
            <v>0.69981901303574467</v>
          </cell>
          <cell r="F188">
            <v>0</v>
          </cell>
        </row>
        <row r="189">
          <cell r="A189" t="str">
            <v>J7507</v>
          </cell>
          <cell r="B189" t="str">
            <v>Debittered Navel OJ USA Tanker</v>
          </cell>
          <cell r="C189">
            <v>0</v>
          </cell>
          <cell r="D189">
            <v>0</v>
          </cell>
          <cell r="F189">
            <v>0</v>
          </cell>
        </row>
        <row r="190">
          <cell r="A190" t="str">
            <v>J7511</v>
          </cell>
          <cell r="B190" t="str">
            <v>100% Valencia Orange Juice</v>
          </cell>
          <cell r="C190">
            <v>0</v>
          </cell>
          <cell r="D190">
            <v>0</v>
          </cell>
          <cell r="E190">
            <v>0.69981901303574467</v>
          </cell>
          <cell r="F190">
            <v>0</v>
          </cell>
        </row>
        <row r="191">
          <cell r="A191" t="str">
            <v>J7022</v>
          </cell>
          <cell r="B191" t="str">
            <v>Tang Juice</v>
          </cell>
          <cell r="C191">
            <v>0</v>
          </cell>
          <cell r="D191">
            <v>0</v>
          </cell>
          <cell r="F191">
            <v>0</v>
          </cell>
        </row>
        <row r="192">
          <cell r="A192" t="str">
            <v>J7041</v>
          </cell>
          <cell r="B192" t="str">
            <v>OJ Mex Juice</v>
          </cell>
          <cell r="C192">
            <v>0</v>
          </cell>
          <cell r="D192">
            <v>0</v>
          </cell>
          <cell r="F192">
            <v>0</v>
          </cell>
        </row>
        <row r="193">
          <cell r="A193" t="str">
            <v>J7540</v>
          </cell>
          <cell r="B193" t="str">
            <v>No Pulp OJ</v>
          </cell>
          <cell r="C193">
            <v>14350</v>
          </cell>
          <cell r="D193">
            <v>14350</v>
          </cell>
          <cell r="E193">
            <v>0.69981901303574467</v>
          </cell>
          <cell r="F193">
            <v>10042.402837062937</v>
          </cell>
        </row>
        <row r="194">
          <cell r="A194" t="str">
            <v>J7541</v>
          </cell>
          <cell r="B194" t="str">
            <v>OJ Mexican Juice</v>
          </cell>
          <cell r="C194">
            <v>0</v>
          </cell>
          <cell r="D194">
            <v>0</v>
          </cell>
          <cell r="F194">
            <v>0</v>
          </cell>
        </row>
        <row r="195">
          <cell r="A195" t="str">
            <v>J7542</v>
          </cell>
          <cell r="B195" t="str">
            <v>California Valencia Tanker</v>
          </cell>
          <cell r="C195">
            <v>0</v>
          </cell>
          <cell r="D195">
            <v>0</v>
          </cell>
          <cell r="F195">
            <v>0</v>
          </cell>
        </row>
        <row r="196">
          <cell r="A196" t="str">
            <v>J7544</v>
          </cell>
          <cell r="B196" t="str">
            <v>Pasteurized California Mixed Varietal Orange Juice Tanker</v>
          </cell>
          <cell r="C196">
            <v>19</v>
          </cell>
          <cell r="D196">
            <v>19</v>
          </cell>
          <cell r="F196">
            <v>0</v>
          </cell>
        </row>
        <row r="197">
          <cell r="A197" t="str">
            <v>J7545</v>
          </cell>
          <cell r="B197" t="str">
            <v>OJ Mexican Juice in Totes</v>
          </cell>
          <cell r="C197">
            <v>0</v>
          </cell>
          <cell r="D197">
            <v>0</v>
          </cell>
          <cell r="F197">
            <v>0</v>
          </cell>
        </row>
        <row r="198">
          <cell r="A198" t="str">
            <v>J7550</v>
          </cell>
          <cell r="B198" t="str">
            <v>OJ Valencia Juice</v>
          </cell>
          <cell r="C198">
            <v>0</v>
          </cell>
          <cell r="D198">
            <v>0</v>
          </cell>
          <cell r="E198">
            <v>0.69981901303574467</v>
          </cell>
          <cell r="F198">
            <v>0</v>
          </cell>
        </row>
        <row r="199">
          <cell r="A199" t="str">
            <v>J7570</v>
          </cell>
          <cell r="B199" t="str">
            <v>OJ Extra Pulp</v>
          </cell>
          <cell r="C199">
            <v>0</v>
          </cell>
          <cell r="D199">
            <v>0</v>
          </cell>
          <cell r="E199">
            <v>0.69981901303574467</v>
          </cell>
          <cell r="F199">
            <v>0</v>
          </cell>
        </row>
        <row r="200">
          <cell r="A200" t="str">
            <v>J7580</v>
          </cell>
          <cell r="B200" t="str">
            <v>NOBLE OJ BLEND</v>
          </cell>
          <cell r="C200">
            <v>0</v>
          </cell>
          <cell r="D200">
            <v>0</v>
          </cell>
          <cell r="E200">
            <v>0.69981901303574467</v>
          </cell>
          <cell r="F200">
            <v>0</v>
          </cell>
        </row>
        <row r="201">
          <cell r="A201" t="str">
            <v>J7600</v>
          </cell>
          <cell r="B201" t="str">
            <v>Noble Organic Orange Juice</v>
          </cell>
          <cell r="C201">
            <v>0</v>
          </cell>
          <cell r="D201">
            <v>0</v>
          </cell>
          <cell r="E201">
            <v>0.69981901303574467</v>
          </cell>
          <cell r="F201">
            <v>0</v>
          </cell>
        </row>
        <row r="202">
          <cell r="A202" t="str">
            <v>J7602</v>
          </cell>
          <cell r="B202" t="str">
            <v>Organic Orange Tangerine Juice</v>
          </cell>
          <cell r="C202">
            <v>0</v>
          </cell>
          <cell r="D202">
            <v>0</v>
          </cell>
          <cell r="E202">
            <v>0.69981901303574467</v>
          </cell>
          <cell r="F202">
            <v>0</v>
          </cell>
        </row>
        <row r="203">
          <cell r="A203" t="str">
            <v>J7751</v>
          </cell>
          <cell r="B203" t="str">
            <v>Zing Tangerine Blend</v>
          </cell>
          <cell r="C203">
            <v>0</v>
          </cell>
          <cell r="D203">
            <v>0</v>
          </cell>
          <cell r="E203">
            <v>0.69981901303574467</v>
          </cell>
          <cell r="F203">
            <v>0</v>
          </cell>
        </row>
        <row r="204">
          <cell r="A204" t="str">
            <v>J7850</v>
          </cell>
          <cell r="B204" t="str">
            <v>Noble Tangerine Juice</v>
          </cell>
          <cell r="C204">
            <v>0</v>
          </cell>
          <cell r="D204">
            <v>0</v>
          </cell>
          <cell r="E204">
            <v>0.69981901303574467</v>
          </cell>
          <cell r="F204">
            <v>0</v>
          </cell>
        </row>
        <row r="205">
          <cell r="A205" t="str">
            <v>J7851</v>
          </cell>
          <cell r="B205" t="str">
            <v>Noble Tang Clementine Blend</v>
          </cell>
          <cell r="C205">
            <v>0</v>
          </cell>
          <cell r="D205">
            <v>0</v>
          </cell>
          <cell r="E205">
            <v>0.69981901303574467</v>
          </cell>
          <cell r="F205">
            <v>0</v>
          </cell>
        </row>
        <row r="206">
          <cell r="A206" t="str">
            <v>J7852</v>
          </cell>
          <cell r="B206" t="str">
            <v>Noble Tangerine Clementine w/ Dancy oil</v>
          </cell>
          <cell r="C206">
            <v>0</v>
          </cell>
          <cell r="D206">
            <v>0</v>
          </cell>
          <cell r="E206">
            <v>0.69981901303574467</v>
          </cell>
          <cell r="F206">
            <v>0</v>
          </cell>
        </row>
        <row r="207">
          <cell r="A207" t="str">
            <v>J7823</v>
          </cell>
          <cell r="B207" t="str">
            <v>Wendy's Orange Juice 3+1</v>
          </cell>
          <cell r="C207">
            <v>0</v>
          </cell>
          <cell r="D207">
            <v>0</v>
          </cell>
          <cell r="E207">
            <v>0.69981901303574467</v>
          </cell>
          <cell r="F207">
            <v>0</v>
          </cell>
        </row>
        <row r="208">
          <cell r="A208" t="str">
            <v>J7901</v>
          </cell>
          <cell r="B208" t="str">
            <v>Lime/OJ blend drums</v>
          </cell>
          <cell r="C208">
            <v>0</v>
          </cell>
          <cell r="D208">
            <v>0</v>
          </cell>
          <cell r="E208">
            <v>0.69981901303574467</v>
          </cell>
          <cell r="F208">
            <v>0</v>
          </cell>
        </row>
        <row r="209">
          <cell r="A209" t="str">
            <v>J7904</v>
          </cell>
          <cell r="B209" t="str">
            <v>OJ Valencia AZ</v>
          </cell>
          <cell r="C209">
            <v>0</v>
          </cell>
          <cell r="D209">
            <v>0</v>
          </cell>
          <cell r="E209">
            <v>0.69981901303574467</v>
          </cell>
          <cell r="F209">
            <v>0</v>
          </cell>
        </row>
        <row r="210">
          <cell r="A210" t="str">
            <v>J7917</v>
          </cell>
          <cell r="B210" t="str">
            <v>Citrofruit Valencia Tote</v>
          </cell>
          <cell r="C210">
            <v>0</v>
          </cell>
          <cell r="D210">
            <v>0</v>
          </cell>
          <cell r="F210">
            <v>0</v>
          </cell>
        </row>
        <row r="211">
          <cell r="A211" t="str">
            <v>J8040</v>
          </cell>
          <cell r="B211" t="str">
            <v>Red Grapefruit Juice NFC Tanker</v>
          </cell>
          <cell r="C211">
            <v>0</v>
          </cell>
          <cell r="D211">
            <v>0</v>
          </cell>
          <cell r="E211">
            <v>0.69981901303574467</v>
          </cell>
          <cell r="F211">
            <v>0</v>
          </cell>
        </row>
        <row r="212">
          <cell r="A212" t="str">
            <v>J8270</v>
          </cell>
          <cell r="B212" t="str">
            <v>Extra Pulp Gft</v>
          </cell>
          <cell r="C212">
            <v>0</v>
          </cell>
          <cell r="D212">
            <v>0</v>
          </cell>
          <cell r="E212">
            <v>0.69981901303574467</v>
          </cell>
          <cell r="F212">
            <v>0</v>
          </cell>
        </row>
        <row r="213">
          <cell r="A213" t="str">
            <v>J8414</v>
          </cell>
          <cell r="B213" t="str">
            <v>Indian River Red Gft Juice</v>
          </cell>
          <cell r="C213">
            <v>0</v>
          </cell>
          <cell r="D213">
            <v>0</v>
          </cell>
          <cell r="E213">
            <v>0</v>
          </cell>
          <cell r="F213">
            <v>0</v>
          </cell>
        </row>
        <row r="214">
          <cell r="A214" t="str">
            <v>J8414DB</v>
          </cell>
          <cell r="B214" t="str">
            <v>Indian River Red Gft Juice debittered</v>
          </cell>
          <cell r="C214">
            <v>0</v>
          </cell>
          <cell r="D214">
            <v>0</v>
          </cell>
          <cell r="E214">
            <v>0.69981901303574467</v>
          </cell>
          <cell r="F214">
            <v>0</v>
          </cell>
        </row>
        <row r="215">
          <cell r="A215" t="str">
            <v>J8415</v>
          </cell>
          <cell r="B215" t="str">
            <v>Florida Red Grapefruit Juice</v>
          </cell>
          <cell r="C215">
            <v>0</v>
          </cell>
          <cell r="D215">
            <v>0</v>
          </cell>
          <cell r="F215">
            <v>0</v>
          </cell>
        </row>
        <row r="216">
          <cell r="A216" t="str">
            <v>J8415PA</v>
          </cell>
          <cell r="B216" t="str">
            <v>Florida Red Grapefruit Juice 5 GL Pail</v>
          </cell>
          <cell r="C216">
            <v>0</v>
          </cell>
          <cell r="D216">
            <v>0</v>
          </cell>
          <cell r="F216">
            <v>0</v>
          </cell>
        </row>
        <row r="217">
          <cell r="A217" t="str">
            <v>J8500</v>
          </cell>
          <cell r="B217" t="str">
            <v>Ultra Lite Past RGFT RTB WIP</v>
          </cell>
          <cell r="C217">
            <v>0</v>
          </cell>
          <cell r="D217">
            <v>0</v>
          </cell>
          <cell r="E217">
            <v>0.69981901303574467</v>
          </cell>
          <cell r="F217">
            <v>0</v>
          </cell>
        </row>
        <row r="218">
          <cell r="A218" t="str">
            <v>J8500DB</v>
          </cell>
          <cell r="B218" t="str">
            <v>Red Grapefruit Juice debittered</v>
          </cell>
          <cell r="C218">
            <v>0</v>
          </cell>
          <cell r="D218">
            <v>0</v>
          </cell>
          <cell r="E218">
            <v>0.69981901303574467</v>
          </cell>
          <cell r="F218">
            <v>0</v>
          </cell>
        </row>
        <row r="219">
          <cell r="A219" t="str">
            <v>J8501</v>
          </cell>
          <cell r="B219" t="str">
            <v>Gft Organic</v>
          </cell>
          <cell r="C219">
            <v>0</v>
          </cell>
          <cell r="D219">
            <v>0</v>
          </cell>
          <cell r="E219">
            <v>0.69981901303574467</v>
          </cell>
          <cell r="F219">
            <v>0</v>
          </cell>
        </row>
        <row r="220">
          <cell r="A220" t="str">
            <v>J8504</v>
          </cell>
          <cell r="B220" t="str">
            <v>Texas Rio Red Grapefruit Juice</v>
          </cell>
          <cell r="C220">
            <v>26997</v>
          </cell>
          <cell r="D220">
            <v>26997</v>
          </cell>
          <cell r="F220">
            <v>0</v>
          </cell>
        </row>
        <row r="221">
          <cell r="A221" t="str">
            <v>J8505</v>
          </cell>
          <cell r="B221" t="str">
            <v>Grapefruit Juice Internal Drum</v>
          </cell>
          <cell r="C221">
            <v>0</v>
          </cell>
          <cell r="D221">
            <v>0</v>
          </cell>
          <cell r="F221">
            <v>0</v>
          </cell>
        </row>
        <row r="222">
          <cell r="A222" t="str">
            <v>J8554</v>
          </cell>
          <cell r="B222" t="str">
            <v>Red Grapefruit Juice Rykoff Sexton Blend</v>
          </cell>
          <cell r="C222">
            <v>0</v>
          </cell>
          <cell r="D222">
            <v>0</v>
          </cell>
          <cell r="F222">
            <v>0</v>
          </cell>
        </row>
        <row r="223">
          <cell r="A223" t="str">
            <v>J9035</v>
          </cell>
          <cell r="B223" t="str">
            <v>Panera LA RTU</v>
          </cell>
          <cell r="C223">
            <v>0</v>
          </cell>
          <cell r="D223">
            <v>0</v>
          </cell>
          <cell r="E223">
            <v>0.69981901303574467</v>
          </cell>
          <cell r="F223">
            <v>0</v>
          </cell>
        </row>
        <row r="224">
          <cell r="A224" t="str">
            <v>J9000</v>
          </cell>
          <cell r="B224" t="str">
            <v>LA RTB</v>
          </cell>
          <cell r="C224">
            <v>81</v>
          </cell>
          <cell r="D224">
            <v>81</v>
          </cell>
          <cell r="E224">
            <v>0.69981901303574467</v>
          </cell>
          <cell r="F224">
            <v>56.685340055895317</v>
          </cell>
        </row>
        <row r="225">
          <cell r="A225" t="str">
            <v>J9001</v>
          </cell>
          <cell r="B225" t="str">
            <v>Past LA RTB</v>
          </cell>
          <cell r="C225">
            <v>0</v>
          </cell>
          <cell r="D225">
            <v>0</v>
          </cell>
          <cell r="E225">
            <v>0.69981901303574467</v>
          </cell>
          <cell r="F225">
            <v>0</v>
          </cell>
        </row>
        <row r="226">
          <cell r="A226" t="str">
            <v>J9038</v>
          </cell>
          <cell r="B226" t="str">
            <v>Panera Agave LA RTU</v>
          </cell>
          <cell r="C226">
            <v>0</v>
          </cell>
          <cell r="D226">
            <v>0</v>
          </cell>
          <cell r="E226">
            <v>0.69981901303574467</v>
          </cell>
          <cell r="F226">
            <v>0</v>
          </cell>
        </row>
        <row r="227">
          <cell r="A227" t="str">
            <v>J9105</v>
          </cell>
          <cell r="B227" t="str">
            <v>Captain D's 4+1 LA</v>
          </cell>
          <cell r="C227">
            <v>0</v>
          </cell>
          <cell r="D227">
            <v>0</v>
          </cell>
          <cell r="E227">
            <v>0.69981901303574467</v>
          </cell>
          <cell r="F227">
            <v>0</v>
          </cell>
        </row>
        <row r="228">
          <cell r="A228" t="str">
            <v>J9112</v>
          </cell>
          <cell r="B228" t="str">
            <v>Sweetened Lemon Juice Blend</v>
          </cell>
          <cell r="C228">
            <v>0</v>
          </cell>
          <cell r="D228">
            <v>0</v>
          </cell>
          <cell r="E228">
            <v>0.69981901303574467</v>
          </cell>
          <cell r="F228">
            <v>0</v>
          </cell>
        </row>
        <row r="229">
          <cell r="A229" t="str">
            <v>J9140</v>
          </cell>
          <cell r="B229" t="str">
            <v xml:space="preserve">LA 5+1   </v>
          </cell>
          <cell r="C229">
            <v>0</v>
          </cell>
          <cell r="D229">
            <v>0</v>
          </cell>
          <cell r="E229">
            <v>0.69981901303574467</v>
          </cell>
          <cell r="F229">
            <v>0</v>
          </cell>
        </row>
        <row r="230">
          <cell r="A230" t="str">
            <v>J9143</v>
          </cell>
          <cell r="B230" t="str">
            <v>Panera 4+1 Agave LA Cond</v>
          </cell>
          <cell r="C230">
            <v>0</v>
          </cell>
          <cell r="D230">
            <v>0</v>
          </cell>
          <cell r="E230">
            <v>0.69981901303574467</v>
          </cell>
          <cell r="F230">
            <v>0</v>
          </cell>
        </row>
        <row r="231">
          <cell r="A231" t="str">
            <v>J9144</v>
          </cell>
          <cell r="B231" t="str">
            <v>Panera 5+1 Agave LA Cond</v>
          </cell>
          <cell r="C231">
            <v>0</v>
          </cell>
          <cell r="D231">
            <v>0</v>
          </cell>
          <cell r="E231">
            <v>0.69981901303574467</v>
          </cell>
          <cell r="F231">
            <v>0</v>
          </cell>
        </row>
        <row r="232">
          <cell r="A232" t="str">
            <v>J9145</v>
          </cell>
          <cell r="B232" t="str">
            <v>3+1 Blood Orange Carrot LA</v>
          </cell>
          <cell r="C232">
            <v>0</v>
          </cell>
          <cell r="D232">
            <v>0</v>
          </cell>
          <cell r="E232">
            <v>0.69981901303574467</v>
          </cell>
          <cell r="F232">
            <v>0</v>
          </cell>
        </row>
        <row r="233">
          <cell r="A233" t="str">
            <v>J9163</v>
          </cell>
          <cell r="B233" t="str">
            <v>Panera 5+1 Agave LA Cond Alt Spec 3</v>
          </cell>
          <cell r="C233">
            <v>0</v>
          </cell>
          <cell r="D233">
            <v>0</v>
          </cell>
          <cell r="E233">
            <v>0.69981901303574467</v>
          </cell>
          <cell r="F233">
            <v>0</v>
          </cell>
        </row>
        <row r="234">
          <cell r="A234" t="str">
            <v>J9222</v>
          </cell>
          <cell r="B234" t="str">
            <v>Jamba LA</v>
          </cell>
          <cell r="C234">
            <v>0</v>
          </cell>
          <cell r="D234">
            <v>0</v>
          </cell>
          <cell r="E234">
            <v>0.69981901303574467</v>
          </cell>
          <cell r="F234">
            <v>0</v>
          </cell>
        </row>
        <row r="235">
          <cell r="A235" t="str">
            <v>J9225</v>
          </cell>
          <cell r="B235" t="str">
            <v>LA Jamba 1+1</v>
          </cell>
          <cell r="C235">
            <v>0</v>
          </cell>
          <cell r="D235">
            <v>0</v>
          </cell>
          <cell r="E235">
            <v>0.69981901303574467</v>
          </cell>
          <cell r="F235">
            <v>0</v>
          </cell>
        </row>
        <row r="236">
          <cell r="A236" t="str">
            <v>J9250</v>
          </cell>
          <cell r="B236" t="str">
            <v>LA 2+1 RTB</v>
          </cell>
          <cell r="C236">
            <v>0</v>
          </cell>
          <cell r="D236">
            <v>0</v>
          </cell>
          <cell r="E236">
            <v>0.69981901303574467</v>
          </cell>
          <cell r="F236">
            <v>0</v>
          </cell>
        </row>
        <row r="237">
          <cell r="A237" t="str">
            <v>J9251</v>
          </cell>
          <cell r="B237" t="str">
            <v>LA Back Yard Burger 2+1 RTB</v>
          </cell>
          <cell r="C237">
            <v>0</v>
          </cell>
          <cell r="D237">
            <v>0</v>
          </cell>
          <cell r="E237">
            <v>0.69981901303574467</v>
          </cell>
          <cell r="F237">
            <v>0</v>
          </cell>
        </row>
        <row r="238">
          <cell r="A238" t="str">
            <v>J9300</v>
          </cell>
          <cell r="B238" t="str">
            <v>LA 3+1 RTB</v>
          </cell>
          <cell r="C238">
            <v>0</v>
          </cell>
          <cell r="D238">
            <v>0</v>
          </cell>
          <cell r="E238">
            <v>0.69981901303574467</v>
          </cell>
          <cell r="F238">
            <v>0</v>
          </cell>
        </row>
        <row r="239">
          <cell r="A239" t="str">
            <v>J9324</v>
          </cell>
          <cell r="B239" t="str">
            <v>Meyer Strw LA</v>
          </cell>
          <cell r="C239">
            <v>0</v>
          </cell>
          <cell r="D239">
            <v>0</v>
          </cell>
          <cell r="E239">
            <v>0.69981901303574467</v>
          </cell>
          <cell r="F239">
            <v>0</v>
          </cell>
        </row>
        <row r="240">
          <cell r="A240" t="str">
            <v>J9334</v>
          </cell>
          <cell r="B240" t="str">
            <v>Rykoff Sexton Prickly Pear Lemonade</v>
          </cell>
          <cell r="C240">
            <v>0</v>
          </cell>
          <cell r="D240">
            <v>0</v>
          </cell>
          <cell r="E240">
            <v>0.69981901303574467</v>
          </cell>
          <cell r="F240">
            <v>0</v>
          </cell>
        </row>
        <row r="241">
          <cell r="A241" t="str">
            <v>J9226</v>
          </cell>
          <cell r="B241" t="str">
            <v>LA Jamba 2.5+1</v>
          </cell>
          <cell r="C241">
            <v>0</v>
          </cell>
          <cell r="D241">
            <v>0</v>
          </cell>
          <cell r="E241">
            <v>0.69981901303574467</v>
          </cell>
          <cell r="F241">
            <v>0</v>
          </cell>
        </row>
        <row r="242">
          <cell r="A242" t="str">
            <v>J9314</v>
          </cell>
          <cell r="B242" t="str">
            <v>Meyer LA</v>
          </cell>
          <cell r="C242">
            <v>0</v>
          </cell>
          <cell r="D242">
            <v>0</v>
          </cell>
          <cell r="E242">
            <v>0.69981901303574467</v>
          </cell>
          <cell r="F242">
            <v>0</v>
          </cell>
        </row>
        <row r="243">
          <cell r="A243" t="str">
            <v>J9314M</v>
          </cell>
          <cell r="B243" t="str">
            <v>Meyer LA</v>
          </cell>
          <cell r="C243">
            <v>0</v>
          </cell>
          <cell r="D243">
            <v>0</v>
          </cell>
          <cell r="E243">
            <v>0.69981901303574467</v>
          </cell>
          <cell r="F243">
            <v>0</v>
          </cell>
        </row>
        <row r="244">
          <cell r="A244" t="str">
            <v>J9400</v>
          </cell>
          <cell r="B244" t="str">
            <v>LA 4+1 RTB</v>
          </cell>
          <cell r="C244">
            <v>0</v>
          </cell>
          <cell r="D244">
            <v>0</v>
          </cell>
          <cell r="E244">
            <v>0.69981901303574467</v>
          </cell>
          <cell r="F244">
            <v>0</v>
          </cell>
        </row>
        <row r="245">
          <cell r="A245" t="str">
            <v>J9405</v>
          </cell>
          <cell r="B245" t="str">
            <v>LA Fatburger 4+1 RTB</v>
          </cell>
          <cell r="C245">
            <v>0</v>
          </cell>
          <cell r="D245">
            <v>0</v>
          </cell>
          <cell r="E245">
            <v>0.69981901303574467</v>
          </cell>
          <cell r="F245">
            <v>0</v>
          </cell>
        </row>
        <row r="246">
          <cell r="A246" t="str">
            <v>J9410</v>
          </cell>
          <cell r="B246" t="str">
            <v>Old Fashioned Lemonade Mix</v>
          </cell>
          <cell r="C246">
            <v>0</v>
          </cell>
          <cell r="D246">
            <v>0</v>
          </cell>
          <cell r="E246">
            <v>0.69981901303574467</v>
          </cell>
          <cell r="F246">
            <v>0</v>
          </cell>
        </row>
        <row r="247">
          <cell r="A247" t="str">
            <v>J9415</v>
          </cell>
          <cell r="B247" t="str">
            <v>LA OSSI 4+1 RTB</v>
          </cell>
          <cell r="C247">
            <v>0</v>
          </cell>
          <cell r="D247">
            <v>0</v>
          </cell>
          <cell r="E247">
            <v>0.69981901303574467</v>
          </cell>
          <cell r="F247">
            <v>0</v>
          </cell>
        </row>
        <row r="248">
          <cell r="A248" t="str">
            <v>J9450</v>
          </cell>
          <cell r="B248" t="str">
            <v>LA J&amp;J</v>
          </cell>
          <cell r="C248">
            <v>0</v>
          </cell>
          <cell r="D248">
            <v>0</v>
          </cell>
          <cell r="E248">
            <v>0.69981901303574467</v>
          </cell>
          <cell r="F248">
            <v>0</v>
          </cell>
        </row>
        <row r="249">
          <cell r="A249" t="str">
            <v>J9456</v>
          </cell>
          <cell r="B249" t="str">
            <v>3+1 Sweet Strw LA FZN</v>
          </cell>
          <cell r="C249">
            <v>0</v>
          </cell>
          <cell r="D249">
            <v>0</v>
          </cell>
          <cell r="E249">
            <v>0.69981901303574467</v>
          </cell>
          <cell r="F249">
            <v>0</v>
          </cell>
        </row>
        <row r="250">
          <cell r="A250" t="str">
            <v>J9500</v>
          </cell>
          <cell r="B250" t="str">
            <v>LA 5+1 TRB</v>
          </cell>
          <cell r="C250">
            <v>0</v>
          </cell>
          <cell r="D250">
            <v>0</v>
          </cell>
          <cell r="E250">
            <v>0.69981901303574467</v>
          </cell>
          <cell r="F250">
            <v>0</v>
          </cell>
        </row>
        <row r="251">
          <cell r="A251" t="str">
            <v>J9517</v>
          </cell>
          <cell r="B251" t="str">
            <v>Panera Stw La Mix RTU</v>
          </cell>
          <cell r="C251">
            <v>0</v>
          </cell>
          <cell r="D251">
            <v>0</v>
          </cell>
          <cell r="E251">
            <v>0.69981901303574467</v>
          </cell>
          <cell r="F251">
            <v>0</v>
          </cell>
        </row>
        <row r="252">
          <cell r="A252" t="str">
            <v>J9610</v>
          </cell>
          <cell r="B252" t="str">
            <v>LA Strw RTB</v>
          </cell>
          <cell r="C252">
            <v>0</v>
          </cell>
          <cell r="D252">
            <v>0</v>
          </cell>
          <cell r="E252">
            <v>0.69981901303574467</v>
          </cell>
          <cell r="F252">
            <v>0</v>
          </cell>
        </row>
        <row r="253">
          <cell r="A253" t="str">
            <v>J9700</v>
          </cell>
          <cell r="B253" t="str">
            <v>LA Auntie Annes 3+1 RTB</v>
          </cell>
          <cell r="C253">
            <v>0</v>
          </cell>
          <cell r="D253">
            <v>0</v>
          </cell>
          <cell r="E253">
            <v>0.69981901303574467</v>
          </cell>
          <cell r="F253">
            <v>0</v>
          </cell>
        </row>
        <row r="254">
          <cell r="A254" t="str">
            <v>J9142</v>
          </cell>
          <cell r="B254" t="str">
            <v>Panera LA 5+1</v>
          </cell>
          <cell r="C254">
            <v>0</v>
          </cell>
          <cell r="D254">
            <v>0</v>
          </cell>
          <cell r="E254">
            <v>0.69981901303574467</v>
          </cell>
          <cell r="F254">
            <v>0</v>
          </cell>
        </row>
        <row r="255">
          <cell r="A255" t="str">
            <v>J9600</v>
          </cell>
          <cell r="B255" t="str">
            <v>LA Strw RTB</v>
          </cell>
          <cell r="C255">
            <v>0</v>
          </cell>
          <cell r="D255">
            <v>0</v>
          </cell>
          <cell r="E255">
            <v>0.69981901303574467</v>
          </cell>
          <cell r="F255">
            <v>0</v>
          </cell>
        </row>
        <row r="256">
          <cell r="A256" t="str">
            <v>J9604</v>
          </cell>
          <cell r="B256" t="str">
            <v>LA Strw 3+1 RTB</v>
          </cell>
          <cell r="C256">
            <v>0</v>
          </cell>
          <cell r="D256">
            <v>0</v>
          </cell>
          <cell r="E256">
            <v>0.69981901303574467</v>
          </cell>
          <cell r="F256">
            <v>0</v>
          </cell>
        </row>
        <row r="257">
          <cell r="A257" t="str">
            <v>J9638</v>
          </cell>
          <cell r="B257" t="str">
            <v>LA Strw RTS NB</v>
          </cell>
          <cell r="C257">
            <v>0</v>
          </cell>
          <cell r="D257">
            <v>0</v>
          </cell>
          <cell r="E257">
            <v>0.69981901303574467</v>
          </cell>
          <cell r="F257">
            <v>0</v>
          </cell>
        </row>
        <row r="258">
          <cell r="A258" t="str">
            <v>J9823</v>
          </cell>
          <cell r="B258" t="str">
            <v>Wendy's LA 3+1 Rvd</v>
          </cell>
          <cell r="C258">
            <v>0</v>
          </cell>
          <cell r="E258">
            <v>0.69981901303574467</v>
          </cell>
          <cell r="F258">
            <v>0</v>
          </cell>
        </row>
        <row r="259">
          <cell r="A259" t="str">
            <v>J9824</v>
          </cell>
          <cell r="B259" t="str">
            <v>Golden Corral LA 2+1</v>
          </cell>
          <cell r="C259">
            <v>0</v>
          </cell>
          <cell r="E259">
            <v>0.69981901303574467</v>
          </cell>
          <cell r="F259">
            <v>0</v>
          </cell>
        </row>
        <row r="260">
          <cell r="A260" t="str">
            <v>J9900</v>
          </cell>
          <cell r="B260" t="str">
            <v>Noble Organic Lemonade</v>
          </cell>
          <cell r="C260">
            <v>0</v>
          </cell>
          <cell r="E260">
            <v>0.69981901303574467</v>
          </cell>
          <cell r="F260">
            <v>0</v>
          </cell>
        </row>
        <row r="261">
          <cell r="A261" t="str">
            <v>J9902</v>
          </cell>
          <cell r="B261" t="str">
            <v>Organic Mint Lemonade with Aloe</v>
          </cell>
          <cell r="C261">
            <v>0</v>
          </cell>
          <cell r="E261">
            <v>0.69981901303574467</v>
          </cell>
          <cell r="F261">
            <v>0</v>
          </cell>
        </row>
        <row r="263">
          <cell r="C263" t="str">
            <v xml:space="preserve"> </v>
          </cell>
        </row>
        <row r="264">
          <cell r="C264">
            <v>797979.5</v>
          </cell>
          <cell r="D264">
            <v>507645.40137400001</v>
          </cell>
          <cell r="F264">
            <v>47150.795876592427</v>
          </cell>
        </row>
        <row r="266">
          <cell r="B266" t="str">
            <v>Total RTB and Frozen WIP</v>
          </cell>
          <cell r="C266">
            <v>1270324.55</v>
          </cell>
          <cell r="D266">
            <v>979990.45137399994</v>
          </cell>
        </row>
        <row r="267">
          <cell r="D267">
            <v>773565.25407000002</v>
          </cell>
        </row>
        <row r="268">
          <cell r="D268">
            <v>206425.19730399991</v>
          </cell>
        </row>
        <row r="269">
          <cell r="F269">
            <v>60113.543455053528</v>
          </cell>
        </row>
        <row r="270">
          <cell r="F270">
            <v>57868.734006938757</v>
          </cell>
        </row>
        <row r="271">
          <cell r="C271" t="str">
            <v>Freight in</v>
          </cell>
          <cell r="E271" t="str">
            <v>Variance DL&amp;OH</v>
          </cell>
          <cell r="F271">
            <v>2244.8094481147709</v>
          </cell>
        </row>
        <row r="272">
          <cell r="C272" t="str">
            <v>Lime</v>
          </cell>
          <cell r="E272" t="str">
            <v>Update monthly</v>
          </cell>
        </row>
        <row r="273">
          <cell r="C273" t="str">
            <v>Lemon</v>
          </cell>
          <cell r="D273">
            <v>7.5031399053257217E-2</v>
          </cell>
          <cell r="E273" t="str">
            <v>J4008 no freight (historically)</v>
          </cell>
        </row>
        <row r="274">
          <cell r="C274" t="str">
            <v>OJ</v>
          </cell>
          <cell r="D274">
            <v>0.33514620264119821</v>
          </cell>
          <cell r="E274" t="str">
            <v>Eval and update this every month based on which OJ skus has IB freight</v>
          </cell>
        </row>
        <row r="275">
          <cell r="C275" t="str">
            <v>Top Note</v>
          </cell>
          <cell r="D275">
            <v>0.89791692802051559</v>
          </cell>
          <cell r="E275" t="str">
            <v>J7099/J7913</v>
          </cell>
        </row>
        <row r="276">
          <cell r="C276" t="str">
            <v>Debittered Navel</v>
          </cell>
          <cell r="D276">
            <v>0.57730000000000004</v>
          </cell>
          <cell r="E276" t="str">
            <v>J7512/J7507</v>
          </cell>
        </row>
        <row r="277">
          <cell r="C277" t="str">
            <v>Apple</v>
          </cell>
          <cell r="D277">
            <v>1.4381999999999999</v>
          </cell>
          <cell r="E277" t="str">
            <v>J3400</v>
          </cell>
        </row>
        <row r="279">
          <cell r="B279">
            <v>45808</v>
          </cell>
          <cell r="C279" t="str">
            <v>Lime</v>
          </cell>
          <cell r="D279">
            <v>30460.080000000002</v>
          </cell>
          <cell r="E279" t="str">
            <v xml:space="preserve"> x  =</v>
          </cell>
          <cell r="F279">
            <v>0</v>
          </cell>
        </row>
        <row r="280">
          <cell r="B280">
            <v>45808</v>
          </cell>
          <cell r="C280" t="str">
            <v>Lemon</v>
          </cell>
          <cell r="D280">
            <v>1793</v>
          </cell>
          <cell r="E280" t="str">
            <v xml:space="preserve"> x 0 =</v>
          </cell>
          <cell r="F280">
            <v>0</v>
          </cell>
        </row>
        <row r="281">
          <cell r="B281">
            <v>45808</v>
          </cell>
          <cell r="C281" t="str">
            <v>OJ</v>
          </cell>
          <cell r="D281">
            <v>63362</v>
          </cell>
          <cell r="E281" t="str">
            <v xml:space="preserve"> x 0 =</v>
          </cell>
          <cell r="F281">
            <v>0</v>
          </cell>
        </row>
        <row r="282">
          <cell r="B282">
            <v>45808</v>
          </cell>
          <cell r="C282" t="str">
            <v>Top Note</v>
          </cell>
          <cell r="D282">
            <v>236565</v>
          </cell>
          <cell r="E282" t="str">
            <v xml:space="preserve"> x 0.898949492951197 =</v>
          </cell>
          <cell r="F282">
            <v>212659.98679999998</v>
          </cell>
        </row>
        <row r="283">
          <cell r="B283">
            <v>45808</v>
          </cell>
          <cell r="C283" t="str">
            <v>Debittered Navel</v>
          </cell>
          <cell r="D283">
            <v>5400</v>
          </cell>
          <cell r="E283" t="str">
            <v xml:space="preserve"> x 0.5773 =</v>
          </cell>
          <cell r="F283">
            <v>3117.42</v>
          </cell>
        </row>
        <row r="284">
          <cell r="B284">
            <v>45808</v>
          </cell>
          <cell r="C284" t="str">
            <v>Apple</v>
          </cell>
          <cell r="D284">
            <v>13348</v>
          </cell>
          <cell r="E284" t="str">
            <v xml:space="preserve"> x 1.5352 =</v>
          </cell>
          <cell r="F284">
            <v>20491.849600000001</v>
          </cell>
        </row>
        <row r="286">
          <cell r="D286">
            <v>256100.29666742738</v>
          </cell>
          <cell r="F286">
            <v>236269.25640000001</v>
          </cell>
        </row>
        <row r="288">
          <cell r="B288">
            <v>45838</v>
          </cell>
          <cell r="C288" t="str">
            <v>Lime</v>
          </cell>
          <cell r="D288">
            <v>80729.08</v>
          </cell>
          <cell r="E288" t="str">
            <v xml:space="preserve"> x  =</v>
          </cell>
          <cell r="F288">
            <v>0</v>
          </cell>
          <cell r="H288">
            <v>85238.080000000002</v>
          </cell>
        </row>
        <row r="289">
          <cell r="B289">
            <v>45838</v>
          </cell>
          <cell r="C289" t="str">
            <v>Lemon</v>
          </cell>
          <cell r="D289">
            <v>422892.05</v>
          </cell>
          <cell r="E289" t="str">
            <v xml:space="preserve"> x 0.0750313990532572 =</v>
          </cell>
          <cell r="F289">
            <v>31730.182160000004</v>
          </cell>
          <cell r="H289">
            <v>464519.05</v>
          </cell>
        </row>
        <row r="290">
          <cell r="B290">
            <v>45838</v>
          </cell>
          <cell r="C290" t="str">
            <v>OJ</v>
          </cell>
          <cell r="D290">
            <v>108034.3</v>
          </cell>
          <cell r="E290" t="str">
            <v xml:space="preserve"> x 0.335146202641198 =</v>
          </cell>
          <cell r="F290">
            <v>36207.285400000001</v>
          </cell>
          <cell r="H290">
            <v>121805.3</v>
          </cell>
        </row>
        <row r="291">
          <cell r="B291">
            <v>45838</v>
          </cell>
          <cell r="C291" t="str">
            <v>Top Note</v>
          </cell>
          <cell r="D291">
            <v>216373.32</v>
          </cell>
          <cell r="E291" t="str">
            <v xml:space="preserve"> x 0.897916928020516 =</v>
          </cell>
          <cell r="F291">
            <v>194285.26679999998</v>
          </cell>
          <cell r="H291">
            <v>216373.32</v>
          </cell>
        </row>
        <row r="292">
          <cell r="B292">
            <v>45838</v>
          </cell>
          <cell r="C292" t="str">
            <v>Debittered Navel</v>
          </cell>
          <cell r="D292">
            <v>5400</v>
          </cell>
          <cell r="E292" t="str">
            <v xml:space="preserve"> x 0.5773 =</v>
          </cell>
          <cell r="F292">
            <v>3117.42</v>
          </cell>
          <cell r="H292">
            <v>5400</v>
          </cell>
        </row>
        <row r="293">
          <cell r="B293">
            <v>45838</v>
          </cell>
          <cell r="C293" t="str">
            <v>Apple</v>
          </cell>
          <cell r="D293">
            <v>24380</v>
          </cell>
          <cell r="E293" t="str">
            <v xml:space="preserve"> x 1.4382 =</v>
          </cell>
          <cell r="F293">
            <v>35063.315999999999</v>
          </cell>
          <cell r="H293">
            <v>24380</v>
          </cell>
        </row>
        <row r="294">
          <cell r="D294">
            <v>857808.75</v>
          </cell>
          <cell r="F294">
            <v>300403.47035999998</v>
          </cell>
        </row>
        <row r="295">
          <cell r="B295" t="str">
            <v>Freight</v>
          </cell>
          <cell r="C295" t="str">
            <v>vs last month:</v>
          </cell>
          <cell r="D295">
            <v>506880.67</v>
          </cell>
          <cell r="F295">
            <v>64134.213959999965</v>
          </cell>
        </row>
        <row r="297">
          <cell r="C297" t="str">
            <v>Lime</v>
          </cell>
          <cell r="F297">
            <v>0</v>
          </cell>
        </row>
        <row r="298">
          <cell r="C298" t="str">
            <v>Lemon</v>
          </cell>
          <cell r="F298">
            <v>-31730.182160000004</v>
          </cell>
        </row>
        <row r="299">
          <cell r="C299" t="str">
            <v>OJ</v>
          </cell>
          <cell r="F299">
            <v>-17832.565399999992</v>
          </cell>
        </row>
        <row r="300">
          <cell r="C300" t="str">
            <v>Apple</v>
          </cell>
          <cell r="F300">
            <v>-14571.466399999998</v>
          </cell>
        </row>
        <row r="301">
          <cell r="B301" t="str">
            <v>Freight Variance</v>
          </cell>
          <cell r="F301">
            <v>-64134.213959999994</v>
          </cell>
        </row>
        <row r="304">
          <cell r="B304" t="str">
            <v>WIP for DL&amp;OH calculation</v>
          </cell>
          <cell r="C304">
            <v>117872.701374</v>
          </cell>
        </row>
        <row r="305">
          <cell r="B305" t="str">
            <v>This is gallons subject to L&amp;OH capitalization</v>
          </cell>
          <cell r="C305" t="str">
            <v>Formula breakdown: total gallons on hand - gallons without cap rate</v>
          </cell>
        </row>
      </sheetData>
      <sheetData sheetId="6">
        <row r="38">
          <cell r="F38">
            <v>0</v>
          </cell>
        </row>
      </sheetData>
      <sheetData sheetId="7">
        <row r="1">
          <cell r="A1" t="str">
            <v>Sun Orchard, LLC - AZ Divisions</v>
          </cell>
        </row>
        <row r="2">
          <cell r="A2" t="str">
            <v>Calculation of Labor &amp; Overhead - Finished Product</v>
          </cell>
        </row>
        <row r="3">
          <cell r="A3" t="str">
            <v>As of June 30th 2025</v>
          </cell>
        </row>
        <row r="5">
          <cell r="A5" t="str">
            <v>Item</v>
          </cell>
          <cell r="D5" t="str">
            <v>Gallons Per</v>
          </cell>
          <cell r="E5" t="str">
            <v>Total</v>
          </cell>
          <cell r="F5" t="str">
            <v>Total</v>
          </cell>
        </row>
        <row r="6">
          <cell r="A6" t="str">
            <v>Number</v>
          </cell>
          <cell r="B6" t="str">
            <v>Description</v>
          </cell>
          <cell r="C6" t="str">
            <v>Cases</v>
          </cell>
          <cell r="D6" t="str">
            <v>Case</v>
          </cell>
          <cell r="E6" t="str">
            <v>Gallons</v>
          </cell>
          <cell r="F6" t="str">
            <v>Frozen</v>
          </cell>
        </row>
        <row r="7">
          <cell r="A7">
            <v>34</v>
          </cell>
          <cell r="B7" t="str">
            <v>SOI Fuji Apple 12pk 15.2 oz Samples FZN</v>
          </cell>
          <cell r="C7">
            <v>0</v>
          </cell>
          <cell r="D7">
            <v>1.5</v>
          </cell>
          <cell r="E7">
            <v>0</v>
          </cell>
          <cell r="F7">
            <v>0</v>
          </cell>
        </row>
        <row r="8">
          <cell r="A8">
            <v>40</v>
          </cell>
          <cell r="B8" t="str">
            <v>SOI Lemon 12pk 15.2 oz Samples</v>
          </cell>
          <cell r="C8">
            <v>0</v>
          </cell>
          <cell r="D8">
            <v>1.5</v>
          </cell>
          <cell r="E8">
            <v>0</v>
          </cell>
        </row>
        <row r="9">
          <cell r="A9">
            <v>50</v>
          </cell>
          <cell r="B9" t="str">
            <v>SOI Marg sample Qt 16pk</v>
          </cell>
          <cell r="C9">
            <v>0</v>
          </cell>
          <cell r="D9">
            <v>4</v>
          </cell>
          <cell r="E9">
            <v>0</v>
          </cell>
        </row>
        <row r="10">
          <cell r="A10">
            <v>51</v>
          </cell>
          <cell r="B10" t="str">
            <v>SOI Marg Cond 3+1 Sample Qt 16pk</v>
          </cell>
          <cell r="C10">
            <v>0</v>
          </cell>
          <cell r="D10">
            <v>4</v>
          </cell>
          <cell r="E10">
            <v>0</v>
          </cell>
        </row>
        <row r="11">
          <cell r="A11">
            <v>60</v>
          </cell>
          <cell r="B11" t="str">
            <v>SOI Lime 12pk 15.2 oz Samples</v>
          </cell>
          <cell r="C11">
            <v>0</v>
          </cell>
          <cell r="D11">
            <v>1.5</v>
          </cell>
          <cell r="E11">
            <v>0</v>
          </cell>
        </row>
        <row r="12">
          <cell r="A12">
            <v>70</v>
          </cell>
          <cell r="B12" t="str">
            <v>SOI Orange 12pk 15.2 oz Samples</v>
          </cell>
          <cell r="C12">
            <v>0</v>
          </cell>
          <cell r="D12">
            <v>1.5</v>
          </cell>
          <cell r="E12">
            <v>0</v>
          </cell>
        </row>
        <row r="13">
          <cell r="A13">
            <v>90</v>
          </cell>
          <cell r="B13" t="str">
            <v>SOI LA 12pk 15.2 oz Samples</v>
          </cell>
          <cell r="C13">
            <v>0</v>
          </cell>
          <cell r="D13">
            <v>1.5</v>
          </cell>
          <cell r="E13">
            <v>0</v>
          </cell>
        </row>
        <row r="14">
          <cell r="A14">
            <v>95</v>
          </cell>
          <cell r="B14" t="str">
            <v>SOI LA Strw Sample Qt 16pk</v>
          </cell>
          <cell r="C14">
            <v>0</v>
          </cell>
          <cell r="D14">
            <v>4</v>
          </cell>
          <cell r="E14">
            <v>0</v>
          </cell>
        </row>
        <row r="15">
          <cell r="A15">
            <v>148</v>
          </cell>
          <cell r="B15" t="str">
            <v>Meyer Lemon Juice Hpint 24pk Samples</v>
          </cell>
          <cell r="C15">
            <v>0</v>
          </cell>
          <cell r="D15">
            <v>1.5</v>
          </cell>
          <cell r="E15">
            <v>0</v>
          </cell>
        </row>
        <row r="16">
          <cell r="A16">
            <v>178</v>
          </cell>
          <cell r="B16" t="str">
            <v>Cal Val OJ Hpint 24pk Samples</v>
          </cell>
          <cell r="C16">
            <v>0</v>
          </cell>
          <cell r="D16">
            <v>1.5</v>
          </cell>
          <cell r="E16">
            <v>0</v>
          </cell>
        </row>
        <row r="17">
          <cell r="A17">
            <v>194</v>
          </cell>
          <cell r="B17" t="str">
            <v>Meyer Strw LA Hping 24pk Samples</v>
          </cell>
          <cell r="C17">
            <v>0</v>
          </cell>
          <cell r="D17">
            <v>1.5</v>
          </cell>
          <cell r="E17">
            <v>0</v>
          </cell>
        </row>
        <row r="18">
          <cell r="A18">
            <v>197</v>
          </cell>
          <cell r="B18" t="str">
            <v>SO Limeade FZN 6pk 30.5oz Samples</v>
          </cell>
          <cell r="C18">
            <v>155</v>
          </cell>
          <cell r="D18">
            <v>1.5</v>
          </cell>
          <cell r="E18">
            <v>232.5</v>
          </cell>
        </row>
        <row r="19">
          <cell r="A19">
            <v>198</v>
          </cell>
          <cell r="B19" t="str">
            <v>SO Limeade FZN 3+1 6pk 32oz Samples</v>
          </cell>
          <cell r="C19">
            <v>128</v>
          </cell>
          <cell r="D19">
            <v>1.5</v>
          </cell>
          <cell r="E19">
            <v>192</v>
          </cell>
        </row>
        <row r="20">
          <cell r="A20">
            <v>199</v>
          </cell>
          <cell r="B20" t="str">
            <v>Meyer LA Hpint 24pk Samples</v>
          </cell>
          <cell r="C20">
            <v>0</v>
          </cell>
          <cell r="D20">
            <v>1.5</v>
          </cell>
          <cell r="E20">
            <v>0</v>
          </cell>
        </row>
        <row r="21">
          <cell r="A21">
            <v>1070</v>
          </cell>
          <cell r="B21" t="str">
            <v>i-Squeeze Valencia OJ 61.5oz 6pk FZN</v>
          </cell>
          <cell r="C21">
            <v>0</v>
          </cell>
          <cell r="D21">
            <v>2.88</v>
          </cell>
          <cell r="E21">
            <v>0</v>
          </cell>
        </row>
        <row r="22">
          <cell r="A22">
            <v>1142</v>
          </cell>
          <cell r="B22" t="str">
            <v>SOJO 100% Valencia OJ 61.5oz 6pk FZN</v>
          </cell>
          <cell r="C22">
            <v>0</v>
          </cell>
          <cell r="D22">
            <v>2.88</v>
          </cell>
          <cell r="E22">
            <v>0</v>
          </cell>
        </row>
        <row r="23">
          <cell r="A23">
            <v>1115</v>
          </cell>
          <cell r="B23" t="str">
            <v>SOJO Tangerine Juice 6pk 32oz</v>
          </cell>
          <cell r="C23">
            <v>0</v>
          </cell>
          <cell r="D23">
            <v>1.5</v>
          </cell>
          <cell r="E23">
            <v>0</v>
          </cell>
        </row>
        <row r="24">
          <cell r="A24">
            <v>1201</v>
          </cell>
          <cell r="B24" t="str">
            <v>7-Select Manog Smoothie 6pk 15.2oz</v>
          </cell>
          <cell r="C24">
            <v>0</v>
          </cell>
          <cell r="D24">
            <v>0.17125000000000001</v>
          </cell>
          <cell r="E24">
            <v>0</v>
          </cell>
        </row>
        <row r="25">
          <cell r="A25">
            <v>1204</v>
          </cell>
          <cell r="B25" t="str">
            <v>7-Select Strawberry Banana Smoothie 6pl 15.2oz</v>
          </cell>
          <cell r="C25">
            <v>0</v>
          </cell>
          <cell r="D25">
            <v>0.17125000000000001</v>
          </cell>
          <cell r="E25">
            <v>0</v>
          </cell>
        </row>
        <row r="26">
          <cell r="A26">
            <v>1205</v>
          </cell>
          <cell r="B26" t="str">
            <v>7-Select Blue Smoothie 6pk 15.2 oz</v>
          </cell>
          <cell r="C26">
            <v>0</v>
          </cell>
          <cell r="D26">
            <v>0.17125000000000001</v>
          </cell>
          <cell r="E26">
            <v>0</v>
          </cell>
        </row>
        <row r="27">
          <cell r="A27">
            <v>1206</v>
          </cell>
          <cell r="B27" t="str">
            <v>7-Select Green Smoothe 6pk 15.2 oz</v>
          </cell>
          <cell r="C27">
            <v>0</v>
          </cell>
          <cell r="D27">
            <v>0.17125000000000001</v>
          </cell>
          <cell r="E27">
            <v>0</v>
          </cell>
        </row>
        <row r="28">
          <cell r="A28">
            <v>1300</v>
          </cell>
          <cell r="B28" t="str">
            <v>Kroger 5+1 Berry Premix DR</v>
          </cell>
          <cell r="C28">
            <v>0</v>
          </cell>
          <cell r="D28">
            <v>48</v>
          </cell>
          <cell r="E28">
            <v>0</v>
          </cell>
        </row>
        <row r="29">
          <cell r="A29">
            <v>1301</v>
          </cell>
          <cell r="B29" t="str">
            <v>Kroger 5+1 Tropical Premix DR</v>
          </cell>
          <cell r="C29">
            <v>0</v>
          </cell>
          <cell r="D29">
            <v>48</v>
          </cell>
          <cell r="E29">
            <v>0</v>
          </cell>
        </row>
        <row r="30">
          <cell r="A30">
            <v>1302</v>
          </cell>
          <cell r="B30" t="str">
            <v>Kroger 5+1 Citrus Premix DR</v>
          </cell>
          <cell r="C30">
            <v>0</v>
          </cell>
          <cell r="D30">
            <v>48</v>
          </cell>
          <cell r="E30">
            <v>0</v>
          </cell>
        </row>
        <row r="31">
          <cell r="A31">
            <v>1390</v>
          </cell>
          <cell r="B31" t="str">
            <v>Kroger 6+1 Blueberry Lavender Black Tea with Lemon FZN DR</v>
          </cell>
          <cell r="C31">
            <v>0</v>
          </cell>
          <cell r="D31">
            <v>48</v>
          </cell>
          <cell r="E31">
            <v>0</v>
          </cell>
        </row>
        <row r="32">
          <cell r="A32">
            <v>1391</v>
          </cell>
          <cell r="B32" t="str">
            <v>Kroger 6+1 Peach Honey Chamomile Tea with Lemon FZN DR</v>
          </cell>
          <cell r="C32">
            <v>0</v>
          </cell>
          <cell r="D32">
            <v>48</v>
          </cell>
          <cell r="E32">
            <v>0</v>
          </cell>
        </row>
        <row r="33">
          <cell r="A33">
            <v>1701</v>
          </cell>
          <cell r="B33" t="str">
            <v>Cava Blueberry Lavender Puree FZN 6pk 30.5oz</v>
          </cell>
          <cell r="C33">
            <v>3163</v>
          </cell>
          <cell r="D33">
            <v>1.5</v>
          </cell>
          <cell r="E33">
            <v>4744.5</v>
          </cell>
          <cell r="F33">
            <v>4744.5</v>
          </cell>
        </row>
        <row r="34">
          <cell r="A34">
            <v>1901</v>
          </cell>
          <cell r="B34" t="str">
            <v>Blood Orange Berry Base 6pk 61.5oz FZN</v>
          </cell>
          <cell r="C34">
            <v>0</v>
          </cell>
          <cell r="D34">
            <v>2.88</v>
          </cell>
          <cell r="E34">
            <v>0</v>
          </cell>
          <cell r="F34">
            <v>0</v>
          </cell>
        </row>
        <row r="35">
          <cell r="A35">
            <v>1903</v>
          </cell>
          <cell r="B35" t="str">
            <v>Panera 5+1 Prickly Pear, Hibiscus, Lime Agua</v>
          </cell>
          <cell r="C35">
            <v>0</v>
          </cell>
          <cell r="D35">
            <v>2.88</v>
          </cell>
          <cell r="E35">
            <v>0</v>
          </cell>
        </row>
        <row r="36">
          <cell r="A36">
            <v>1904</v>
          </cell>
          <cell r="B36" t="str">
            <v>Watermelon Lime 2+1 Agua Fresca 6pk 61.5oz</v>
          </cell>
          <cell r="C36">
            <v>0</v>
          </cell>
          <cell r="D36">
            <v>2.88</v>
          </cell>
          <cell r="E36">
            <v>0</v>
          </cell>
        </row>
        <row r="37">
          <cell r="A37">
            <v>1905</v>
          </cell>
          <cell r="B37" t="str">
            <v>Coconut Pineapple 5+1 Fruit Water</v>
          </cell>
          <cell r="C37">
            <v>0</v>
          </cell>
          <cell r="D37">
            <v>2.88</v>
          </cell>
          <cell r="E37">
            <v>0</v>
          </cell>
        </row>
        <row r="38">
          <cell r="A38">
            <v>1907</v>
          </cell>
          <cell r="B38" t="str">
            <v>5+1 Pineapple Lemongrass Fruit Water</v>
          </cell>
          <cell r="C38">
            <v>0</v>
          </cell>
          <cell r="D38">
            <v>3</v>
          </cell>
          <cell r="E38">
            <v>0</v>
          </cell>
        </row>
        <row r="39">
          <cell r="A39">
            <v>1909</v>
          </cell>
          <cell r="B39" t="str">
            <v>Watermelon Lime 5+1 Fruit Water</v>
          </cell>
          <cell r="C39">
            <v>0</v>
          </cell>
          <cell r="D39">
            <v>3</v>
          </cell>
          <cell r="E39">
            <v>0</v>
          </cell>
        </row>
        <row r="40">
          <cell r="A40">
            <v>1910</v>
          </cell>
          <cell r="B40" t="str">
            <v>Blackberry Sangria Fruit Drink Base FZN 4pk</v>
          </cell>
          <cell r="C40">
            <v>0</v>
          </cell>
          <cell r="D40">
            <v>2.88</v>
          </cell>
          <cell r="E40">
            <v>0</v>
          </cell>
          <cell r="F40">
            <v>0</v>
          </cell>
        </row>
        <row r="41">
          <cell r="A41">
            <v>1911</v>
          </cell>
          <cell r="B41" t="str">
            <v>Stw Lime Fruit Drink Base FZN 4pk Gln</v>
          </cell>
          <cell r="C41">
            <v>0</v>
          </cell>
          <cell r="D41">
            <v>3</v>
          </cell>
          <cell r="E41">
            <v>0</v>
          </cell>
          <cell r="F41">
            <v>0</v>
          </cell>
        </row>
        <row r="42">
          <cell r="A42">
            <v>1912</v>
          </cell>
          <cell r="B42" t="str">
            <v>Mang Mand Fruit Drink Base FZN 4pk Gln</v>
          </cell>
          <cell r="C42">
            <v>0</v>
          </cell>
          <cell r="D42">
            <v>4</v>
          </cell>
          <cell r="E42">
            <v>0</v>
          </cell>
          <cell r="F42">
            <v>0</v>
          </cell>
        </row>
        <row r="43">
          <cell r="A43">
            <v>1914</v>
          </cell>
          <cell r="B43" t="str">
            <v>Panera 1+1 Pineapple Cucumber</v>
          </cell>
          <cell r="C43">
            <v>0</v>
          </cell>
          <cell r="D43">
            <v>1.4410000000000001</v>
          </cell>
          <cell r="E43">
            <v>0</v>
          </cell>
          <cell r="F43">
            <v>0</v>
          </cell>
        </row>
        <row r="44">
          <cell r="A44">
            <v>1953</v>
          </cell>
          <cell r="B44" t="str">
            <v>5+1 Prickly Pear, Hib, Lime Agua Fresca NSA 61.5oz 6pk FZN</v>
          </cell>
          <cell r="C44">
            <v>0</v>
          </cell>
          <cell r="D44">
            <v>2.8359375</v>
          </cell>
          <cell r="E44">
            <v>0</v>
          </cell>
          <cell r="F44">
            <v>0</v>
          </cell>
        </row>
        <row r="45">
          <cell r="A45">
            <v>2375</v>
          </cell>
          <cell r="B45" t="str">
            <v>9pk 64oz Empty Bottles with Caps</v>
          </cell>
          <cell r="C45">
            <v>0</v>
          </cell>
          <cell r="D45">
            <v>0</v>
          </cell>
          <cell r="E45">
            <v>0</v>
          </cell>
        </row>
        <row r="46">
          <cell r="A46">
            <v>2401</v>
          </cell>
          <cell r="B46" t="str">
            <v>Rykoff Sexton Variety Pack 24pk 8oz</v>
          </cell>
          <cell r="C46">
            <v>0</v>
          </cell>
          <cell r="D46">
            <v>1.5</v>
          </cell>
          <cell r="E46">
            <v>0</v>
          </cell>
        </row>
        <row r="47">
          <cell r="A47">
            <v>2402</v>
          </cell>
          <cell r="B47" t="str">
            <v>Rykoff Sexton Variety Pack #2 24pk 8oz</v>
          </cell>
          <cell r="C47">
            <v>0</v>
          </cell>
          <cell r="D47">
            <v>1.5</v>
          </cell>
          <cell r="E47">
            <v>0</v>
          </cell>
        </row>
        <row r="48">
          <cell r="A48">
            <v>2510</v>
          </cell>
          <cell r="B48" t="str">
            <v>Captain D's Rasp Fruit Tea Base 6pk Hgln</v>
          </cell>
          <cell r="C48">
            <v>0</v>
          </cell>
          <cell r="D48">
            <v>6</v>
          </cell>
          <cell r="E48">
            <v>0</v>
          </cell>
        </row>
        <row r="49">
          <cell r="A49">
            <v>2520</v>
          </cell>
          <cell r="B49" t="str">
            <v>SO Mixed Berry Omija 6+1 FZN HGln 6pk</v>
          </cell>
          <cell r="C49">
            <v>45</v>
          </cell>
          <cell r="D49">
            <v>6</v>
          </cell>
          <cell r="E49">
            <v>270</v>
          </cell>
          <cell r="F49">
            <v>270</v>
          </cell>
        </row>
        <row r="50">
          <cell r="A50">
            <v>2700</v>
          </cell>
          <cell r="B50" t="str">
            <v>Mango Puree in Buckets</v>
          </cell>
          <cell r="C50">
            <v>0</v>
          </cell>
          <cell r="D50">
            <v>44</v>
          </cell>
          <cell r="E50">
            <v>0</v>
          </cell>
        </row>
        <row r="51">
          <cell r="A51">
            <v>2711</v>
          </cell>
          <cell r="B51" t="str">
            <v>Panera Carrot Mango Base w/Ginger FZN61.05oz</v>
          </cell>
          <cell r="C51">
            <v>0</v>
          </cell>
          <cell r="D51">
            <v>1.4410000000000001</v>
          </cell>
          <cell r="E51">
            <v>0</v>
          </cell>
          <cell r="F51">
            <v>0</v>
          </cell>
        </row>
        <row r="52">
          <cell r="A52">
            <v>2712</v>
          </cell>
          <cell r="B52" t="str">
            <v>Panera Peach Mango Base FZN 61.5 oz</v>
          </cell>
          <cell r="C52">
            <v>0</v>
          </cell>
          <cell r="D52">
            <v>1.4410000000000001</v>
          </cell>
          <cell r="E52">
            <v>0</v>
          </cell>
          <cell r="F52">
            <v>0</v>
          </cell>
        </row>
        <row r="53">
          <cell r="A53">
            <v>2722</v>
          </cell>
          <cell r="B53" t="str">
            <v>Panera Mango Base w\Vit Fzn</v>
          </cell>
          <cell r="C53">
            <v>0</v>
          </cell>
          <cell r="D53">
            <v>3</v>
          </cell>
          <cell r="E53">
            <v>0</v>
          </cell>
          <cell r="F53">
            <v>0</v>
          </cell>
        </row>
        <row r="54">
          <cell r="A54">
            <v>2724</v>
          </cell>
          <cell r="B54" t="str">
            <v>Panera Strw Base w\Vit Fzn 61.5 oz</v>
          </cell>
          <cell r="C54">
            <v>0</v>
          </cell>
          <cell r="D54">
            <v>3</v>
          </cell>
          <cell r="E54">
            <v>0</v>
          </cell>
          <cell r="F54">
            <v>0</v>
          </cell>
        </row>
        <row r="55">
          <cell r="A55">
            <v>2725</v>
          </cell>
          <cell r="B55" t="str">
            <v>Panera Strw Base w\Vit Fzn</v>
          </cell>
          <cell r="C55">
            <v>0</v>
          </cell>
          <cell r="D55">
            <v>3</v>
          </cell>
          <cell r="E55">
            <v>0</v>
          </cell>
          <cell r="F55">
            <v>0</v>
          </cell>
        </row>
        <row r="56">
          <cell r="A56">
            <v>2726</v>
          </cell>
          <cell r="B56" t="str">
            <v>Panera Black Cherry Base w\vit fzn 61.5 oz</v>
          </cell>
          <cell r="C56">
            <v>0</v>
          </cell>
          <cell r="D56">
            <v>3</v>
          </cell>
          <cell r="E56">
            <v>0</v>
          </cell>
          <cell r="F56">
            <v>0</v>
          </cell>
        </row>
        <row r="57">
          <cell r="A57">
            <v>2727</v>
          </cell>
          <cell r="B57" t="str">
            <v>Panera Blk Cherry Base W\Vit Fzn</v>
          </cell>
          <cell r="C57">
            <v>0</v>
          </cell>
          <cell r="D57">
            <v>3</v>
          </cell>
          <cell r="E57">
            <v>0</v>
          </cell>
          <cell r="F57">
            <v>0</v>
          </cell>
        </row>
        <row r="58">
          <cell r="A58">
            <v>2731</v>
          </cell>
          <cell r="B58" t="str">
            <v>Panera Mango Base w\Vit Fzn 61.05 oz</v>
          </cell>
          <cell r="C58">
            <v>0</v>
          </cell>
          <cell r="D58">
            <v>1.4410000000000001</v>
          </cell>
          <cell r="E58">
            <v>0</v>
          </cell>
          <cell r="F58">
            <v>0</v>
          </cell>
        </row>
        <row r="59">
          <cell r="A59">
            <v>2734</v>
          </cell>
          <cell r="B59" t="str">
            <v>Panera Strw Base w\Vit Fzn 61.5 oz</v>
          </cell>
          <cell r="C59">
            <v>0</v>
          </cell>
          <cell r="D59">
            <v>1.4410000000000001</v>
          </cell>
          <cell r="E59">
            <v>0</v>
          </cell>
          <cell r="F59">
            <v>0</v>
          </cell>
        </row>
        <row r="60">
          <cell r="A60">
            <v>2736</v>
          </cell>
          <cell r="B60" t="str">
            <v>Panera Black Cherry Base w\vit fzn 61.5 oz</v>
          </cell>
          <cell r="C60">
            <v>0</v>
          </cell>
          <cell r="D60">
            <v>1.4410000000000001</v>
          </cell>
          <cell r="E60">
            <v>0</v>
          </cell>
          <cell r="F60">
            <v>0</v>
          </cell>
        </row>
        <row r="61">
          <cell r="A61">
            <v>2737</v>
          </cell>
          <cell r="B61" t="str">
            <v>Panera Superfruit Power Fruit Base FZN 61.5 oz</v>
          </cell>
          <cell r="C61">
            <v>0</v>
          </cell>
          <cell r="D61">
            <v>1.4410000000000001</v>
          </cell>
          <cell r="E61">
            <v>0</v>
          </cell>
          <cell r="F61">
            <v>0</v>
          </cell>
        </row>
        <row r="62">
          <cell r="A62">
            <v>2738</v>
          </cell>
          <cell r="B62" t="str">
            <v>Panera Peach Base w\Vit Fzn 61.5 oz</v>
          </cell>
          <cell r="C62">
            <v>0</v>
          </cell>
          <cell r="D62">
            <v>1.4410000000000001</v>
          </cell>
          <cell r="E62">
            <v>0</v>
          </cell>
          <cell r="F62">
            <v>0</v>
          </cell>
        </row>
        <row r="63">
          <cell r="A63">
            <v>2739</v>
          </cell>
          <cell r="B63" t="str">
            <v>Panera Wildberry Fruit Base w\Vit Fzn</v>
          </cell>
          <cell r="C63">
            <v>0</v>
          </cell>
          <cell r="D63">
            <v>1.4410000000000001</v>
          </cell>
          <cell r="E63">
            <v>0</v>
          </cell>
          <cell r="F63">
            <v>0</v>
          </cell>
        </row>
        <row r="64">
          <cell r="A64">
            <v>2740</v>
          </cell>
          <cell r="B64" t="str">
            <v>Panera Tomato Vegetable &amp; Fruit Base 61.5oz</v>
          </cell>
          <cell r="C64">
            <v>0</v>
          </cell>
          <cell r="D64">
            <v>1.4410000000000001</v>
          </cell>
          <cell r="E64">
            <v>0</v>
          </cell>
          <cell r="F64">
            <v>0</v>
          </cell>
        </row>
        <row r="65">
          <cell r="A65">
            <v>2741</v>
          </cell>
          <cell r="B65" t="str">
            <v>Panera Kale Vegetable &amp; Fruit Base 61.5oz</v>
          </cell>
          <cell r="C65">
            <v>0</v>
          </cell>
          <cell r="D65">
            <v>1.4410000000000001</v>
          </cell>
          <cell r="E65">
            <v>0</v>
          </cell>
          <cell r="F65">
            <v>0</v>
          </cell>
        </row>
        <row r="66">
          <cell r="A66">
            <v>2742</v>
          </cell>
          <cell r="B66" t="str">
            <v>Panera Blueberry Pom Fruit Base FZN 61.5 oz</v>
          </cell>
          <cell r="C66">
            <v>0</v>
          </cell>
          <cell r="D66">
            <v>1.4410000000000001</v>
          </cell>
          <cell r="E66">
            <v>0</v>
          </cell>
          <cell r="F66">
            <v>0</v>
          </cell>
        </row>
        <row r="67">
          <cell r="A67">
            <v>2743</v>
          </cell>
          <cell r="B67" t="str">
            <v>Panera Strw Base w/Vit FZN 61.5 oz</v>
          </cell>
          <cell r="C67">
            <v>0</v>
          </cell>
          <cell r="D67">
            <v>1.4410000000000001</v>
          </cell>
          <cell r="E67">
            <v>0</v>
          </cell>
          <cell r="F67">
            <v>0</v>
          </cell>
        </row>
        <row r="68">
          <cell r="A68">
            <v>2744</v>
          </cell>
          <cell r="B68" t="str">
            <v>Panera Superfruit Power Fruit Base FZN 61.5 oz</v>
          </cell>
          <cell r="C68">
            <v>0</v>
          </cell>
          <cell r="D68">
            <v>1.4410000000000001</v>
          </cell>
          <cell r="E68">
            <v>0</v>
          </cell>
          <cell r="F68">
            <v>0</v>
          </cell>
        </row>
        <row r="69">
          <cell r="A69">
            <v>2745</v>
          </cell>
          <cell r="B69" t="str">
            <v>Blueberry Pom Fruit Base w/ Coconut cream</v>
          </cell>
          <cell r="C69">
            <v>0</v>
          </cell>
          <cell r="D69">
            <v>1.4410000000000001</v>
          </cell>
          <cell r="E69">
            <v>0</v>
          </cell>
          <cell r="F69">
            <v>0</v>
          </cell>
        </row>
        <row r="70">
          <cell r="A70">
            <v>2750</v>
          </cell>
          <cell r="B70" t="str">
            <v>Panera Spiced Carrot Base 61.5oz 6pk Fzn</v>
          </cell>
          <cell r="C70">
            <v>0</v>
          </cell>
          <cell r="D70">
            <v>1.4410000000000001</v>
          </cell>
          <cell r="E70">
            <v>0</v>
          </cell>
          <cell r="F70">
            <v>0</v>
          </cell>
        </row>
        <row r="71">
          <cell r="A71">
            <v>2752</v>
          </cell>
          <cell r="B71" t="str">
            <v>Panera Mango Fruit Base No Refined Sugar Added</v>
          </cell>
          <cell r="C71">
            <v>1144</v>
          </cell>
          <cell r="D71">
            <v>2.8359375</v>
          </cell>
          <cell r="E71">
            <v>3244.3125</v>
          </cell>
          <cell r="F71">
            <v>3244.3125</v>
          </cell>
        </row>
        <row r="72">
          <cell r="A72">
            <v>2753</v>
          </cell>
          <cell r="B72" t="str">
            <v>Panera Strawberry Fruit Base No Refined Sugar Added</v>
          </cell>
          <cell r="C72">
            <v>1087</v>
          </cell>
          <cell r="D72">
            <v>2.8359375</v>
          </cell>
          <cell r="E72">
            <v>3082.6640625</v>
          </cell>
          <cell r="F72">
            <v>3082.6640625</v>
          </cell>
        </row>
        <row r="73">
          <cell r="A73">
            <v>2762</v>
          </cell>
          <cell r="B73" t="str">
            <v>Panera Peach Mango Base Fzn 61.5 oz 6pk</v>
          </cell>
          <cell r="C73">
            <v>0</v>
          </cell>
          <cell r="D73">
            <v>2.8359375</v>
          </cell>
          <cell r="E73">
            <v>0</v>
          </cell>
          <cell r="F73">
            <v>0</v>
          </cell>
        </row>
        <row r="74">
          <cell r="A74">
            <v>2764</v>
          </cell>
          <cell r="B74" t="str">
            <v>Panera PowerBerry Fruit Base FZN 61.5 oz 6pk</v>
          </cell>
          <cell r="C74">
            <v>0</v>
          </cell>
          <cell r="D74">
            <v>2.8359375</v>
          </cell>
          <cell r="E74">
            <v>0</v>
          </cell>
          <cell r="F74">
            <v>0</v>
          </cell>
        </row>
        <row r="75">
          <cell r="A75">
            <v>3034</v>
          </cell>
          <cell r="B75" t="str">
            <v>SYSCO 100% Pineapple Juice 12pk 12oz</v>
          </cell>
          <cell r="C75">
            <v>0</v>
          </cell>
          <cell r="D75">
            <v>1.125</v>
          </cell>
          <cell r="E75">
            <v>0</v>
          </cell>
        </row>
        <row r="76">
          <cell r="A76">
            <v>3035</v>
          </cell>
          <cell r="B76" t="str">
            <v>CA-SYSCO 100% Pineapple Juice 12pk 12oz</v>
          </cell>
          <cell r="C76">
            <v>0</v>
          </cell>
          <cell r="D76">
            <v>1.125</v>
          </cell>
          <cell r="E76">
            <v>0</v>
          </cell>
        </row>
        <row r="77">
          <cell r="A77">
            <v>3093</v>
          </cell>
          <cell r="B77" t="str">
            <v>SYSCO 100% Pineapple Qt 6pk</v>
          </cell>
          <cell r="C77">
            <v>0</v>
          </cell>
          <cell r="D77">
            <v>1.5</v>
          </cell>
          <cell r="E77">
            <v>0</v>
          </cell>
        </row>
        <row r="78">
          <cell r="A78">
            <v>3094</v>
          </cell>
          <cell r="B78" t="str">
            <v>CA-SYSCO 100% Pineapple Qt 6pk</v>
          </cell>
          <cell r="C78">
            <v>0</v>
          </cell>
          <cell r="D78">
            <v>1.5</v>
          </cell>
          <cell r="E78">
            <v>0</v>
          </cell>
        </row>
        <row r="79">
          <cell r="A79">
            <v>3134</v>
          </cell>
          <cell r="B79" t="str">
            <v>SYSCO Pineapple Mango Juice 12pk 12oz</v>
          </cell>
          <cell r="C79">
            <v>0</v>
          </cell>
          <cell r="D79">
            <v>1.125</v>
          </cell>
          <cell r="E79">
            <v>0</v>
          </cell>
        </row>
        <row r="80">
          <cell r="A80">
            <v>3193</v>
          </cell>
          <cell r="B80" t="str">
            <v>SYSCO Pineapple Mango Juice Qt 6pk</v>
          </cell>
          <cell r="C80">
            <v>0</v>
          </cell>
          <cell r="D80">
            <v>1.5</v>
          </cell>
          <cell r="E80">
            <v>0</v>
          </cell>
        </row>
        <row r="81">
          <cell r="A81">
            <v>3202</v>
          </cell>
          <cell r="B81" t="str">
            <v>SOI Pineapple Juice 4pk 123oz.TBF</v>
          </cell>
          <cell r="C81">
            <v>0</v>
          </cell>
          <cell r="D81">
            <v>4</v>
          </cell>
          <cell r="E81">
            <v>0</v>
          </cell>
        </row>
        <row r="82">
          <cell r="A82" t="str">
            <v>3202F</v>
          </cell>
          <cell r="B82" t="str">
            <v>SOI Pineapple Juice 4pk 123oz.FZN</v>
          </cell>
          <cell r="C82">
            <v>0</v>
          </cell>
          <cell r="D82">
            <v>4</v>
          </cell>
          <cell r="E82">
            <v>0</v>
          </cell>
          <cell r="F82">
            <v>0</v>
          </cell>
        </row>
        <row r="83">
          <cell r="A83" t="str">
            <v>3203F</v>
          </cell>
          <cell r="B83" t="str">
            <v>SOI Pineapple Juice 6pk 30.5oz FZN</v>
          </cell>
          <cell r="C83">
            <v>0</v>
          </cell>
          <cell r="D83">
            <v>1.4296875</v>
          </cell>
          <cell r="E83">
            <v>0</v>
          </cell>
          <cell r="F83">
            <v>0</v>
          </cell>
        </row>
        <row r="84">
          <cell r="A84">
            <v>3234</v>
          </cell>
          <cell r="B84" t="str">
            <v>SYSCO Pineapple Coconut Banana 12pk 12oz</v>
          </cell>
          <cell r="C84">
            <v>0</v>
          </cell>
          <cell r="D84">
            <v>1.125</v>
          </cell>
          <cell r="E84">
            <v>0</v>
          </cell>
        </row>
        <row r="85">
          <cell r="A85">
            <v>3293</v>
          </cell>
          <cell r="B85" t="str">
            <v>SYSCO Pineapple Coconut Banana Qt 6pk</v>
          </cell>
          <cell r="C85">
            <v>0</v>
          </cell>
          <cell r="D85">
            <v>1.5</v>
          </cell>
          <cell r="E85">
            <v>0</v>
          </cell>
        </row>
        <row r="86">
          <cell r="A86">
            <v>3410</v>
          </cell>
          <cell r="B86" t="str">
            <v>SOI Fuji Apple Juice HGln 6pk</v>
          </cell>
          <cell r="C86">
            <v>0</v>
          </cell>
          <cell r="D86">
            <v>3</v>
          </cell>
          <cell r="E86">
            <v>0</v>
          </cell>
        </row>
        <row r="87">
          <cell r="A87">
            <v>3412</v>
          </cell>
          <cell r="B87" t="str">
            <v>SOI Fuji Apple Juice Pint 12pk</v>
          </cell>
          <cell r="C87">
            <v>0</v>
          </cell>
          <cell r="D87">
            <v>1.5</v>
          </cell>
          <cell r="E87">
            <v>0</v>
          </cell>
        </row>
        <row r="88">
          <cell r="A88">
            <v>3423</v>
          </cell>
          <cell r="B88" t="str">
            <v>SOI Fuji Apple Juice Blend 12oz 24pk</v>
          </cell>
          <cell r="C88">
            <v>0</v>
          </cell>
          <cell r="D88">
            <v>1</v>
          </cell>
          <cell r="E88">
            <v>0</v>
          </cell>
        </row>
        <row r="89">
          <cell r="A89">
            <v>3470</v>
          </cell>
          <cell r="B89" t="str">
            <v>SOI Apple Cider FZN 61.5 oz 6pk</v>
          </cell>
          <cell r="C89">
            <v>0</v>
          </cell>
          <cell r="D89">
            <v>3</v>
          </cell>
          <cell r="E89">
            <v>0</v>
          </cell>
          <cell r="F89">
            <v>0</v>
          </cell>
        </row>
        <row r="90">
          <cell r="A90">
            <v>3762</v>
          </cell>
          <cell r="B90" t="str">
            <v>Earl of Sandwich Blueberry Tea Pint 12pk</v>
          </cell>
          <cell r="C90">
            <v>0</v>
          </cell>
          <cell r="D90">
            <v>1.5</v>
          </cell>
          <cell r="E90">
            <v>0</v>
          </cell>
        </row>
        <row r="91">
          <cell r="A91">
            <v>3390</v>
          </cell>
          <cell r="B91" t="str">
            <v>Blueberry Lavender Tea 6pk 64oz</v>
          </cell>
          <cell r="C91">
            <v>0</v>
          </cell>
          <cell r="D91">
            <v>3</v>
          </cell>
          <cell r="E91">
            <v>0</v>
          </cell>
        </row>
        <row r="92">
          <cell r="A92">
            <v>3391</v>
          </cell>
          <cell r="B92" t="str">
            <v>Peach Honey Chamomile Tea 6pk 64oz</v>
          </cell>
          <cell r="C92">
            <v>0</v>
          </cell>
          <cell r="D92">
            <v>3</v>
          </cell>
          <cell r="E92">
            <v>0</v>
          </cell>
        </row>
        <row r="93">
          <cell r="A93">
            <v>4040</v>
          </cell>
          <cell r="B93" t="str">
            <v>SOI Lemon Juice Tanker</v>
          </cell>
          <cell r="C93">
            <v>0</v>
          </cell>
          <cell r="D93">
            <v>1</v>
          </cell>
          <cell r="E93">
            <v>0</v>
          </cell>
        </row>
        <row r="94">
          <cell r="A94">
            <v>4106</v>
          </cell>
          <cell r="B94" t="str">
            <v>NB Orange Juice REF 12oz 12pk</v>
          </cell>
          <cell r="C94">
            <v>828</v>
          </cell>
          <cell r="D94">
            <v>1.125</v>
          </cell>
          <cell r="E94">
            <v>931.5</v>
          </cell>
        </row>
        <row r="95">
          <cell r="A95">
            <v>4116</v>
          </cell>
          <cell r="B95" t="str">
            <v>NB Grapefruit Juice REF 12oz 12pk</v>
          </cell>
          <cell r="C95">
            <v>208</v>
          </cell>
          <cell r="D95">
            <v>1.125</v>
          </cell>
          <cell r="E95">
            <v>234</v>
          </cell>
        </row>
        <row r="96">
          <cell r="A96">
            <v>4136</v>
          </cell>
          <cell r="B96" t="str">
            <v>NB Lemonade RTS REF 12oz 12pk</v>
          </cell>
          <cell r="C96">
            <v>231</v>
          </cell>
          <cell r="D96">
            <v>1.125</v>
          </cell>
          <cell r="E96">
            <v>259.875</v>
          </cell>
        </row>
        <row r="97">
          <cell r="A97">
            <v>4138</v>
          </cell>
          <cell r="B97" t="str">
            <v>NB Strawberry Lemonade RTS REF 12oz 12pk</v>
          </cell>
          <cell r="C97">
            <v>219</v>
          </cell>
          <cell r="D97">
            <v>1.125</v>
          </cell>
          <cell r="E97">
            <v>246.375</v>
          </cell>
        </row>
        <row r="98">
          <cell r="A98">
            <v>4202</v>
          </cell>
          <cell r="B98" t="str">
            <v>SOI Lemon Juice Fzn HGln 6pk</v>
          </cell>
          <cell r="C98">
            <v>216</v>
          </cell>
          <cell r="D98">
            <v>2.8828</v>
          </cell>
          <cell r="E98">
            <v>622.6848</v>
          </cell>
          <cell r="F98">
            <v>622.6848</v>
          </cell>
        </row>
        <row r="99">
          <cell r="A99">
            <v>4205</v>
          </cell>
          <cell r="B99" t="str">
            <v>OSSI Lemon Juice Fzn 123oz 4pk</v>
          </cell>
          <cell r="C99">
            <v>0</v>
          </cell>
          <cell r="D99">
            <v>3.8437000000000001</v>
          </cell>
          <cell r="E99">
            <v>0</v>
          </cell>
          <cell r="F99">
            <v>0</v>
          </cell>
        </row>
        <row r="100">
          <cell r="A100">
            <v>4206</v>
          </cell>
          <cell r="B100" t="str">
            <v>SOI Lemon Juice Fzn 123oz 4pk</v>
          </cell>
          <cell r="C100">
            <v>0</v>
          </cell>
          <cell r="D100">
            <v>3.8437000000000001</v>
          </cell>
          <cell r="E100">
            <v>0</v>
          </cell>
          <cell r="F100">
            <v>0</v>
          </cell>
        </row>
        <row r="101">
          <cell r="A101">
            <v>4225</v>
          </cell>
          <cell r="B101" t="str">
            <v>SOI Lemon Juice Fzn Qt 6pk</v>
          </cell>
          <cell r="C101">
            <v>380</v>
          </cell>
          <cell r="D101">
            <v>1.4297</v>
          </cell>
          <cell r="E101">
            <v>543.28599999999994</v>
          </cell>
          <cell r="F101">
            <v>543.28599999999994</v>
          </cell>
        </row>
        <row r="102">
          <cell r="A102">
            <v>4227</v>
          </cell>
          <cell r="B102" t="str">
            <v>SOI Lemon Juice TBF Qt 16pk</v>
          </cell>
          <cell r="C102">
            <v>0</v>
          </cell>
          <cell r="D102">
            <v>3.8125</v>
          </cell>
          <cell r="E102">
            <v>0</v>
          </cell>
          <cell r="F102">
            <v>0</v>
          </cell>
        </row>
        <row r="103">
          <cell r="A103" t="str">
            <v>4227F</v>
          </cell>
          <cell r="C103">
            <v>0</v>
          </cell>
          <cell r="D103">
            <v>3.8125</v>
          </cell>
          <cell r="E103">
            <v>0</v>
          </cell>
          <cell r="F103">
            <v>0</v>
          </cell>
        </row>
        <row r="104">
          <cell r="A104">
            <v>4402</v>
          </cell>
          <cell r="B104" t="str">
            <v>High-Acid Lemon Juice with Concentrate Gln 4pk RTS</v>
          </cell>
          <cell r="C104">
            <v>0</v>
          </cell>
          <cell r="D104">
            <v>4</v>
          </cell>
          <cell r="E104">
            <v>0</v>
          </cell>
        </row>
        <row r="105">
          <cell r="A105">
            <v>4502</v>
          </cell>
          <cell r="B105" t="str">
            <v>SOI Lemon Juice Gln 4pk</v>
          </cell>
          <cell r="C105">
            <v>2233</v>
          </cell>
          <cell r="D105">
            <v>4</v>
          </cell>
          <cell r="E105">
            <v>8932</v>
          </cell>
        </row>
        <row r="106">
          <cell r="A106">
            <v>4503</v>
          </cell>
          <cell r="B106" t="str">
            <v>OJC Lemon Juice HGln 6pk</v>
          </cell>
          <cell r="C106">
            <v>0</v>
          </cell>
          <cell r="D106">
            <v>3</v>
          </cell>
          <cell r="E106">
            <v>0</v>
          </cell>
        </row>
        <row r="107">
          <cell r="A107">
            <v>4506</v>
          </cell>
          <cell r="B107" t="str">
            <v>Markon Lemon Juice HGln 6pk</v>
          </cell>
          <cell r="C107">
            <v>1137</v>
          </cell>
          <cell r="D107">
            <v>3</v>
          </cell>
          <cell r="E107">
            <v>3411</v>
          </cell>
        </row>
        <row r="108">
          <cell r="A108" t="str">
            <v>4506NFC</v>
          </cell>
          <cell r="C108">
            <v>0</v>
          </cell>
          <cell r="D108">
            <v>4</v>
          </cell>
          <cell r="E108">
            <v>0</v>
          </cell>
        </row>
        <row r="109">
          <cell r="A109">
            <v>4508</v>
          </cell>
          <cell r="B109" t="str">
            <v>Markon Lemon Juice Gln 4pk</v>
          </cell>
          <cell r="C109">
            <v>693</v>
          </cell>
          <cell r="D109">
            <v>4</v>
          </cell>
          <cell r="E109">
            <v>2772</v>
          </cell>
        </row>
        <row r="110">
          <cell r="A110" t="str">
            <v>4508NFC</v>
          </cell>
          <cell r="C110">
            <v>0</v>
          </cell>
          <cell r="D110">
            <v>4</v>
          </cell>
          <cell r="E110">
            <v>0</v>
          </cell>
        </row>
        <row r="111">
          <cell r="A111">
            <v>4510</v>
          </cell>
          <cell r="B111" t="str">
            <v>Markon Lemon Juice Qt 16pk</v>
          </cell>
          <cell r="C111">
            <v>0</v>
          </cell>
          <cell r="D111">
            <v>4</v>
          </cell>
          <cell r="E111">
            <v>0</v>
          </cell>
        </row>
        <row r="112">
          <cell r="A112" t="str">
            <v>4510NFC</v>
          </cell>
          <cell r="C112">
            <v>0</v>
          </cell>
          <cell r="D112">
            <v>4</v>
          </cell>
          <cell r="E112">
            <v>0</v>
          </cell>
        </row>
        <row r="113">
          <cell r="A113">
            <v>4513</v>
          </cell>
          <cell r="B113" t="str">
            <v>SOI Lemon Juice HGln 6pk</v>
          </cell>
          <cell r="C113">
            <v>689</v>
          </cell>
          <cell r="D113">
            <v>3</v>
          </cell>
          <cell r="E113">
            <v>2067</v>
          </cell>
        </row>
        <row r="114">
          <cell r="A114">
            <v>4514</v>
          </cell>
          <cell r="B114" t="str">
            <v>SYSCO Lemon Juice HGln 6pk</v>
          </cell>
          <cell r="C114">
            <v>846</v>
          </cell>
          <cell r="D114">
            <v>3</v>
          </cell>
          <cell r="E114">
            <v>2538</v>
          </cell>
        </row>
        <row r="115">
          <cell r="A115">
            <v>4516</v>
          </cell>
          <cell r="B115" t="str">
            <v>SOI Lemon Juice Qt 6pk</v>
          </cell>
          <cell r="C115">
            <v>401</v>
          </cell>
          <cell r="D115">
            <v>1.5</v>
          </cell>
          <cell r="E115">
            <v>601.5</v>
          </cell>
        </row>
        <row r="116">
          <cell r="A116">
            <v>4517</v>
          </cell>
          <cell r="B116" t="str">
            <v>SOI Sweetened Lemon Juice 6pk Hgln</v>
          </cell>
          <cell r="C116">
            <v>0</v>
          </cell>
          <cell r="D116">
            <v>3</v>
          </cell>
          <cell r="E116">
            <v>0</v>
          </cell>
        </row>
        <row r="117">
          <cell r="A117">
            <v>4518</v>
          </cell>
          <cell r="B117" t="str">
            <v>OJC Sweetened Lemon Juice 6pk Hgln</v>
          </cell>
          <cell r="C117">
            <v>0</v>
          </cell>
          <cell r="D117">
            <v>3</v>
          </cell>
          <cell r="E117">
            <v>0</v>
          </cell>
        </row>
        <row r="118">
          <cell r="A118">
            <v>4519</v>
          </cell>
          <cell r="B118" t="str">
            <v>Lemon Juice 12pk Qt</v>
          </cell>
          <cell r="C118">
            <v>0</v>
          </cell>
          <cell r="D118">
            <v>3</v>
          </cell>
          <cell r="E118">
            <v>0</v>
          </cell>
        </row>
        <row r="119">
          <cell r="A119">
            <v>4526</v>
          </cell>
          <cell r="B119" t="str">
            <v>Aloha Lemon Juice HGln 6pk</v>
          </cell>
          <cell r="C119">
            <v>0</v>
          </cell>
          <cell r="D119">
            <v>3</v>
          </cell>
          <cell r="E119">
            <v>0</v>
          </cell>
        </row>
        <row r="120">
          <cell r="A120">
            <v>4527</v>
          </cell>
          <cell r="B120" t="str">
            <v>SOI Lemon Juice Qt 16pk</v>
          </cell>
          <cell r="C120">
            <v>0</v>
          </cell>
          <cell r="D120">
            <v>4</v>
          </cell>
          <cell r="E120">
            <v>0</v>
          </cell>
        </row>
        <row r="121">
          <cell r="A121">
            <v>4593</v>
          </cell>
          <cell r="B121" t="str">
            <v>SYSCO Lemon Juice Qt 6pk</v>
          </cell>
          <cell r="C121">
            <v>0</v>
          </cell>
          <cell r="D121">
            <v>3</v>
          </cell>
          <cell r="E121">
            <v>0</v>
          </cell>
        </row>
        <row r="122">
          <cell r="A122">
            <v>4591</v>
          </cell>
          <cell r="B122" t="str">
            <v>SYSCO Lemon Juice Gln 4pk</v>
          </cell>
          <cell r="C122">
            <v>643</v>
          </cell>
          <cell r="D122">
            <v>4</v>
          </cell>
          <cell r="E122">
            <v>2572</v>
          </cell>
        </row>
        <row r="123">
          <cell r="A123">
            <v>4598</v>
          </cell>
          <cell r="B123" t="str">
            <v>OJC Lemon Juice Hgln 9pk</v>
          </cell>
          <cell r="C123">
            <v>0</v>
          </cell>
          <cell r="D123">
            <v>4.5</v>
          </cell>
          <cell r="E123">
            <v>0</v>
          </cell>
        </row>
        <row r="124">
          <cell r="A124">
            <v>4602</v>
          </cell>
          <cell r="B124" t="str">
            <v>SOI Meyer Lemon Juice Blend Gln 4pk</v>
          </cell>
          <cell r="C124">
            <v>0</v>
          </cell>
          <cell r="D124">
            <v>4</v>
          </cell>
          <cell r="E124">
            <v>0</v>
          </cell>
        </row>
        <row r="125">
          <cell r="A125" t="str">
            <v>4602F</v>
          </cell>
          <cell r="B125" t="str">
            <v>SOI Meyer Lemon Juice Blend 123 oz FZN 4pk</v>
          </cell>
          <cell r="C125">
            <v>0</v>
          </cell>
          <cell r="D125">
            <v>4</v>
          </cell>
          <cell r="E125">
            <v>0</v>
          </cell>
          <cell r="F125">
            <v>0</v>
          </cell>
        </row>
        <row r="126">
          <cell r="A126">
            <v>4616</v>
          </cell>
          <cell r="B126" t="str">
            <v>SOI Meyer Lemon Juice blend Qt 6pk</v>
          </cell>
          <cell r="C126">
            <v>0</v>
          </cell>
          <cell r="D126">
            <v>1.5</v>
          </cell>
          <cell r="E126">
            <v>0</v>
          </cell>
        </row>
        <row r="127">
          <cell r="A127">
            <v>4617</v>
          </cell>
          <cell r="B127" t="str">
            <v>Meyer Lemon Juice Blend 12pk Qt</v>
          </cell>
          <cell r="C127">
            <v>544</v>
          </cell>
          <cell r="D127">
            <v>3</v>
          </cell>
          <cell r="E127">
            <v>1632</v>
          </cell>
        </row>
        <row r="128">
          <cell r="A128">
            <v>4800</v>
          </cell>
          <cell r="B128" t="str">
            <v>SOI CP Lemon Oil Drum</v>
          </cell>
          <cell r="C128">
            <v>29823.53</v>
          </cell>
          <cell r="D128">
            <v>0</v>
          </cell>
          <cell r="E128">
            <v>0</v>
          </cell>
        </row>
        <row r="129">
          <cell r="A129">
            <v>4845</v>
          </cell>
          <cell r="B129" t="str">
            <v>SOI CP Meyer Lemon Oil Drum</v>
          </cell>
          <cell r="C129">
            <v>1003.4</v>
          </cell>
          <cell r="D129">
            <v>0</v>
          </cell>
          <cell r="E129">
            <v>0</v>
          </cell>
        </row>
        <row r="130">
          <cell r="A130">
            <v>4900</v>
          </cell>
          <cell r="B130" t="str">
            <v>SOI Valencia Oil Drum</v>
          </cell>
          <cell r="C130">
            <v>0</v>
          </cell>
          <cell r="D130">
            <v>0.1429</v>
          </cell>
          <cell r="E130">
            <v>0</v>
          </cell>
        </row>
        <row r="131">
          <cell r="A131">
            <v>4921</v>
          </cell>
          <cell r="B131" t="str">
            <v>Spindrift Un-Pasteurized Lemon Juice Drum</v>
          </cell>
          <cell r="C131">
            <v>0</v>
          </cell>
          <cell r="D131">
            <v>48</v>
          </cell>
          <cell r="E131">
            <v>0</v>
          </cell>
        </row>
        <row r="132">
          <cell r="A132">
            <v>4945</v>
          </cell>
          <cell r="B132" t="str">
            <v>High-Acid Lemon Juice with Concentrate 270 Gal Tote</v>
          </cell>
          <cell r="C132">
            <v>17</v>
          </cell>
          <cell r="D132">
            <v>270</v>
          </cell>
          <cell r="E132">
            <v>4590</v>
          </cell>
        </row>
        <row r="133">
          <cell r="A133">
            <v>4951</v>
          </cell>
          <cell r="B133" t="str">
            <v>Past Lemon Juice Drum FZN</v>
          </cell>
          <cell r="C133">
            <v>0</v>
          </cell>
          <cell r="D133">
            <v>48</v>
          </cell>
          <cell r="E133">
            <v>0</v>
          </cell>
          <cell r="F133">
            <v>0</v>
          </cell>
        </row>
        <row r="134">
          <cell r="A134" t="str">
            <v>4951M</v>
          </cell>
          <cell r="B134" t="str">
            <v>Meyer Lemon Juice Drum FZN</v>
          </cell>
          <cell r="C134">
            <v>0</v>
          </cell>
          <cell r="D134">
            <v>48</v>
          </cell>
          <cell r="E134">
            <v>0</v>
          </cell>
          <cell r="F134">
            <v>0</v>
          </cell>
        </row>
        <row r="135">
          <cell r="A135">
            <v>4952</v>
          </cell>
          <cell r="B135" t="str">
            <v>Past Lemon Juice Drum REF</v>
          </cell>
          <cell r="C135">
            <v>0</v>
          </cell>
          <cell r="D135">
            <v>48</v>
          </cell>
          <cell r="E135">
            <v>0</v>
          </cell>
        </row>
        <row r="136">
          <cell r="A136">
            <v>4955</v>
          </cell>
          <cell r="B136" t="str">
            <v>High-Acid Lemon Juice with Concentrate Drum REF</v>
          </cell>
          <cell r="C136">
            <v>0</v>
          </cell>
          <cell r="D136">
            <v>48</v>
          </cell>
          <cell r="E136">
            <v>0</v>
          </cell>
        </row>
        <row r="137">
          <cell r="A137">
            <v>5002</v>
          </cell>
          <cell r="B137" t="str">
            <v>SOI Marg Mix Gln 4pk</v>
          </cell>
          <cell r="C137">
            <v>400</v>
          </cell>
          <cell r="D137">
            <v>4</v>
          </cell>
          <cell r="E137">
            <v>1600</v>
          </cell>
        </row>
        <row r="138">
          <cell r="A138">
            <v>5005</v>
          </cell>
          <cell r="B138" t="str">
            <v>R-Bay Marg Mix Fzn Qt 12pk</v>
          </cell>
          <cell r="C138">
            <v>0</v>
          </cell>
          <cell r="D138">
            <v>2.8593999999999999</v>
          </cell>
          <cell r="E138">
            <v>0</v>
          </cell>
          <cell r="F138">
            <v>0</v>
          </cell>
        </row>
        <row r="139">
          <cell r="A139">
            <v>5006</v>
          </cell>
          <cell r="B139" t="str">
            <v>Markon Marg Mix Gln 4pk</v>
          </cell>
          <cell r="C139">
            <v>642</v>
          </cell>
          <cell r="D139">
            <v>4</v>
          </cell>
          <cell r="E139">
            <v>2568</v>
          </cell>
        </row>
        <row r="140">
          <cell r="A140">
            <v>5008</v>
          </cell>
          <cell r="B140" t="str">
            <v>MS RTS Marg Mix 4/1 Gln</v>
          </cell>
          <cell r="C140">
            <v>0</v>
          </cell>
          <cell r="D140">
            <v>4</v>
          </cell>
          <cell r="E140">
            <v>0</v>
          </cell>
        </row>
        <row r="141">
          <cell r="A141">
            <v>5009</v>
          </cell>
          <cell r="B141" t="str">
            <v>MS RTS Marg Mix Hpint 24pk</v>
          </cell>
          <cell r="C141">
            <v>0</v>
          </cell>
          <cell r="D141">
            <v>1.5</v>
          </cell>
          <cell r="E141">
            <v>0</v>
          </cell>
        </row>
        <row r="142">
          <cell r="A142">
            <v>5011</v>
          </cell>
          <cell r="B142" t="str">
            <v>MS RTS Organic Marg Mix HGln 6Pk</v>
          </cell>
          <cell r="C142">
            <v>0</v>
          </cell>
          <cell r="D142">
            <v>3</v>
          </cell>
          <cell r="E142">
            <v>0</v>
          </cell>
        </row>
        <row r="143">
          <cell r="A143">
            <v>5012</v>
          </cell>
          <cell r="B143" t="str">
            <v>MS RTS Organic Marg Mix Hpint 24 pk</v>
          </cell>
          <cell r="C143">
            <v>0</v>
          </cell>
          <cell r="D143">
            <v>3</v>
          </cell>
          <cell r="E143">
            <v>0</v>
          </cell>
        </row>
        <row r="144">
          <cell r="A144">
            <v>5014</v>
          </cell>
          <cell r="B144" t="str">
            <v>Margarita Mix 6pk HGln</v>
          </cell>
          <cell r="C144">
            <v>532</v>
          </cell>
          <cell r="D144">
            <v>3</v>
          </cell>
          <cell r="E144">
            <v>1596</v>
          </cell>
        </row>
        <row r="145">
          <cell r="A145">
            <v>5018</v>
          </cell>
          <cell r="B145" t="str">
            <v>Z Tejas Marg Mix HGln 6pk</v>
          </cell>
          <cell r="C145">
            <v>0</v>
          </cell>
          <cell r="D145">
            <v>3</v>
          </cell>
          <cell r="E145">
            <v>0</v>
          </cell>
        </row>
        <row r="146">
          <cell r="A146">
            <v>5019</v>
          </cell>
          <cell r="B146" t="str">
            <v>Z Tejas Marg Mix HGln 9pk</v>
          </cell>
          <cell r="C146">
            <v>0</v>
          </cell>
          <cell r="D146">
            <v>4.5</v>
          </cell>
          <cell r="E146">
            <v>0</v>
          </cell>
        </row>
        <row r="147">
          <cell r="A147">
            <v>5020</v>
          </cell>
          <cell r="B147" t="str">
            <v>Red Lobster Marg Mix Cond 3+1 Qt 16pk</v>
          </cell>
          <cell r="C147">
            <v>0</v>
          </cell>
          <cell r="D147">
            <v>4</v>
          </cell>
          <cell r="E147">
            <v>0</v>
          </cell>
        </row>
        <row r="148">
          <cell r="A148">
            <v>5024</v>
          </cell>
          <cell r="B148" t="str">
            <v>Mango Margarita Mix FZN 6pk 61.5oz Rykoff Sexton</v>
          </cell>
          <cell r="C148">
            <v>0</v>
          </cell>
          <cell r="D148">
            <v>2.8828</v>
          </cell>
          <cell r="E148">
            <v>0</v>
          </cell>
          <cell r="F148">
            <v>0</v>
          </cell>
        </row>
        <row r="149">
          <cell r="A149">
            <v>5025</v>
          </cell>
          <cell r="B149" t="str">
            <v>RL "FRZN" MARG COND 6 Pk Hgln</v>
          </cell>
          <cell r="C149">
            <v>0</v>
          </cell>
          <cell r="D149">
            <v>2.8828</v>
          </cell>
          <cell r="E149">
            <v>0</v>
          </cell>
          <cell r="F149">
            <v>0</v>
          </cell>
        </row>
        <row r="150">
          <cell r="A150">
            <v>5142</v>
          </cell>
          <cell r="B150" t="str">
            <v>Marg Mix Hgln 9 Pk</v>
          </cell>
          <cell r="C150">
            <v>226</v>
          </cell>
          <cell r="D150">
            <v>4.5</v>
          </cell>
          <cell r="E150">
            <v>1017</v>
          </cell>
        </row>
        <row r="151">
          <cell r="A151">
            <v>5143</v>
          </cell>
          <cell r="B151" t="str">
            <v>OJC Marg Mix Cond 3+1 4pk Hgln</v>
          </cell>
          <cell r="C151">
            <v>0</v>
          </cell>
          <cell r="D151">
            <v>2</v>
          </cell>
          <cell r="E151">
            <v>0</v>
          </cell>
        </row>
        <row r="152">
          <cell r="A152">
            <v>5145</v>
          </cell>
          <cell r="B152" t="str">
            <v>OSSI 2+1 Cond Marg 6 Pk Qt</v>
          </cell>
          <cell r="C152">
            <v>0</v>
          </cell>
          <cell r="D152">
            <v>1.5</v>
          </cell>
          <cell r="E152">
            <v>0</v>
          </cell>
        </row>
        <row r="153">
          <cell r="A153">
            <v>5153</v>
          </cell>
          <cell r="B153" t="str">
            <v>Sweet\Sour Mix Canyon Café Gln 4 Pk</v>
          </cell>
          <cell r="C153">
            <v>0</v>
          </cell>
          <cell r="D153">
            <v>3.8437999999999999</v>
          </cell>
          <cell r="E153">
            <v>0</v>
          </cell>
        </row>
        <row r="154">
          <cell r="A154">
            <v>5193</v>
          </cell>
          <cell r="B154" t="str">
            <v>Sysco ULP3+1 cond Marg 6pk Qts</v>
          </cell>
          <cell r="C154">
            <v>0</v>
          </cell>
          <cell r="D154">
            <v>1.5</v>
          </cell>
          <cell r="E154">
            <v>0</v>
          </cell>
        </row>
        <row r="155">
          <cell r="A155">
            <v>5200</v>
          </cell>
          <cell r="B155" t="str">
            <v>RB Variety 6/PK QTS</v>
          </cell>
          <cell r="C155">
            <v>0</v>
          </cell>
          <cell r="D155">
            <v>1.4059999999999999</v>
          </cell>
          <cell r="E155">
            <v>0</v>
          </cell>
        </row>
        <row r="156">
          <cell r="A156">
            <v>5203</v>
          </cell>
          <cell r="B156" t="str">
            <v>SOI Bar Mix Cond 1+1 Gln 4pk</v>
          </cell>
          <cell r="C156">
            <v>0</v>
          </cell>
          <cell r="D156">
            <v>4</v>
          </cell>
          <cell r="E156">
            <v>0</v>
          </cell>
        </row>
        <row r="157">
          <cell r="A157">
            <v>5204</v>
          </cell>
          <cell r="B157" t="str">
            <v>SOI Sweet &amp; Sour Mix 3+1 FZN</v>
          </cell>
          <cell r="C157">
            <v>136</v>
          </cell>
          <cell r="D157">
            <v>3</v>
          </cell>
          <cell r="E157">
            <v>408</v>
          </cell>
          <cell r="F157">
            <v>408</v>
          </cell>
        </row>
        <row r="158">
          <cell r="A158">
            <v>5207</v>
          </cell>
          <cell r="B158" t="str">
            <v>Cheesecake Lemon Sour 6pk Hgln</v>
          </cell>
          <cell r="C158">
            <v>0</v>
          </cell>
          <cell r="D158">
            <v>3</v>
          </cell>
          <cell r="E158">
            <v>0</v>
          </cell>
        </row>
        <row r="159">
          <cell r="A159">
            <v>5210</v>
          </cell>
          <cell r="B159" t="str">
            <v>Friday's Cond Sour Rocks &amp; Blender Mix</v>
          </cell>
          <cell r="C159">
            <v>0</v>
          </cell>
          <cell r="D159">
            <v>3</v>
          </cell>
          <cell r="E159">
            <v>0</v>
          </cell>
        </row>
        <row r="160">
          <cell r="A160">
            <v>5235</v>
          </cell>
          <cell r="B160" t="str">
            <v>R-Bay Peach Mix Fzn Qt 12pk</v>
          </cell>
          <cell r="C160">
            <v>0</v>
          </cell>
          <cell r="D160">
            <v>2.8125</v>
          </cell>
          <cell r="E160">
            <v>0</v>
          </cell>
          <cell r="F160">
            <v>0</v>
          </cell>
        </row>
        <row r="161">
          <cell r="A161">
            <v>5245</v>
          </cell>
          <cell r="B161" t="str">
            <v>R-Bay Wildberry Mix Fzn Qt 12pk</v>
          </cell>
          <cell r="C161">
            <v>0</v>
          </cell>
          <cell r="D161">
            <v>2.8593000000000002</v>
          </cell>
          <cell r="E161">
            <v>0</v>
          </cell>
          <cell r="F161">
            <v>0</v>
          </cell>
        </row>
        <row r="162">
          <cell r="A162">
            <v>5255</v>
          </cell>
          <cell r="B162" t="str">
            <v>R-Bay Strw Bar Mix Fzn Qt 12pk</v>
          </cell>
          <cell r="C162">
            <v>0</v>
          </cell>
          <cell r="D162">
            <v>2.8593999999999999</v>
          </cell>
          <cell r="E162">
            <v>0</v>
          </cell>
          <cell r="F162">
            <v>0</v>
          </cell>
        </row>
        <row r="163">
          <cell r="A163">
            <v>5265</v>
          </cell>
          <cell r="B163" t="str">
            <v>R-Bay Pina Colada Mix Fzn Qt 12pk</v>
          </cell>
          <cell r="C163">
            <v>0</v>
          </cell>
          <cell r="D163">
            <v>2.8593999999999999</v>
          </cell>
          <cell r="E163">
            <v>0</v>
          </cell>
          <cell r="F163">
            <v>0</v>
          </cell>
        </row>
        <row r="164">
          <cell r="A164">
            <v>5274</v>
          </cell>
          <cell r="B164" t="str">
            <v>RB SWT &amp; Sour 12/QTS</v>
          </cell>
          <cell r="C164">
            <v>0</v>
          </cell>
          <cell r="D164">
            <v>2.8593999999999999</v>
          </cell>
          <cell r="E164">
            <v>0</v>
          </cell>
        </row>
        <row r="165">
          <cell r="A165">
            <v>5275</v>
          </cell>
          <cell r="B165" t="str">
            <v>R-Bay Sweet &amp; Sour Mix Fzn Qt 12pk</v>
          </cell>
          <cell r="C165">
            <v>0</v>
          </cell>
          <cell r="D165">
            <v>2.8593999999999999</v>
          </cell>
          <cell r="E165">
            <v>0</v>
          </cell>
          <cell r="F165">
            <v>0</v>
          </cell>
        </row>
        <row r="166">
          <cell r="A166">
            <v>5292</v>
          </cell>
          <cell r="B166" t="str">
            <v>Sweet\Sour Mix Sysco 1+1 Hgln 6 Pk</v>
          </cell>
          <cell r="C166">
            <v>0</v>
          </cell>
          <cell r="D166">
            <v>3</v>
          </cell>
          <cell r="E166">
            <v>0</v>
          </cell>
          <cell r="F166">
            <v>0</v>
          </cell>
        </row>
        <row r="167">
          <cell r="A167">
            <v>5314</v>
          </cell>
          <cell r="B167" t="str">
            <v>Bloody Mary Mix 6pk Hgln</v>
          </cell>
          <cell r="C167">
            <v>386</v>
          </cell>
          <cell r="D167">
            <v>3</v>
          </cell>
          <cell r="E167">
            <v>1158</v>
          </cell>
        </row>
        <row r="168">
          <cell r="A168">
            <v>5315</v>
          </cell>
          <cell r="B168" t="str">
            <v>SO Bloody Mary Mix 6pk Hgln</v>
          </cell>
          <cell r="C168">
            <v>192</v>
          </cell>
          <cell r="D168">
            <v>3</v>
          </cell>
          <cell r="E168">
            <v>576</v>
          </cell>
        </row>
        <row r="169">
          <cell r="A169">
            <v>5316</v>
          </cell>
          <cell r="B169" t="str">
            <v>SO Bloody Mary Mix 32oz 6pk</v>
          </cell>
          <cell r="C169">
            <v>0</v>
          </cell>
          <cell r="D169">
            <v>1.5</v>
          </cell>
          <cell r="E169">
            <v>0</v>
          </cell>
        </row>
        <row r="170">
          <cell r="A170">
            <v>5516</v>
          </cell>
          <cell r="B170" t="str">
            <v>SOI Marg Mix 32oz 6pk</v>
          </cell>
          <cell r="C170">
            <v>0</v>
          </cell>
          <cell r="D170">
            <v>1.5</v>
          </cell>
          <cell r="E170">
            <v>0</v>
          </cell>
        </row>
        <row r="171">
          <cell r="A171">
            <v>5805</v>
          </cell>
          <cell r="B171" t="str">
            <v>SOI Lemon Lime Juice 4pk Gln</v>
          </cell>
          <cell r="C171">
            <v>0</v>
          </cell>
          <cell r="D171">
            <v>4</v>
          </cell>
          <cell r="E171">
            <v>0</v>
          </cell>
          <cell r="F171">
            <v>0</v>
          </cell>
        </row>
        <row r="172">
          <cell r="A172">
            <v>5806</v>
          </cell>
          <cell r="B172" t="str">
            <v>Premium Lime Lemon 4pk Gln</v>
          </cell>
          <cell r="C172">
            <v>3433</v>
          </cell>
          <cell r="D172">
            <v>4</v>
          </cell>
          <cell r="E172">
            <v>13732</v>
          </cell>
        </row>
        <row r="173">
          <cell r="A173">
            <v>5807</v>
          </cell>
          <cell r="B173" t="str">
            <v>Premium Lime Lemon FZN 4pk 123oz</v>
          </cell>
          <cell r="C173">
            <v>0</v>
          </cell>
          <cell r="D173">
            <v>4</v>
          </cell>
          <cell r="E173">
            <v>0</v>
          </cell>
        </row>
        <row r="174">
          <cell r="A174">
            <v>5815</v>
          </cell>
          <cell r="B174" t="str">
            <v>SOI 50/50 Lemon Lime Juice HGln 6pk</v>
          </cell>
          <cell r="C174">
            <v>0</v>
          </cell>
          <cell r="D174">
            <v>3</v>
          </cell>
          <cell r="E174">
            <v>0</v>
          </cell>
        </row>
        <row r="175">
          <cell r="A175">
            <v>6217</v>
          </cell>
          <cell r="B175" t="str">
            <v>Sweet Lime Base 9pk 61.5oz FZN</v>
          </cell>
          <cell r="C175">
            <v>0</v>
          </cell>
          <cell r="D175">
            <v>1.4410000000000001</v>
          </cell>
          <cell r="E175">
            <v>0</v>
          </cell>
          <cell r="F175">
            <v>0</v>
          </cell>
        </row>
        <row r="176">
          <cell r="A176">
            <v>6225</v>
          </cell>
          <cell r="B176" t="str">
            <v>SOI Lime Juice Fzn Qt 6pk</v>
          </cell>
          <cell r="C176">
            <v>1157</v>
          </cell>
          <cell r="D176">
            <v>1.4297</v>
          </cell>
          <cell r="E176">
            <v>1654.1629</v>
          </cell>
          <cell r="F176">
            <v>1654.1629</v>
          </cell>
        </row>
        <row r="177">
          <cell r="A177">
            <v>6227</v>
          </cell>
          <cell r="B177" t="str">
            <v>SOI Lime Juice Fzn Qt 16pk</v>
          </cell>
          <cell r="C177">
            <v>386</v>
          </cell>
          <cell r="D177">
            <v>3.8125</v>
          </cell>
          <cell r="E177">
            <v>1471.625</v>
          </cell>
          <cell r="F177">
            <v>1471.625</v>
          </cell>
        </row>
        <row r="178">
          <cell r="A178">
            <v>6501</v>
          </cell>
          <cell r="B178" t="str">
            <v>Qdoba Lime Juice Gln 4pk</v>
          </cell>
          <cell r="C178">
            <v>309</v>
          </cell>
          <cell r="D178">
            <v>4</v>
          </cell>
          <cell r="E178">
            <v>1236</v>
          </cell>
        </row>
        <row r="179">
          <cell r="A179">
            <v>6502</v>
          </cell>
          <cell r="B179" t="str">
            <v>SOI Lime Juice Gln 4pk</v>
          </cell>
          <cell r="C179">
            <v>1027</v>
          </cell>
          <cell r="D179">
            <v>4</v>
          </cell>
          <cell r="E179">
            <v>4108</v>
          </cell>
        </row>
        <row r="180">
          <cell r="A180">
            <v>6503</v>
          </cell>
          <cell r="B180" t="str">
            <v>OJC Lime Juice HGln 6pk</v>
          </cell>
          <cell r="C180">
            <v>0</v>
          </cell>
          <cell r="D180">
            <v>3</v>
          </cell>
          <cell r="E180">
            <v>0</v>
          </cell>
        </row>
        <row r="181">
          <cell r="A181">
            <v>6506</v>
          </cell>
          <cell r="B181" t="str">
            <v>Markon Lime Juice HGln 6pk</v>
          </cell>
          <cell r="C181">
            <v>1204</v>
          </cell>
          <cell r="D181">
            <v>3</v>
          </cell>
          <cell r="E181">
            <v>3612</v>
          </cell>
        </row>
        <row r="182">
          <cell r="A182">
            <v>6508</v>
          </cell>
          <cell r="B182" t="str">
            <v>Markon Lime Juice Gln 4pk</v>
          </cell>
          <cell r="C182">
            <v>1146</v>
          </cell>
          <cell r="D182">
            <v>4</v>
          </cell>
          <cell r="E182">
            <v>4584</v>
          </cell>
        </row>
        <row r="183">
          <cell r="A183">
            <v>6510</v>
          </cell>
          <cell r="B183" t="str">
            <v>Markon Lime Juice Qt 16pk</v>
          </cell>
          <cell r="C183">
            <v>0</v>
          </cell>
          <cell r="D183">
            <v>4</v>
          </cell>
          <cell r="E183">
            <v>0</v>
          </cell>
        </row>
        <row r="184">
          <cell r="A184">
            <v>6513</v>
          </cell>
          <cell r="B184" t="str">
            <v>SOI Lime Juice HGln 6pk</v>
          </cell>
          <cell r="C184">
            <v>560</v>
          </cell>
          <cell r="D184">
            <v>3</v>
          </cell>
          <cell r="E184">
            <v>1680</v>
          </cell>
        </row>
        <row r="185">
          <cell r="A185">
            <v>6516</v>
          </cell>
          <cell r="B185" t="str">
            <v>SOI Lime Juice Qt 6pk</v>
          </cell>
          <cell r="C185">
            <v>2891</v>
          </cell>
          <cell r="D185">
            <v>1.5</v>
          </cell>
          <cell r="E185">
            <v>4336.5</v>
          </cell>
        </row>
        <row r="186">
          <cell r="A186">
            <v>6518</v>
          </cell>
          <cell r="B186" t="str">
            <v>Panera Cherry Limeade PreMix FZN 3pk HGLN</v>
          </cell>
          <cell r="C186">
            <v>0</v>
          </cell>
          <cell r="D186">
            <v>1.44</v>
          </cell>
          <cell r="E186">
            <v>0</v>
          </cell>
          <cell r="F186">
            <v>0</v>
          </cell>
        </row>
        <row r="187">
          <cell r="A187">
            <v>6524</v>
          </cell>
          <cell r="B187" t="str">
            <v xml:space="preserve">Lime Ulp Hgln 9 Pk </v>
          </cell>
          <cell r="C187">
            <v>0</v>
          </cell>
          <cell r="D187">
            <v>4.5</v>
          </cell>
          <cell r="E187">
            <v>0</v>
          </cell>
        </row>
        <row r="188">
          <cell r="A188">
            <v>6527</v>
          </cell>
          <cell r="B188" t="str">
            <v>Lime Juice Qt 16pk</v>
          </cell>
          <cell r="C188">
            <v>0</v>
          </cell>
          <cell r="D188">
            <v>4</v>
          </cell>
          <cell r="E188">
            <v>0</v>
          </cell>
        </row>
        <row r="189">
          <cell r="A189">
            <v>6590</v>
          </cell>
          <cell r="B189" t="str">
            <v>SOI Limeade 3+1 Fzn HGln</v>
          </cell>
          <cell r="C189">
            <v>150</v>
          </cell>
          <cell r="D189">
            <v>3</v>
          </cell>
          <cell r="E189">
            <v>450</v>
          </cell>
          <cell r="F189">
            <v>450</v>
          </cell>
        </row>
        <row r="190">
          <cell r="A190">
            <v>6591</v>
          </cell>
          <cell r="B190" t="str">
            <v>SYSCO Lime Juice Gln 4pk</v>
          </cell>
          <cell r="C190">
            <v>883</v>
          </cell>
          <cell r="D190">
            <v>4</v>
          </cell>
          <cell r="E190">
            <v>3532</v>
          </cell>
        </row>
        <row r="191">
          <cell r="A191">
            <v>6593</v>
          </cell>
          <cell r="B191" t="str">
            <v>SYSCO Lime Juice Qt 6pk</v>
          </cell>
          <cell r="C191">
            <v>2255</v>
          </cell>
          <cell r="D191">
            <v>1.5</v>
          </cell>
          <cell r="E191">
            <v>3382.5</v>
          </cell>
        </row>
        <row r="192">
          <cell r="A192">
            <v>6594</v>
          </cell>
          <cell r="B192" t="str">
            <v>Panera 4+1 Strawberry Limeade</v>
          </cell>
          <cell r="C192">
            <v>0</v>
          </cell>
          <cell r="D192">
            <v>1.4410000000000001</v>
          </cell>
          <cell r="E192">
            <v>0</v>
          </cell>
          <cell r="F192">
            <v>0</v>
          </cell>
        </row>
        <row r="193">
          <cell r="A193">
            <v>6595</v>
          </cell>
          <cell r="B193" t="str">
            <v>Captain D's Strw Limeade FZN 6pk Hgln</v>
          </cell>
          <cell r="C193">
            <v>0</v>
          </cell>
          <cell r="D193">
            <v>3.8828</v>
          </cell>
          <cell r="E193">
            <v>0</v>
          </cell>
          <cell r="F193">
            <v>0</v>
          </cell>
        </row>
        <row r="194">
          <cell r="A194">
            <v>6596</v>
          </cell>
          <cell r="B194" t="str">
            <v>Watermelon Limeade 6pk Hgln</v>
          </cell>
          <cell r="C194">
            <v>0</v>
          </cell>
          <cell r="D194">
            <v>3</v>
          </cell>
          <cell r="E194">
            <v>0</v>
          </cell>
        </row>
        <row r="195">
          <cell r="A195">
            <v>6598</v>
          </cell>
          <cell r="B195" t="str">
            <v>OJC Lime Juice 9pk Hgln</v>
          </cell>
          <cell r="C195">
            <v>0</v>
          </cell>
          <cell r="D195">
            <v>4.5</v>
          </cell>
          <cell r="E195">
            <v>0</v>
          </cell>
        </row>
        <row r="196">
          <cell r="A196">
            <v>6602</v>
          </cell>
          <cell r="B196" t="str">
            <v>SOI Key Lime Juice 123oz 4pk TBF</v>
          </cell>
          <cell r="C196">
            <v>0</v>
          </cell>
          <cell r="D196">
            <v>3.84375</v>
          </cell>
          <cell r="E196">
            <v>0</v>
          </cell>
        </row>
        <row r="197">
          <cell r="A197" t="str">
            <v>6616F</v>
          </cell>
          <cell r="B197" t="str">
            <v>SOI Key Lime Juice 30.5oz 6pk FZN</v>
          </cell>
          <cell r="C197">
            <v>0</v>
          </cell>
          <cell r="D197">
            <v>1.4296875</v>
          </cell>
          <cell r="E197">
            <v>0</v>
          </cell>
          <cell r="F197">
            <v>0</v>
          </cell>
        </row>
        <row r="198">
          <cell r="A198">
            <v>6617</v>
          </cell>
          <cell r="B198" t="str">
            <v>Key Lime Juice 12pk Qt</v>
          </cell>
          <cell r="C198">
            <v>406</v>
          </cell>
          <cell r="D198">
            <v>3</v>
          </cell>
          <cell r="E198">
            <v>1218</v>
          </cell>
        </row>
        <row r="199">
          <cell r="A199">
            <v>6618</v>
          </cell>
          <cell r="B199" t="str">
            <v>SOI Key Lime Juice from Conc 12pk Qt</v>
          </cell>
          <cell r="C199">
            <v>0</v>
          </cell>
          <cell r="D199">
            <v>3</v>
          </cell>
          <cell r="E199">
            <v>0</v>
          </cell>
          <cell r="F199" t="str">
            <v xml:space="preserve"> </v>
          </cell>
        </row>
        <row r="200">
          <cell r="A200">
            <v>6817</v>
          </cell>
          <cell r="B200" t="str">
            <v>Sweet Lime Base 4pk Gln</v>
          </cell>
          <cell r="C200">
            <v>0</v>
          </cell>
          <cell r="D200">
            <v>4</v>
          </cell>
          <cell r="E200">
            <v>0</v>
          </cell>
        </row>
        <row r="201">
          <cell r="A201">
            <v>6904</v>
          </cell>
          <cell r="B201" t="str">
            <v>Lime pulp in Buckets</v>
          </cell>
          <cell r="C201">
            <v>0</v>
          </cell>
          <cell r="D201">
            <v>28</v>
          </cell>
          <cell r="E201">
            <v>0</v>
          </cell>
        </row>
        <row r="202">
          <cell r="A202">
            <v>6905</v>
          </cell>
          <cell r="B202" t="str">
            <v>Raw Lime Juice w/pulp in Buckets</v>
          </cell>
          <cell r="C202">
            <v>0</v>
          </cell>
          <cell r="D202">
            <v>5</v>
          </cell>
          <cell r="E202">
            <v>0</v>
          </cell>
        </row>
        <row r="203">
          <cell r="A203">
            <v>6951</v>
          </cell>
          <cell r="B203" t="str">
            <v>Past Lime Juice Drum FZN</v>
          </cell>
          <cell r="C203">
            <v>0</v>
          </cell>
          <cell r="D203">
            <v>48</v>
          </cell>
          <cell r="E203">
            <v>0</v>
          </cell>
          <cell r="F203">
            <v>0</v>
          </cell>
        </row>
        <row r="204">
          <cell r="A204">
            <v>6952</v>
          </cell>
          <cell r="B204" t="str">
            <v>Past Lime Juice Drum REF</v>
          </cell>
          <cell r="C204">
            <v>0</v>
          </cell>
          <cell r="D204">
            <v>48</v>
          </cell>
          <cell r="E204">
            <v>0</v>
          </cell>
          <cell r="F204">
            <v>0</v>
          </cell>
        </row>
        <row r="205">
          <cell r="A205">
            <v>6955</v>
          </cell>
          <cell r="B205" t="str">
            <v>Condensed Limeade Base REF 270Gln Tote</v>
          </cell>
          <cell r="C205">
            <v>0</v>
          </cell>
          <cell r="D205">
            <v>270</v>
          </cell>
          <cell r="E205">
            <v>0</v>
          </cell>
        </row>
        <row r="206">
          <cell r="A206">
            <v>7040</v>
          </cell>
          <cell r="B206" t="str">
            <v>OJ No Pulp Tanker</v>
          </cell>
          <cell r="C206">
            <v>0</v>
          </cell>
          <cell r="D206">
            <v>1</v>
          </cell>
          <cell r="E206">
            <v>0</v>
          </cell>
          <cell r="F206">
            <v>0</v>
          </cell>
        </row>
        <row r="207">
          <cell r="A207">
            <v>7201</v>
          </cell>
          <cell r="B207" t="str">
            <v>SOI Orange Juice Fzn HGln 6pk</v>
          </cell>
          <cell r="C207">
            <v>0</v>
          </cell>
          <cell r="D207">
            <v>2.8828</v>
          </cell>
          <cell r="E207">
            <v>0</v>
          </cell>
          <cell r="F207">
            <v>0</v>
          </cell>
        </row>
        <row r="208">
          <cell r="A208">
            <v>7202</v>
          </cell>
          <cell r="B208" t="str">
            <v>Past Oj SOI 61.5 Oz FRZN 6 Pk</v>
          </cell>
          <cell r="C208">
            <v>0</v>
          </cell>
          <cell r="D208">
            <v>2.8828</v>
          </cell>
          <cell r="E208">
            <v>0</v>
          </cell>
          <cell r="F208">
            <v>0</v>
          </cell>
        </row>
        <row r="209">
          <cell r="A209">
            <v>7204</v>
          </cell>
          <cell r="B209" t="str">
            <v>Seville Citrus Juice Gln 4pk FZN</v>
          </cell>
          <cell r="C209">
            <v>0</v>
          </cell>
          <cell r="D209">
            <v>4</v>
          </cell>
          <cell r="E209">
            <v>0</v>
          </cell>
          <cell r="F209">
            <v>0</v>
          </cell>
        </row>
        <row r="210">
          <cell r="A210">
            <v>7205</v>
          </cell>
          <cell r="B210" t="str">
            <v>Jamba Orange Juice Fzn HGln 6pk</v>
          </cell>
          <cell r="C210">
            <v>0</v>
          </cell>
          <cell r="D210">
            <v>3.8828</v>
          </cell>
          <cell r="E210">
            <v>0</v>
          </cell>
          <cell r="F210" t="str">
            <v xml:space="preserve"> </v>
          </cell>
        </row>
        <row r="211">
          <cell r="A211">
            <v>7207</v>
          </cell>
          <cell r="B211" t="str">
            <v>Jamba Orange Juice Fzn HGln 9pk</v>
          </cell>
          <cell r="C211">
            <v>0</v>
          </cell>
          <cell r="D211">
            <v>4.3239999999999998</v>
          </cell>
          <cell r="E211">
            <v>0</v>
          </cell>
          <cell r="F211">
            <v>0</v>
          </cell>
        </row>
        <row r="212">
          <cell r="A212">
            <v>7208</v>
          </cell>
          <cell r="B212" t="str">
            <v>Jamba Orange Juice 1+1 FZN HGln 9pk</v>
          </cell>
          <cell r="C212">
            <v>0</v>
          </cell>
          <cell r="D212">
            <v>4.3239999999999998</v>
          </cell>
          <cell r="E212">
            <v>0</v>
          </cell>
          <cell r="F212">
            <v>0</v>
          </cell>
        </row>
        <row r="213">
          <cell r="A213">
            <v>7213</v>
          </cell>
          <cell r="B213" t="str">
            <v>Panera Valencia 6pk 61.5oz</v>
          </cell>
          <cell r="C213">
            <v>0</v>
          </cell>
          <cell r="D213">
            <v>2.8828</v>
          </cell>
          <cell r="E213">
            <v>0</v>
          </cell>
          <cell r="F213" t="str">
            <v xml:space="preserve"> </v>
          </cell>
        </row>
        <row r="214">
          <cell r="A214">
            <v>7313</v>
          </cell>
          <cell r="B214" t="str">
            <v>SOJO Tang Guava Mango 6/32oz</v>
          </cell>
          <cell r="C214">
            <v>0</v>
          </cell>
          <cell r="D214">
            <v>1.5</v>
          </cell>
          <cell r="E214">
            <v>0</v>
          </cell>
        </row>
        <row r="215">
          <cell r="A215">
            <v>7415</v>
          </cell>
          <cell r="B215" t="str">
            <v>SOI CA Valencia Orange Juice HGln 6pk</v>
          </cell>
          <cell r="C215">
            <v>0</v>
          </cell>
          <cell r="D215">
            <v>3</v>
          </cell>
          <cell r="E215">
            <v>0</v>
          </cell>
        </row>
        <row r="216">
          <cell r="A216">
            <v>7416</v>
          </cell>
          <cell r="B216" t="str">
            <v>Sun Orchard Orange Juice Qt 6pk</v>
          </cell>
          <cell r="C216">
            <v>746</v>
          </cell>
          <cell r="D216">
            <v>1.5</v>
          </cell>
          <cell r="E216">
            <v>1119</v>
          </cell>
        </row>
        <row r="217">
          <cell r="A217">
            <v>7421</v>
          </cell>
          <cell r="B217" t="str">
            <v>Psrtizd OJ 12 oz   25 pack</v>
          </cell>
          <cell r="C217">
            <v>0</v>
          </cell>
          <cell r="D217">
            <v>2.3437999999999999</v>
          </cell>
          <cell r="E217">
            <v>0</v>
          </cell>
        </row>
        <row r="218">
          <cell r="A218">
            <v>7424</v>
          </cell>
          <cell r="B218" t="str">
            <v>Pastr OJ Hlf Gln    9 pack</v>
          </cell>
          <cell r="C218">
            <v>0</v>
          </cell>
          <cell r="D218">
            <v>4.5</v>
          </cell>
          <cell r="E218">
            <v>0</v>
          </cell>
        </row>
        <row r="219">
          <cell r="A219">
            <v>7430</v>
          </cell>
          <cell r="B219" t="str">
            <v>Past Oj Pint 25 Pk</v>
          </cell>
          <cell r="C219">
            <v>0</v>
          </cell>
          <cell r="D219">
            <v>3.125</v>
          </cell>
          <cell r="E219">
            <v>0</v>
          </cell>
        </row>
        <row r="220">
          <cell r="A220">
            <v>7442</v>
          </cell>
          <cell r="B220" t="str">
            <v>SO NP Valencia Orange Juice FZN 61.5oz 6pk</v>
          </cell>
          <cell r="C220">
            <v>0</v>
          </cell>
          <cell r="D220">
            <v>2.8828125</v>
          </cell>
          <cell r="E220">
            <v>0</v>
          </cell>
          <cell r="F220">
            <v>0</v>
          </cell>
        </row>
        <row r="221">
          <cell r="A221">
            <v>7502</v>
          </cell>
          <cell r="B221" t="str">
            <v>SOI Orange Juice Gln 4pk</v>
          </cell>
          <cell r="C221">
            <v>4160</v>
          </cell>
          <cell r="D221">
            <v>4</v>
          </cell>
          <cell r="E221">
            <v>16640</v>
          </cell>
        </row>
        <row r="222">
          <cell r="A222">
            <v>7504</v>
          </cell>
          <cell r="B222" t="str">
            <v>Panera Premium 6pk 64oz</v>
          </cell>
          <cell r="C222">
            <v>0</v>
          </cell>
          <cell r="D222">
            <v>3</v>
          </cell>
          <cell r="E222">
            <v>0</v>
          </cell>
        </row>
        <row r="223">
          <cell r="A223">
            <v>7506</v>
          </cell>
          <cell r="B223" t="str">
            <v>Markon Orange Juice Gln 4pk</v>
          </cell>
          <cell r="C223">
            <v>3855</v>
          </cell>
          <cell r="D223">
            <v>4</v>
          </cell>
          <cell r="E223">
            <v>15420</v>
          </cell>
        </row>
        <row r="224">
          <cell r="A224">
            <v>7507</v>
          </cell>
          <cell r="B224" t="str">
            <v>Panera Orange Juice 3pk 64oz</v>
          </cell>
          <cell r="C224">
            <v>0</v>
          </cell>
          <cell r="D224">
            <v>1.4410000000000001</v>
          </cell>
          <cell r="E224">
            <v>0</v>
          </cell>
        </row>
        <row r="225">
          <cell r="A225">
            <v>7508</v>
          </cell>
          <cell r="B225" t="str">
            <v>CA Panera Orange Juice 3pk 64oz</v>
          </cell>
          <cell r="C225">
            <v>0</v>
          </cell>
          <cell r="D225">
            <v>1.4410000000000001</v>
          </cell>
          <cell r="E225">
            <v>0</v>
          </cell>
        </row>
        <row r="226">
          <cell r="A226">
            <v>7509</v>
          </cell>
          <cell r="B226" t="str">
            <v>No Label Orange Juice Gln 4pk</v>
          </cell>
          <cell r="C226">
            <v>0</v>
          </cell>
          <cell r="D226">
            <v>4</v>
          </cell>
          <cell r="E226">
            <v>0</v>
          </cell>
        </row>
        <row r="227">
          <cell r="A227">
            <v>7510</v>
          </cell>
          <cell r="B227" t="str">
            <v>All Natural Homestyle Orange Juice Gln 4pk</v>
          </cell>
          <cell r="C227">
            <v>0</v>
          </cell>
          <cell r="D227">
            <v>4</v>
          </cell>
          <cell r="E227">
            <v>0</v>
          </cell>
        </row>
        <row r="228">
          <cell r="A228">
            <v>7512</v>
          </cell>
          <cell r="C228">
            <v>0</v>
          </cell>
          <cell r="D228">
            <v>2.25</v>
          </cell>
          <cell r="E228">
            <v>0</v>
          </cell>
        </row>
        <row r="229">
          <cell r="A229">
            <v>7513</v>
          </cell>
          <cell r="B229" t="str">
            <v>OJC Orange Juice Gln 4pk</v>
          </cell>
          <cell r="C229">
            <v>0</v>
          </cell>
          <cell r="D229">
            <v>4</v>
          </cell>
          <cell r="E229">
            <v>0</v>
          </cell>
        </row>
        <row r="230">
          <cell r="A230">
            <v>7514</v>
          </cell>
          <cell r="B230" t="str">
            <v>Epicurean Epicurean Past OJ Gln 4pk</v>
          </cell>
          <cell r="C230">
            <v>0</v>
          </cell>
          <cell r="D230">
            <v>4</v>
          </cell>
          <cell r="E230">
            <v>0</v>
          </cell>
        </row>
        <row r="231">
          <cell r="A231">
            <v>7515</v>
          </cell>
          <cell r="B231" t="str">
            <v>SOI Orange Juice HGln 6pk</v>
          </cell>
          <cell r="C231">
            <v>0</v>
          </cell>
          <cell r="D231">
            <v>3</v>
          </cell>
          <cell r="E231">
            <v>0</v>
          </cell>
        </row>
        <row r="232">
          <cell r="A232">
            <v>7516</v>
          </cell>
          <cell r="B232" t="str">
            <v>SOI Orange Juice QT 6pk Extra Pulp</v>
          </cell>
          <cell r="C232">
            <v>0</v>
          </cell>
          <cell r="D232">
            <v>1.5</v>
          </cell>
          <cell r="E232">
            <v>0</v>
          </cell>
        </row>
        <row r="233">
          <cell r="A233">
            <v>7519</v>
          </cell>
          <cell r="B233" t="str">
            <v>Panera OJ 24pk 11.5 oz RTS</v>
          </cell>
          <cell r="C233">
            <v>0</v>
          </cell>
          <cell r="D233">
            <v>2.15625</v>
          </cell>
          <cell r="E233">
            <v>0</v>
          </cell>
        </row>
        <row r="234">
          <cell r="A234">
            <v>7520</v>
          </cell>
          <cell r="C234">
            <v>0</v>
          </cell>
          <cell r="D234">
            <v>2.1562999999999999</v>
          </cell>
          <cell r="E234">
            <v>0</v>
          </cell>
        </row>
        <row r="235">
          <cell r="A235">
            <v>7523</v>
          </cell>
          <cell r="B235" t="str">
            <v>Panera Valencia 12pk 11.5oz</v>
          </cell>
          <cell r="C235">
            <v>0</v>
          </cell>
          <cell r="D235">
            <v>1.0781000000000001</v>
          </cell>
          <cell r="E235">
            <v>0</v>
          </cell>
        </row>
        <row r="236">
          <cell r="A236">
            <v>7524</v>
          </cell>
          <cell r="B236" t="str">
            <v>Ulp Oj Hgln 9 Pk</v>
          </cell>
          <cell r="C236">
            <v>0</v>
          </cell>
          <cell r="D236">
            <v>4.5</v>
          </cell>
          <cell r="E236">
            <v>0</v>
          </cell>
        </row>
        <row r="237">
          <cell r="A237">
            <v>7526</v>
          </cell>
          <cell r="B237" t="str">
            <v>Winder Farms Orange Juice HGln 9pk</v>
          </cell>
          <cell r="C237">
            <v>0</v>
          </cell>
          <cell r="D237">
            <v>4.5</v>
          </cell>
          <cell r="E237">
            <v>0</v>
          </cell>
        </row>
        <row r="238">
          <cell r="A238">
            <v>7527</v>
          </cell>
          <cell r="B238" t="str">
            <v>SOI Orange Juice Qt 16pk</v>
          </cell>
          <cell r="C238">
            <v>0</v>
          </cell>
          <cell r="D238">
            <v>4</v>
          </cell>
          <cell r="E238">
            <v>0</v>
          </cell>
        </row>
        <row r="239">
          <cell r="A239">
            <v>7530</v>
          </cell>
          <cell r="B239" t="str">
            <v>Ulp Oj Pint 25 Pk</v>
          </cell>
          <cell r="C239">
            <v>0</v>
          </cell>
          <cell r="D239">
            <v>3.125</v>
          </cell>
          <cell r="E239">
            <v>0</v>
          </cell>
        </row>
        <row r="240">
          <cell r="A240">
            <v>7531</v>
          </cell>
          <cell r="B240" t="str">
            <v>Lotaburger OJ 25pk pint</v>
          </cell>
          <cell r="C240">
            <v>0</v>
          </cell>
          <cell r="D240">
            <v>3.125</v>
          </cell>
          <cell r="E240">
            <v>0</v>
          </cell>
        </row>
        <row r="241">
          <cell r="A241">
            <v>7534</v>
          </cell>
          <cell r="B241" t="str">
            <v>SOI Orange Juice 12oz 24pk</v>
          </cell>
          <cell r="C241">
            <v>0</v>
          </cell>
          <cell r="D241">
            <v>2.25</v>
          </cell>
          <cell r="E241">
            <v>0</v>
          </cell>
        </row>
        <row r="242">
          <cell r="A242">
            <v>7535</v>
          </cell>
          <cell r="B242" t="str">
            <v>Winder Farms Orange Juice Pint 25pk</v>
          </cell>
          <cell r="C242">
            <v>0</v>
          </cell>
          <cell r="D242">
            <v>3.125</v>
          </cell>
          <cell r="E242">
            <v>0</v>
          </cell>
        </row>
        <row r="243">
          <cell r="A243">
            <v>7540</v>
          </cell>
          <cell r="B243" t="str">
            <v>SOI Orange Juice NP Gln 4pk</v>
          </cell>
          <cell r="C243">
            <v>898</v>
          </cell>
          <cell r="D243">
            <v>4</v>
          </cell>
          <cell r="E243">
            <v>3592</v>
          </cell>
        </row>
        <row r="244">
          <cell r="A244">
            <v>7542</v>
          </cell>
          <cell r="B244" t="str">
            <v>SOI ULP OJ hlf/PT 50/PK</v>
          </cell>
          <cell r="C244">
            <v>1252</v>
          </cell>
          <cell r="D244">
            <v>3.125</v>
          </cell>
          <cell r="E244">
            <v>3912.5</v>
          </cell>
        </row>
        <row r="245">
          <cell r="A245">
            <v>7544</v>
          </cell>
          <cell r="B245" t="str">
            <v>SOI OJ Sample HPint 50pk</v>
          </cell>
          <cell r="C245">
            <v>0</v>
          </cell>
          <cell r="D245">
            <v>3.125</v>
          </cell>
          <cell r="E245">
            <v>0</v>
          </cell>
        </row>
        <row r="246">
          <cell r="A246">
            <v>7546</v>
          </cell>
          <cell r="B246" t="str">
            <v>SOI Orange Juice HPint 24pk</v>
          </cell>
          <cell r="C246">
            <v>0</v>
          </cell>
          <cell r="D246">
            <v>1.5</v>
          </cell>
          <cell r="E246">
            <v>0</v>
          </cell>
        </row>
        <row r="247">
          <cell r="A247">
            <v>7554</v>
          </cell>
          <cell r="B247" t="str">
            <v>Cal Val OJ 6pk Hgln</v>
          </cell>
          <cell r="C247">
            <v>1459</v>
          </cell>
          <cell r="D247">
            <v>3</v>
          </cell>
          <cell r="E247">
            <v>4377</v>
          </cell>
        </row>
        <row r="248">
          <cell r="A248">
            <v>7555</v>
          </cell>
          <cell r="B248" t="str">
            <v>FL Val OJ Hgln 6pk</v>
          </cell>
          <cell r="C248">
            <v>0</v>
          </cell>
          <cell r="D248">
            <v>3</v>
          </cell>
          <cell r="E248">
            <v>0</v>
          </cell>
        </row>
        <row r="249">
          <cell r="A249">
            <v>7560</v>
          </cell>
          <cell r="B249" t="str">
            <v>Winder Farms Orange Juice NP HGln 9pk</v>
          </cell>
          <cell r="C249">
            <v>0</v>
          </cell>
          <cell r="D249">
            <v>4.5</v>
          </cell>
          <cell r="E249">
            <v>0</v>
          </cell>
        </row>
        <row r="250">
          <cell r="A250">
            <v>7563</v>
          </cell>
          <cell r="B250" t="str">
            <v>Seminole Orange Juice Gln 4pk</v>
          </cell>
          <cell r="C250">
            <v>0</v>
          </cell>
          <cell r="D250">
            <v>4</v>
          </cell>
          <cell r="E250">
            <v>0</v>
          </cell>
        </row>
        <row r="251">
          <cell r="A251">
            <v>7564</v>
          </cell>
          <cell r="B251" t="str">
            <v>Sir Real Orange Juice HGln 6pk</v>
          </cell>
          <cell r="C251">
            <v>0</v>
          </cell>
          <cell r="D251">
            <v>3</v>
          </cell>
          <cell r="E251">
            <v>0</v>
          </cell>
        </row>
        <row r="252">
          <cell r="A252">
            <v>7565</v>
          </cell>
          <cell r="B252" t="str">
            <v>Winder Farms Orange Juice NP HPint 50pk</v>
          </cell>
          <cell r="C252">
            <v>0</v>
          </cell>
          <cell r="D252">
            <v>3.125</v>
          </cell>
          <cell r="E252">
            <v>0</v>
          </cell>
        </row>
        <row r="253">
          <cell r="A253">
            <v>7568</v>
          </cell>
          <cell r="B253" t="str">
            <v>Seminole Orange Juice Hpint 24pk</v>
          </cell>
          <cell r="C253">
            <v>0</v>
          </cell>
          <cell r="D253">
            <v>1.5</v>
          </cell>
          <cell r="E253">
            <v>0</v>
          </cell>
        </row>
        <row r="254">
          <cell r="A254">
            <v>7571</v>
          </cell>
          <cell r="B254" t="str">
            <v>OSSI Orange Juice Qt 6pk</v>
          </cell>
          <cell r="C254">
            <v>0</v>
          </cell>
          <cell r="D254">
            <v>1.4297</v>
          </cell>
          <cell r="E254">
            <v>0</v>
          </cell>
        </row>
        <row r="255">
          <cell r="A255">
            <v>7591</v>
          </cell>
          <cell r="B255" t="str">
            <v>SYSCO Orange Juice Gln 4pk</v>
          </cell>
          <cell r="C255">
            <v>5742</v>
          </cell>
          <cell r="D255">
            <v>4</v>
          </cell>
          <cell r="E255">
            <v>22968</v>
          </cell>
        </row>
        <row r="256">
          <cell r="A256">
            <v>7592</v>
          </cell>
          <cell r="B256" t="str">
            <v>SYSCO Orange Juice HGln 6pk</v>
          </cell>
          <cell r="C256">
            <v>0</v>
          </cell>
          <cell r="D256">
            <v>3</v>
          </cell>
          <cell r="E256">
            <v>0</v>
          </cell>
        </row>
        <row r="257">
          <cell r="A257">
            <v>7593</v>
          </cell>
          <cell r="B257" t="str">
            <v>SYSCO Orange Juice NP Gln 4pk</v>
          </cell>
          <cell r="C257">
            <v>2740</v>
          </cell>
          <cell r="D257">
            <v>4</v>
          </cell>
          <cell r="E257">
            <v>10960</v>
          </cell>
        </row>
        <row r="258">
          <cell r="A258">
            <v>7602</v>
          </cell>
          <cell r="B258" t="str">
            <v>Snooze Orange Juice Gln 4pk</v>
          </cell>
          <cell r="C258">
            <v>513</v>
          </cell>
          <cell r="D258">
            <v>4</v>
          </cell>
          <cell r="E258">
            <v>2052</v>
          </cell>
        </row>
        <row r="259">
          <cell r="A259">
            <v>7765</v>
          </cell>
          <cell r="B259" t="str">
            <v>Tangerine Juice FZN 16pk 30.5 oz</v>
          </cell>
          <cell r="C259">
            <v>0</v>
          </cell>
          <cell r="D259">
            <v>3.125</v>
          </cell>
          <cell r="E259">
            <v>0</v>
          </cell>
          <cell r="F259">
            <v>0</v>
          </cell>
        </row>
        <row r="260">
          <cell r="A260">
            <v>7800</v>
          </cell>
          <cell r="B260" t="str">
            <v>Orange Oil</v>
          </cell>
          <cell r="C260">
            <v>0</v>
          </cell>
          <cell r="D260">
            <v>0</v>
          </cell>
          <cell r="E260">
            <v>0</v>
          </cell>
        </row>
        <row r="261">
          <cell r="A261">
            <v>7823</v>
          </cell>
          <cell r="B261" t="str">
            <v>Wendy's Orange Juice 3+1 FZN Hgln 9pk</v>
          </cell>
          <cell r="C261">
            <v>0</v>
          </cell>
          <cell r="D261">
            <v>4.3239999999999998</v>
          </cell>
          <cell r="E261">
            <v>0</v>
          </cell>
          <cell r="F261">
            <v>0</v>
          </cell>
        </row>
        <row r="262">
          <cell r="A262">
            <v>7900</v>
          </cell>
          <cell r="B262" t="str">
            <v>SOI Valencia Oil Drum</v>
          </cell>
          <cell r="C262">
            <v>5640</v>
          </cell>
          <cell r="D262">
            <v>0.1429</v>
          </cell>
          <cell r="E262">
            <v>805.95600000000002</v>
          </cell>
        </row>
        <row r="263">
          <cell r="A263">
            <v>7903</v>
          </cell>
          <cell r="B263" t="str">
            <v>SOI Kinnow Drum</v>
          </cell>
          <cell r="C263">
            <v>0</v>
          </cell>
          <cell r="D263">
            <v>48</v>
          </cell>
          <cell r="E263">
            <v>0</v>
          </cell>
        </row>
        <row r="264">
          <cell r="A264">
            <v>7904</v>
          </cell>
          <cell r="B264" t="str">
            <v>SOI Valencia Drums</v>
          </cell>
          <cell r="C264">
            <v>0</v>
          </cell>
          <cell r="D264">
            <v>48</v>
          </cell>
          <cell r="E264">
            <v>0</v>
          </cell>
          <cell r="F264">
            <v>0</v>
          </cell>
        </row>
        <row r="265">
          <cell r="A265">
            <v>7921</v>
          </cell>
          <cell r="B265" t="str">
            <v>Spindrift UnPasteurized Orange Juice Drum</v>
          </cell>
          <cell r="C265">
            <v>0</v>
          </cell>
          <cell r="D265">
            <v>48</v>
          </cell>
          <cell r="E265">
            <v>0</v>
          </cell>
        </row>
        <row r="266">
          <cell r="A266">
            <v>7940</v>
          </cell>
          <cell r="B266" t="str">
            <v>Past No Pulp Orange Juice Drums REF</v>
          </cell>
          <cell r="C266">
            <v>0</v>
          </cell>
          <cell r="D266">
            <v>48</v>
          </cell>
          <cell r="E266">
            <v>0</v>
          </cell>
        </row>
        <row r="267">
          <cell r="A267">
            <v>7951</v>
          </cell>
          <cell r="B267" t="str">
            <v>Past Orange Juice Drums FZN</v>
          </cell>
          <cell r="C267">
            <v>0</v>
          </cell>
          <cell r="D267">
            <v>48</v>
          </cell>
          <cell r="E267">
            <v>0</v>
          </cell>
          <cell r="F267">
            <v>0</v>
          </cell>
        </row>
        <row r="268">
          <cell r="A268">
            <v>7952</v>
          </cell>
          <cell r="B268" t="str">
            <v>Past Oragne Juie Drums REF</v>
          </cell>
          <cell r="C268">
            <v>0</v>
          </cell>
          <cell r="D268">
            <v>48</v>
          </cell>
          <cell r="E268">
            <v>0</v>
          </cell>
        </row>
        <row r="269">
          <cell r="A269">
            <v>7961</v>
          </cell>
          <cell r="B269" t="str">
            <v>Past 100% California Valencia Juice Drums FZN</v>
          </cell>
          <cell r="C269">
            <v>0</v>
          </cell>
          <cell r="D269">
            <v>48</v>
          </cell>
          <cell r="E269">
            <v>0</v>
          </cell>
          <cell r="F269">
            <v>0</v>
          </cell>
        </row>
        <row r="270">
          <cell r="A270">
            <v>8202</v>
          </cell>
          <cell r="B270" t="str">
            <v>St Mary SOI Gft Juice Gln 4pk Fzn</v>
          </cell>
          <cell r="C270">
            <v>0</v>
          </cell>
          <cell r="D270">
            <v>4</v>
          </cell>
          <cell r="E270">
            <v>0</v>
          </cell>
          <cell r="F270">
            <v>0</v>
          </cell>
        </row>
        <row r="271">
          <cell r="A271">
            <v>8225</v>
          </cell>
          <cell r="B271" t="str">
            <v>SOI Grapefruit Juice 30.5oz 6pk FZN</v>
          </cell>
          <cell r="C271">
            <v>210</v>
          </cell>
          <cell r="D271">
            <v>1.4296875</v>
          </cell>
          <cell r="E271">
            <v>300.234375</v>
          </cell>
          <cell r="F271">
            <v>300.234375</v>
          </cell>
        </row>
        <row r="272">
          <cell r="A272">
            <v>8270</v>
          </cell>
          <cell r="B272" t="str">
            <v>OSSI GFT Juice Fzn Qt 6pk</v>
          </cell>
          <cell r="C272">
            <v>0</v>
          </cell>
          <cell r="D272">
            <v>1.429</v>
          </cell>
          <cell r="E272">
            <v>0</v>
          </cell>
          <cell r="F272">
            <v>0</v>
          </cell>
        </row>
        <row r="273">
          <cell r="A273">
            <v>8272</v>
          </cell>
          <cell r="B273" t="str">
            <v>SOI Gft Extra Pulp Fzn 30.5 oz 6pk</v>
          </cell>
          <cell r="C273">
            <v>0</v>
          </cell>
          <cell r="D273">
            <v>1.4297</v>
          </cell>
          <cell r="E273">
            <v>0</v>
          </cell>
          <cell r="F273">
            <v>0</v>
          </cell>
        </row>
        <row r="274">
          <cell r="A274">
            <v>8404</v>
          </cell>
          <cell r="B274" t="str">
            <v>Past Grapefruit Hlf Gln 6 Pk</v>
          </cell>
          <cell r="C274">
            <v>0</v>
          </cell>
          <cell r="D274">
            <v>3</v>
          </cell>
          <cell r="E274">
            <v>0</v>
          </cell>
        </row>
        <row r="275">
          <cell r="A275">
            <v>8424</v>
          </cell>
          <cell r="B275" t="str">
            <v>Past Grapefruit Hgln 9 Pk</v>
          </cell>
          <cell r="C275">
            <v>0</v>
          </cell>
          <cell r="D275">
            <v>4.5</v>
          </cell>
          <cell r="E275">
            <v>0</v>
          </cell>
        </row>
        <row r="276">
          <cell r="A276">
            <v>8425</v>
          </cell>
          <cell r="B276" t="str">
            <v>Aloha GFT Juice HGln 6pk</v>
          </cell>
          <cell r="C276">
            <v>0</v>
          </cell>
          <cell r="D276">
            <v>3</v>
          </cell>
          <cell r="E276">
            <v>0</v>
          </cell>
        </row>
        <row r="277">
          <cell r="A277">
            <v>8502</v>
          </cell>
          <cell r="B277" t="str">
            <v>SOI GFT Juice Gln 4pk</v>
          </cell>
          <cell r="C277">
            <v>0</v>
          </cell>
          <cell r="D277">
            <v>4</v>
          </cell>
          <cell r="E277">
            <v>0</v>
          </cell>
        </row>
        <row r="278">
          <cell r="A278">
            <v>8503</v>
          </cell>
          <cell r="B278" t="str">
            <v>OJC Gft Juice HGln 6pk</v>
          </cell>
          <cell r="C278">
            <v>0</v>
          </cell>
          <cell r="D278">
            <v>3</v>
          </cell>
          <cell r="E278">
            <v>0</v>
          </cell>
        </row>
        <row r="279">
          <cell r="A279">
            <v>8506</v>
          </cell>
          <cell r="B279" t="str">
            <v>Markon GFT Juice HGln 6pk</v>
          </cell>
          <cell r="C279">
            <v>0</v>
          </cell>
          <cell r="D279">
            <v>3</v>
          </cell>
          <cell r="E279">
            <v>0</v>
          </cell>
        </row>
        <row r="280">
          <cell r="A280">
            <v>8513</v>
          </cell>
          <cell r="B280" t="str">
            <v>SOI GFT Juice HGln 6pk</v>
          </cell>
          <cell r="C280">
            <v>875</v>
          </cell>
          <cell r="D280">
            <v>3</v>
          </cell>
          <cell r="E280">
            <v>2625</v>
          </cell>
        </row>
        <row r="281">
          <cell r="A281">
            <v>8521</v>
          </cell>
          <cell r="B281" t="str">
            <v>Ulp Grapefruit 12 Oz 25 Pk</v>
          </cell>
          <cell r="C281">
            <v>0</v>
          </cell>
          <cell r="D281">
            <v>2.3437999999999999</v>
          </cell>
          <cell r="E281">
            <v>0</v>
          </cell>
        </row>
        <row r="282">
          <cell r="A282">
            <v>8526</v>
          </cell>
          <cell r="B282" t="str">
            <v>Winder Farms GFT Juice HGln 9pk</v>
          </cell>
          <cell r="C282">
            <v>0</v>
          </cell>
          <cell r="D282">
            <v>4.5</v>
          </cell>
          <cell r="E282">
            <v>0</v>
          </cell>
        </row>
        <row r="283">
          <cell r="A283">
            <v>8527</v>
          </cell>
          <cell r="B283" t="str">
            <v>SOI GFT Juice Sample Qt 16pk</v>
          </cell>
          <cell r="C283">
            <v>0</v>
          </cell>
          <cell r="D283">
            <v>4</v>
          </cell>
          <cell r="E283">
            <v>0</v>
          </cell>
        </row>
        <row r="284">
          <cell r="A284">
            <v>8530</v>
          </cell>
          <cell r="B284" t="str">
            <v>SOI ULP RGFT 25PK PTS</v>
          </cell>
          <cell r="C284">
            <v>0</v>
          </cell>
          <cell r="D284">
            <v>3.125</v>
          </cell>
          <cell r="E284">
            <v>0</v>
          </cell>
        </row>
        <row r="285">
          <cell r="A285">
            <v>8554</v>
          </cell>
          <cell r="B285" t="str">
            <v>Rykoff Sexton 100% Red Grapefruit Juice 6pk HGln</v>
          </cell>
          <cell r="C285">
            <v>0</v>
          </cell>
          <cell r="D285">
            <v>3</v>
          </cell>
          <cell r="E285">
            <v>0</v>
          </cell>
        </row>
        <row r="286">
          <cell r="A286">
            <v>8564</v>
          </cell>
          <cell r="B286" t="str">
            <v>Sir Real Gft Juice HGln 6pk</v>
          </cell>
          <cell r="C286">
            <v>0</v>
          </cell>
          <cell r="D286">
            <v>3</v>
          </cell>
          <cell r="E286">
            <v>0</v>
          </cell>
        </row>
        <row r="287">
          <cell r="A287">
            <v>8592</v>
          </cell>
          <cell r="B287" t="str">
            <v>SYSCO GFT Juice HGln 6pk</v>
          </cell>
          <cell r="C287">
            <v>0</v>
          </cell>
          <cell r="D287">
            <v>3</v>
          </cell>
          <cell r="E287">
            <v>0</v>
          </cell>
        </row>
        <row r="288">
          <cell r="A288">
            <v>8800</v>
          </cell>
          <cell r="B288" t="str">
            <v>SOI CP Grapefruit Oil Drum</v>
          </cell>
          <cell r="C288">
            <v>0</v>
          </cell>
          <cell r="E288">
            <v>0</v>
          </cell>
        </row>
        <row r="289">
          <cell r="A289">
            <v>8900</v>
          </cell>
          <cell r="B289" t="str">
            <v>SOI CP White Grapefruit Oil Drum</v>
          </cell>
          <cell r="C289">
            <v>0</v>
          </cell>
          <cell r="E289">
            <v>0</v>
          </cell>
        </row>
        <row r="290">
          <cell r="A290">
            <v>8930</v>
          </cell>
          <cell r="B290" t="str">
            <v>Non Past Grapefruit Juice Drums REF</v>
          </cell>
          <cell r="C290">
            <v>0</v>
          </cell>
          <cell r="D290">
            <v>48</v>
          </cell>
          <cell r="E290">
            <v>0</v>
          </cell>
        </row>
        <row r="291">
          <cell r="A291">
            <v>8951</v>
          </cell>
          <cell r="B291" t="str">
            <v>Past Grapefruit Juice Drums FZN</v>
          </cell>
          <cell r="C291">
            <v>0</v>
          </cell>
          <cell r="D291">
            <v>48</v>
          </cell>
          <cell r="E291">
            <v>0</v>
          </cell>
          <cell r="F291">
            <v>0</v>
          </cell>
        </row>
        <row r="292">
          <cell r="A292">
            <v>8952</v>
          </cell>
          <cell r="B292" t="str">
            <v>Past Grapefruit Juice Drums REF</v>
          </cell>
          <cell r="C292">
            <v>0</v>
          </cell>
          <cell r="D292">
            <v>48</v>
          </cell>
          <cell r="E292">
            <v>0</v>
          </cell>
        </row>
        <row r="293">
          <cell r="A293">
            <v>9001</v>
          </cell>
          <cell r="B293" t="str">
            <v>Legal Seafood LA Gln 4pk</v>
          </cell>
          <cell r="C293">
            <v>0</v>
          </cell>
          <cell r="D293">
            <v>4</v>
          </cell>
          <cell r="E293">
            <v>0</v>
          </cell>
        </row>
        <row r="294">
          <cell r="A294">
            <v>9002</v>
          </cell>
          <cell r="B294" t="str">
            <v>SOI LA Gln 4pk</v>
          </cell>
          <cell r="C294">
            <v>396</v>
          </cell>
          <cell r="D294">
            <v>4</v>
          </cell>
          <cell r="E294">
            <v>1584</v>
          </cell>
        </row>
        <row r="295">
          <cell r="A295">
            <v>9006</v>
          </cell>
          <cell r="B295" t="str">
            <v>Markon LA Gln 4pk</v>
          </cell>
          <cell r="C295">
            <v>741</v>
          </cell>
          <cell r="D295">
            <v>4</v>
          </cell>
          <cell r="E295">
            <v>2964</v>
          </cell>
        </row>
        <row r="296">
          <cell r="A296" t="str">
            <v>9006NFC</v>
          </cell>
          <cell r="C296">
            <v>0</v>
          </cell>
          <cell r="D296">
            <v>4</v>
          </cell>
          <cell r="E296">
            <v>0</v>
          </cell>
        </row>
        <row r="297">
          <cell r="A297">
            <v>9014</v>
          </cell>
          <cell r="B297" t="str">
            <v>Sir Real LA 24pk 12oz</v>
          </cell>
          <cell r="C297">
            <v>0</v>
          </cell>
          <cell r="D297">
            <v>2.3437999999999999</v>
          </cell>
          <cell r="E297">
            <v>0</v>
          </cell>
        </row>
        <row r="298">
          <cell r="A298">
            <v>9015</v>
          </cell>
          <cell r="B298" t="str">
            <v>SOI LA HGln 6k</v>
          </cell>
          <cell r="C298">
            <v>0</v>
          </cell>
          <cell r="D298">
            <v>3</v>
          </cell>
          <cell r="E298">
            <v>0</v>
          </cell>
        </row>
        <row r="299">
          <cell r="A299">
            <v>9016</v>
          </cell>
          <cell r="B299" t="str">
            <v>SOI LA 32oz 6pk RTS</v>
          </cell>
          <cell r="C299">
            <v>0</v>
          </cell>
          <cell r="D299">
            <v>1.5</v>
          </cell>
          <cell r="E299">
            <v>0</v>
          </cell>
        </row>
        <row r="300">
          <cell r="A300">
            <v>9017</v>
          </cell>
          <cell r="B300" t="str">
            <v>Winder Farms LA HGln 9pk</v>
          </cell>
          <cell r="C300">
            <v>0</v>
          </cell>
          <cell r="D300">
            <v>4.5</v>
          </cell>
          <cell r="E300">
            <v>0</v>
          </cell>
        </row>
        <row r="301">
          <cell r="A301">
            <v>9019</v>
          </cell>
          <cell r="B301" t="str">
            <v>SOI LA Pint 12pk</v>
          </cell>
          <cell r="C301">
            <v>0</v>
          </cell>
          <cell r="D301">
            <v>3</v>
          </cell>
          <cell r="E301">
            <v>0</v>
          </cell>
        </row>
        <row r="302">
          <cell r="A302">
            <v>9027</v>
          </cell>
          <cell r="B302" t="str">
            <v>SOI LA Sample Qt 16pk</v>
          </cell>
          <cell r="C302">
            <v>0</v>
          </cell>
          <cell r="D302">
            <v>4</v>
          </cell>
          <cell r="E302">
            <v>0</v>
          </cell>
        </row>
        <row r="303">
          <cell r="A303">
            <v>9031</v>
          </cell>
          <cell r="B303" t="str">
            <v>SOI LA 12oz 24pk</v>
          </cell>
          <cell r="C303">
            <v>0</v>
          </cell>
          <cell r="D303">
            <v>2.3437999999999999</v>
          </cell>
          <cell r="E303">
            <v>0</v>
          </cell>
        </row>
        <row r="304">
          <cell r="A304">
            <v>9035</v>
          </cell>
          <cell r="B304" t="str">
            <v>Panera LA 25pk Pint</v>
          </cell>
          <cell r="C304">
            <v>0</v>
          </cell>
          <cell r="D304">
            <v>3.125</v>
          </cell>
          <cell r="E304">
            <v>0</v>
          </cell>
        </row>
        <row r="305">
          <cell r="A305">
            <v>9037</v>
          </cell>
          <cell r="B305" t="str">
            <v>Panera LA Pint 12pk</v>
          </cell>
          <cell r="C305">
            <v>0</v>
          </cell>
          <cell r="D305">
            <v>3</v>
          </cell>
          <cell r="E305">
            <v>0</v>
          </cell>
        </row>
        <row r="306">
          <cell r="A306">
            <v>9038</v>
          </cell>
          <cell r="B306" t="str">
            <v>Panera Agave LA Pint 12pk</v>
          </cell>
          <cell r="C306">
            <v>0</v>
          </cell>
          <cell r="D306">
            <v>3</v>
          </cell>
          <cell r="E306">
            <v>0</v>
          </cell>
        </row>
        <row r="307">
          <cell r="A307">
            <v>9040</v>
          </cell>
          <cell r="B307" t="str">
            <v>Winder Farms LA Pint 25pk</v>
          </cell>
          <cell r="C307">
            <v>0</v>
          </cell>
          <cell r="D307">
            <v>3.125</v>
          </cell>
          <cell r="E307">
            <v>0</v>
          </cell>
        </row>
        <row r="308">
          <cell r="A308">
            <v>9064</v>
          </cell>
          <cell r="B308" t="str">
            <v>Sir Real LA HGln 6pk</v>
          </cell>
          <cell r="C308">
            <v>0</v>
          </cell>
          <cell r="D308">
            <v>3</v>
          </cell>
          <cell r="E308">
            <v>0</v>
          </cell>
        </row>
        <row r="309">
          <cell r="A309">
            <v>9091</v>
          </cell>
          <cell r="B309" t="str">
            <v>SYSCO LA Gln 4pk</v>
          </cell>
          <cell r="C309">
            <v>1251</v>
          </cell>
          <cell r="D309">
            <v>4</v>
          </cell>
          <cell r="E309">
            <v>5004</v>
          </cell>
        </row>
        <row r="310">
          <cell r="A310">
            <v>9102</v>
          </cell>
          <cell r="B310" t="str">
            <v>SOI LA Cond 4+1 Gln 4pk</v>
          </cell>
          <cell r="C310">
            <v>696</v>
          </cell>
          <cell r="D310">
            <v>4</v>
          </cell>
          <cell r="E310">
            <v>2784</v>
          </cell>
        </row>
        <row r="311">
          <cell r="A311">
            <v>9105</v>
          </cell>
          <cell r="B311" t="str">
            <v>Captain D's 4+1 LA FZN 6pk Hgln</v>
          </cell>
          <cell r="C311">
            <v>0</v>
          </cell>
          <cell r="D311">
            <v>3</v>
          </cell>
          <cell r="E311">
            <v>0</v>
          </cell>
          <cell r="F311">
            <v>0</v>
          </cell>
        </row>
        <row r="312">
          <cell r="A312">
            <v>9112</v>
          </cell>
          <cell r="B312" t="str">
            <v>Sweet and Sour Lemon 6pk Hgln</v>
          </cell>
          <cell r="C312">
            <v>0</v>
          </cell>
          <cell r="D312">
            <v>3</v>
          </cell>
          <cell r="E312">
            <v>0</v>
          </cell>
        </row>
        <row r="313">
          <cell r="A313">
            <v>9115</v>
          </cell>
          <cell r="B313" t="str">
            <v>Captain D's 4+1 No Pulp LA FZN 6pk Hgln</v>
          </cell>
          <cell r="C313">
            <v>0</v>
          </cell>
          <cell r="D313">
            <v>3</v>
          </cell>
          <cell r="E313">
            <v>0</v>
          </cell>
          <cell r="F313">
            <v>0</v>
          </cell>
        </row>
        <row r="314">
          <cell r="A314">
            <v>9121</v>
          </cell>
          <cell r="B314" t="str">
            <v>Charleys LA Cond 4+1 Gln 4pk</v>
          </cell>
          <cell r="C314">
            <v>0</v>
          </cell>
          <cell r="D314">
            <v>4</v>
          </cell>
          <cell r="E314">
            <v>0</v>
          </cell>
        </row>
        <row r="315">
          <cell r="A315">
            <v>9123</v>
          </cell>
          <cell r="B315" t="str">
            <v>Charleys FZN LA Cond 4+1 Gln 4pk</v>
          </cell>
          <cell r="C315">
            <v>3005</v>
          </cell>
          <cell r="D315">
            <v>4</v>
          </cell>
          <cell r="E315">
            <v>12020</v>
          </cell>
          <cell r="F315">
            <v>12020</v>
          </cell>
        </row>
        <row r="316">
          <cell r="A316">
            <v>9131</v>
          </cell>
          <cell r="B316" t="str">
            <v>Old Fashioned Lemonade Mix</v>
          </cell>
          <cell r="C316">
            <v>247</v>
          </cell>
          <cell r="D316">
            <v>3</v>
          </cell>
          <cell r="E316">
            <v>741</v>
          </cell>
          <cell r="F316">
            <v>741</v>
          </cell>
        </row>
        <row r="317">
          <cell r="A317">
            <v>9132</v>
          </cell>
          <cell r="B317" t="str">
            <v>FAT Brands LA Cond 4+1 Fzn Gln 4pk</v>
          </cell>
          <cell r="C317">
            <v>0</v>
          </cell>
          <cell r="D317">
            <v>4</v>
          </cell>
          <cell r="E317">
            <v>0</v>
          </cell>
          <cell r="F317">
            <v>0</v>
          </cell>
        </row>
        <row r="318">
          <cell r="A318">
            <v>9133</v>
          </cell>
          <cell r="B318" t="str">
            <v>Fatburger LA Cond 4+1 Gln 4pk</v>
          </cell>
          <cell r="C318">
            <v>0</v>
          </cell>
          <cell r="D318">
            <v>4</v>
          </cell>
          <cell r="E318">
            <v>0</v>
          </cell>
          <cell r="F318">
            <v>0</v>
          </cell>
        </row>
        <row r="319">
          <cell r="A319">
            <v>9134</v>
          </cell>
          <cell r="B319" t="str">
            <v>Ms Fields 2+14 LA  6 pack ) (FRZN)</v>
          </cell>
          <cell r="C319">
            <v>0</v>
          </cell>
          <cell r="D319">
            <v>3</v>
          </cell>
          <cell r="E319">
            <v>0</v>
          </cell>
          <cell r="F319">
            <v>0</v>
          </cell>
        </row>
        <row r="320">
          <cell r="A320">
            <v>9143</v>
          </cell>
          <cell r="B320" t="str">
            <v>Panera 4+1 Agave Lemonade FZN 61.5 oz</v>
          </cell>
          <cell r="C320">
            <v>0</v>
          </cell>
          <cell r="D320">
            <v>1.4410000000000001</v>
          </cell>
          <cell r="E320">
            <v>0</v>
          </cell>
          <cell r="F320">
            <v>0</v>
          </cell>
        </row>
        <row r="321">
          <cell r="A321">
            <v>9144</v>
          </cell>
          <cell r="B321" t="str">
            <v>Panera 5+1 Agave Lemonade FZN 64 oz</v>
          </cell>
          <cell r="C321">
            <v>0</v>
          </cell>
          <cell r="D321">
            <v>1.4410000000000001</v>
          </cell>
          <cell r="E321">
            <v>0</v>
          </cell>
          <cell r="F321">
            <v>0</v>
          </cell>
        </row>
        <row r="322">
          <cell r="A322">
            <v>9145</v>
          </cell>
          <cell r="B322" t="str">
            <v>Panera 3+1 Blood Orange Carrot LA FZN 61.5 oz</v>
          </cell>
          <cell r="C322">
            <v>0</v>
          </cell>
          <cell r="D322">
            <v>1.4410000000000001</v>
          </cell>
          <cell r="E322">
            <v>0</v>
          </cell>
          <cell r="F322">
            <v>0</v>
          </cell>
        </row>
        <row r="323">
          <cell r="A323">
            <v>9146</v>
          </cell>
          <cell r="B323" t="str">
            <v>SOI LA Cond 6+1 FZN HGln 6pk</v>
          </cell>
          <cell r="C323">
            <v>0</v>
          </cell>
          <cell r="D323">
            <v>3</v>
          </cell>
          <cell r="E323">
            <v>0</v>
          </cell>
          <cell r="F323">
            <v>0</v>
          </cell>
        </row>
        <row r="324">
          <cell r="A324">
            <v>9161</v>
          </cell>
          <cell r="B324" t="str">
            <v>Cheesecake Lemon Sunburst 9pk Hgln</v>
          </cell>
          <cell r="C324">
            <v>0</v>
          </cell>
          <cell r="D324">
            <v>4.5</v>
          </cell>
          <cell r="E324">
            <v>0</v>
          </cell>
        </row>
        <row r="325">
          <cell r="A325">
            <v>9163</v>
          </cell>
          <cell r="B325" t="str">
            <v>Panera 5+1 Agave Lemonade FZN 64 oz 6pk V3</v>
          </cell>
          <cell r="C325">
            <v>0</v>
          </cell>
          <cell r="D325">
            <v>3</v>
          </cell>
          <cell r="E325">
            <v>0</v>
          </cell>
          <cell r="F325">
            <v>0</v>
          </cell>
        </row>
        <row r="326">
          <cell r="A326">
            <v>9164</v>
          </cell>
          <cell r="B326" t="str">
            <v>Panera 5+1 Agave Lemonade FZN 64 oz 6pk</v>
          </cell>
          <cell r="C326">
            <v>0</v>
          </cell>
          <cell r="D326">
            <v>3</v>
          </cell>
          <cell r="E326">
            <v>0</v>
          </cell>
          <cell r="F326">
            <v>0</v>
          </cell>
        </row>
        <row r="327">
          <cell r="A327">
            <v>9165</v>
          </cell>
          <cell r="B327" t="str">
            <v>Panera 3+1 Blood Orange Carrot LA FZN 61.5 oz 6pk</v>
          </cell>
          <cell r="C327">
            <v>0</v>
          </cell>
          <cell r="D327">
            <v>3</v>
          </cell>
          <cell r="E327">
            <v>0</v>
          </cell>
          <cell r="F327">
            <v>0</v>
          </cell>
        </row>
        <row r="328">
          <cell r="A328">
            <v>9166</v>
          </cell>
          <cell r="B328" t="str">
            <v>Panera 5+1 Agave Lemonade with Concentrate FZN 64 oz 6pk</v>
          </cell>
          <cell r="C328">
            <v>2275</v>
          </cell>
          <cell r="D328">
            <v>3</v>
          </cell>
          <cell r="E328">
            <v>6825</v>
          </cell>
          <cell r="F328">
            <v>6825</v>
          </cell>
        </row>
        <row r="329">
          <cell r="A329">
            <v>9170</v>
          </cell>
          <cell r="B329" t="str">
            <v>SOI 3+1 Mint LA 6pk HG</v>
          </cell>
          <cell r="C329">
            <v>0</v>
          </cell>
          <cell r="D329">
            <v>3</v>
          </cell>
          <cell r="E329">
            <v>0</v>
          </cell>
          <cell r="F329">
            <v>0</v>
          </cell>
        </row>
        <row r="330">
          <cell r="A330">
            <v>9223</v>
          </cell>
          <cell r="B330" t="str">
            <v>Jamba LA Fzn HGln 9pk</v>
          </cell>
          <cell r="C330">
            <v>0</v>
          </cell>
          <cell r="D330">
            <v>4.3239999999999998</v>
          </cell>
          <cell r="E330">
            <v>0</v>
          </cell>
          <cell r="F330">
            <v>0</v>
          </cell>
        </row>
        <row r="331">
          <cell r="A331">
            <v>9225</v>
          </cell>
          <cell r="B331" t="str">
            <v>Jamba LA 1+1 Fzn HGln 9pk</v>
          </cell>
          <cell r="C331">
            <v>0</v>
          </cell>
          <cell r="D331">
            <v>4.3239999999999998</v>
          </cell>
          <cell r="E331">
            <v>0</v>
          </cell>
          <cell r="F331">
            <v>0</v>
          </cell>
        </row>
        <row r="332">
          <cell r="A332">
            <v>9226</v>
          </cell>
          <cell r="B332" t="str">
            <v>Jamba LA 2.5+1 Fzn HGln 9pk</v>
          </cell>
          <cell r="C332">
            <v>0</v>
          </cell>
          <cell r="D332">
            <v>4.5</v>
          </cell>
          <cell r="E332">
            <v>0</v>
          </cell>
          <cell r="F332">
            <v>0</v>
          </cell>
        </row>
        <row r="333">
          <cell r="A333">
            <v>9314</v>
          </cell>
          <cell r="B333" t="str">
            <v>Meyer LA 6pk HGln</v>
          </cell>
          <cell r="C333">
            <v>59</v>
          </cell>
          <cell r="D333">
            <v>3</v>
          </cell>
          <cell r="E333">
            <v>177</v>
          </cell>
        </row>
        <row r="334">
          <cell r="A334">
            <v>9324</v>
          </cell>
          <cell r="B334" t="str">
            <v>Meyer Strw LA 6pk hgln</v>
          </cell>
          <cell r="C334">
            <v>0</v>
          </cell>
          <cell r="D334">
            <v>3</v>
          </cell>
          <cell r="E334">
            <v>0</v>
          </cell>
          <cell r="F334">
            <v>0</v>
          </cell>
        </row>
        <row r="335">
          <cell r="A335">
            <v>9334</v>
          </cell>
          <cell r="B335" t="str">
            <v>Rykoff Sexton Prickly Pear Lemonade 64 oz 6 pk</v>
          </cell>
          <cell r="C335">
            <v>0</v>
          </cell>
          <cell r="D335">
            <v>3</v>
          </cell>
          <cell r="E335">
            <v>0</v>
          </cell>
        </row>
        <row r="336">
          <cell r="A336">
            <v>9454</v>
          </cell>
          <cell r="B336" t="str">
            <v>SOI LA Strw Cond 3+1 Gln 4pk</v>
          </cell>
          <cell r="C336">
            <v>335</v>
          </cell>
          <cell r="D336">
            <v>4</v>
          </cell>
          <cell r="E336">
            <v>1340</v>
          </cell>
        </row>
        <row r="337">
          <cell r="A337">
            <v>9455</v>
          </cell>
          <cell r="B337" t="str">
            <v>SOI 3+1 Strw LA FZN 9pk HGln 61.5oz</v>
          </cell>
          <cell r="C337">
            <v>0</v>
          </cell>
          <cell r="D337">
            <v>4.5</v>
          </cell>
          <cell r="E337">
            <v>0</v>
          </cell>
          <cell r="F337">
            <v>0</v>
          </cell>
        </row>
        <row r="338">
          <cell r="A338">
            <v>9456</v>
          </cell>
          <cell r="B338" t="str">
            <v>3+1 Sweet Strw LA FZN 9pk HGln 61.5oz</v>
          </cell>
          <cell r="C338">
            <v>795</v>
          </cell>
          <cell r="D338">
            <v>4.5</v>
          </cell>
          <cell r="E338">
            <v>3577.5</v>
          </cell>
          <cell r="F338">
            <v>3577.5</v>
          </cell>
        </row>
        <row r="339">
          <cell r="A339">
            <v>9504</v>
          </cell>
          <cell r="B339" t="str">
            <v>SOI LA Strw Gln 4pk</v>
          </cell>
          <cell r="C339">
            <v>0</v>
          </cell>
          <cell r="D339">
            <v>4</v>
          </cell>
          <cell r="E339">
            <v>0</v>
          </cell>
        </row>
        <row r="340">
          <cell r="A340">
            <v>9515</v>
          </cell>
          <cell r="B340" t="str">
            <v>SOI LA Strw HGln 6pk</v>
          </cell>
          <cell r="C340">
            <v>0</v>
          </cell>
          <cell r="D340">
            <v>3</v>
          </cell>
          <cell r="E340">
            <v>0</v>
          </cell>
        </row>
        <row r="341">
          <cell r="A341">
            <v>9516</v>
          </cell>
          <cell r="B341" t="str">
            <v>SOI LA Strw 32oz 6pk RTS</v>
          </cell>
          <cell r="C341">
            <v>0</v>
          </cell>
          <cell r="D341">
            <v>1.5</v>
          </cell>
          <cell r="E341">
            <v>0</v>
          </cell>
        </row>
        <row r="342">
          <cell r="A342">
            <v>9517</v>
          </cell>
          <cell r="B342" t="str">
            <v>Panera Strw LA Mix RTU HGln 6pk</v>
          </cell>
          <cell r="C342">
            <v>0</v>
          </cell>
          <cell r="D342">
            <v>3.5</v>
          </cell>
          <cell r="E342">
            <v>0</v>
          </cell>
        </row>
        <row r="343">
          <cell r="A343">
            <v>9520</v>
          </cell>
          <cell r="B343" t="str">
            <v>Winder Farms LA Strw Hgln 9pk</v>
          </cell>
          <cell r="C343">
            <v>0</v>
          </cell>
          <cell r="D343">
            <v>4.5</v>
          </cell>
          <cell r="E343">
            <v>0</v>
          </cell>
        </row>
        <row r="344">
          <cell r="A344">
            <v>9630</v>
          </cell>
          <cell r="B344" t="str">
            <v>All Natural Lemon Sour 12pk Qt</v>
          </cell>
          <cell r="C344">
            <v>0</v>
          </cell>
          <cell r="D344">
            <v>3</v>
          </cell>
          <cell r="E344">
            <v>0</v>
          </cell>
        </row>
        <row r="345">
          <cell r="A345">
            <v>9660</v>
          </cell>
          <cell r="B345" t="str">
            <v>SOI LA Cond 3+1 Fzn HGln 6pk</v>
          </cell>
          <cell r="C345">
            <v>672</v>
          </cell>
          <cell r="D345">
            <v>3</v>
          </cell>
          <cell r="E345">
            <v>2016</v>
          </cell>
          <cell r="F345">
            <v>2016</v>
          </cell>
        </row>
        <row r="346">
          <cell r="A346">
            <v>9662</v>
          </cell>
          <cell r="B346" t="str">
            <v>Mr Hero Lemonade Mix 6pk Hgln FZN</v>
          </cell>
          <cell r="C346">
            <v>0</v>
          </cell>
          <cell r="D346">
            <v>2.88</v>
          </cell>
          <cell r="E346">
            <v>0</v>
          </cell>
          <cell r="F346">
            <v>0</v>
          </cell>
        </row>
        <row r="347">
          <cell r="A347">
            <v>9664</v>
          </cell>
          <cell r="B347" t="str">
            <v>Homestyle LA Mix FZN HGln 6pk</v>
          </cell>
          <cell r="C347">
            <v>0</v>
          </cell>
          <cell r="D347">
            <v>3</v>
          </cell>
          <cell r="E347">
            <v>0</v>
          </cell>
          <cell r="F347">
            <v>0</v>
          </cell>
        </row>
        <row r="348">
          <cell r="A348">
            <v>9709</v>
          </cell>
          <cell r="B348" t="str">
            <v>Applebees LA Cond 2+1 Gln 4pk</v>
          </cell>
          <cell r="C348">
            <v>0</v>
          </cell>
          <cell r="D348">
            <v>4</v>
          </cell>
          <cell r="E348">
            <v>0</v>
          </cell>
        </row>
        <row r="349">
          <cell r="A349">
            <v>9710</v>
          </cell>
          <cell r="B349" t="str">
            <v>SOI LA 2+1 4pk Gln</v>
          </cell>
          <cell r="C349">
            <v>0</v>
          </cell>
          <cell r="D349">
            <v>4</v>
          </cell>
          <cell r="E349">
            <v>0</v>
          </cell>
        </row>
        <row r="350">
          <cell r="A350">
            <v>9802</v>
          </cell>
          <cell r="B350" t="str">
            <v>Backyard Burger LA 2+1 Cond FZN Gln 4pk</v>
          </cell>
          <cell r="C350">
            <v>0</v>
          </cell>
          <cell r="D350">
            <v>4</v>
          </cell>
          <cell r="E350">
            <v>0</v>
          </cell>
          <cell r="F350">
            <v>0</v>
          </cell>
        </row>
        <row r="351">
          <cell r="A351">
            <v>9814</v>
          </cell>
          <cell r="B351" t="str">
            <v>SOI 3+1 Sweet LA Mix Fzn Hgln 9pk</v>
          </cell>
          <cell r="C351">
            <v>818</v>
          </cell>
          <cell r="D351">
            <v>4.5</v>
          </cell>
          <cell r="E351">
            <v>3681</v>
          </cell>
          <cell r="F351">
            <v>3681</v>
          </cell>
        </row>
        <row r="352">
          <cell r="A352">
            <v>9816</v>
          </cell>
          <cell r="B352" t="str">
            <v>Kahala LA Cond 3+1 Fzn HGln 9pk</v>
          </cell>
          <cell r="C352">
            <v>0</v>
          </cell>
          <cell r="D352">
            <v>4.5</v>
          </cell>
          <cell r="E352">
            <v>0</v>
          </cell>
          <cell r="F352">
            <v>0</v>
          </cell>
        </row>
        <row r="353">
          <cell r="A353">
            <v>9818</v>
          </cell>
          <cell r="B353" t="str">
            <v>Creative BevBlends 3+1 Sweet LA Mix FZN HGln 9pk</v>
          </cell>
          <cell r="C353">
            <v>766</v>
          </cell>
          <cell r="D353">
            <v>4.5</v>
          </cell>
          <cell r="E353">
            <v>3447</v>
          </cell>
          <cell r="F353">
            <v>3447</v>
          </cell>
        </row>
        <row r="354">
          <cell r="A354">
            <v>9820</v>
          </cell>
          <cell r="B354" t="str">
            <v>Auntie Annes Fzn LA 3+1 HGln 6pk</v>
          </cell>
          <cell r="C354">
            <v>2161</v>
          </cell>
          <cell r="D354">
            <v>3</v>
          </cell>
          <cell r="E354">
            <v>6483</v>
          </cell>
          <cell r="F354">
            <v>6483</v>
          </cell>
        </row>
        <row r="355">
          <cell r="A355">
            <v>9822</v>
          </cell>
          <cell r="B355" t="str">
            <v>SOI LA 3+1 Fzn Hgln 6pk</v>
          </cell>
          <cell r="C355">
            <v>0</v>
          </cell>
          <cell r="D355">
            <v>3</v>
          </cell>
          <cell r="E355">
            <v>0</v>
          </cell>
          <cell r="F355">
            <v>0</v>
          </cell>
        </row>
        <row r="356">
          <cell r="A356">
            <v>9823</v>
          </cell>
          <cell r="B356" t="str">
            <v>Wendy's LA 3+1 FZN HGln 6pk</v>
          </cell>
          <cell r="C356">
            <v>0</v>
          </cell>
          <cell r="D356">
            <v>3</v>
          </cell>
          <cell r="E356">
            <v>0</v>
          </cell>
          <cell r="F356">
            <v>0</v>
          </cell>
        </row>
        <row r="357">
          <cell r="A357">
            <v>9824</v>
          </cell>
          <cell r="B357" t="str">
            <v>LA 2+1 6pk Hgln FZN</v>
          </cell>
          <cell r="C357">
            <v>0</v>
          </cell>
          <cell r="D357">
            <v>3</v>
          </cell>
          <cell r="E357">
            <v>0</v>
          </cell>
          <cell r="F357">
            <v>0</v>
          </cell>
        </row>
        <row r="358">
          <cell r="A358">
            <v>9830</v>
          </cell>
          <cell r="B358" t="str">
            <v>Auntie Annes Diet LA Cond 3+1 HGln 6pk</v>
          </cell>
          <cell r="C358">
            <v>0</v>
          </cell>
          <cell r="D358">
            <v>3</v>
          </cell>
          <cell r="E358">
            <v>0</v>
          </cell>
        </row>
        <row r="359">
          <cell r="A359">
            <v>9834</v>
          </cell>
          <cell r="B359" t="str">
            <v>Diet LA 2+1 Hgln FZN</v>
          </cell>
          <cell r="C359">
            <v>0</v>
          </cell>
          <cell r="D359">
            <v>3</v>
          </cell>
          <cell r="E359">
            <v>0</v>
          </cell>
          <cell r="F359">
            <v>0</v>
          </cell>
        </row>
        <row r="360">
          <cell r="A360">
            <v>9942</v>
          </cell>
          <cell r="B360" t="str">
            <v>Condensed Strawberry Lemonade Base Drum REF</v>
          </cell>
          <cell r="C360">
            <v>0</v>
          </cell>
          <cell r="D360">
            <v>48</v>
          </cell>
          <cell r="E360">
            <v>0</v>
          </cell>
        </row>
        <row r="361">
          <cell r="A361">
            <v>9952</v>
          </cell>
          <cell r="B361" t="str">
            <v>Condensed Lemonade Base Drum REF</v>
          </cell>
          <cell r="C361">
            <v>0</v>
          </cell>
          <cell r="D361">
            <v>48</v>
          </cell>
          <cell r="E361">
            <v>0</v>
          </cell>
        </row>
        <row r="362">
          <cell r="A362">
            <v>9945</v>
          </cell>
          <cell r="B362" t="str">
            <v>Condensed Strawberry Lemonade Base REF 270Gln Tote</v>
          </cell>
          <cell r="C362">
            <v>0</v>
          </cell>
          <cell r="D362">
            <v>270</v>
          </cell>
          <cell r="E362">
            <v>0</v>
          </cell>
        </row>
        <row r="363">
          <cell r="A363">
            <v>9955</v>
          </cell>
          <cell r="B363" t="str">
            <v>Condensed Lemonade Base REF 270Gln Tote</v>
          </cell>
          <cell r="C363">
            <v>5</v>
          </cell>
          <cell r="D363">
            <v>270</v>
          </cell>
          <cell r="E363">
            <v>1350</v>
          </cell>
        </row>
        <row r="364">
          <cell r="A364" t="str">
            <v>4502C</v>
          </cell>
          <cell r="B364" t="str">
            <v>Sysco Cheesecake Lemon Juice Gln 4pk</v>
          </cell>
          <cell r="C364">
            <v>0</v>
          </cell>
          <cell r="D364">
            <v>4</v>
          </cell>
          <cell r="E364">
            <v>0</v>
          </cell>
        </row>
        <row r="365">
          <cell r="A365" t="str">
            <v>4502F</v>
          </cell>
          <cell r="B365" t="str">
            <v>SOI Lemon Juice TBF Gln 4pk</v>
          </cell>
          <cell r="C365">
            <v>336</v>
          </cell>
          <cell r="D365">
            <v>4</v>
          </cell>
          <cell r="E365">
            <v>1344</v>
          </cell>
          <cell r="F365">
            <v>1344</v>
          </cell>
        </row>
        <row r="366">
          <cell r="A366" t="str">
            <v>4502SF</v>
          </cell>
          <cell r="B366" t="str">
            <v>SOI Lemon Juice TBF Gln 4pk</v>
          </cell>
          <cell r="C366">
            <v>0</v>
          </cell>
          <cell r="D366">
            <v>4</v>
          </cell>
          <cell r="E366">
            <v>0</v>
          </cell>
          <cell r="F366">
            <v>0</v>
          </cell>
        </row>
        <row r="367">
          <cell r="A367" t="str">
            <v>4502X</v>
          </cell>
          <cell r="B367" t="str">
            <v>SOI Lemon Juice Gln 4pk</v>
          </cell>
          <cell r="C367">
            <v>0</v>
          </cell>
          <cell r="D367">
            <v>3</v>
          </cell>
          <cell r="E367">
            <v>0</v>
          </cell>
        </row>
        <row r="368">
          <cell r="A368" t="str">
            <v>4513NFC</v>
          </cell>
          <cell r="B368" t="str">
            <v>SOI Lemon Juice HGln 6pk</v>
          </cell>
          <cell r="C368">
            <v>0</v>
          </cell>
          <cell r="D368">
            <v>3</v>
          </cell>
          <cell r="E368">
            <v>0</v>
          </cell>
        </row>
        <row r="369">
          <cell r="A369" t="str">
            <v>4513X</v>
          </cell>
          <cell r="B369" t="str">
            <v>SOI Lemon Juice HGln 6pk</v>
          </cell>
          <cell r="C369">
            <v>0</v>
          </cell>
          <cell r="D369">
            <v>3</v>
          </cell>
          <cell r="E369">
            <v>0</v>
          </cell>
        </row>
        <row r="370">
          <cell r="A370" t="str">
            <v>5002SF</v>
          </cell>
          <cell r="B370" t="str">
            <v>SOI Marg Mix Fzn Gln 4pk</v>
          </cell>
          <cell r="C370">
            <v>0</v>
          </cell>
          <cell r="D370">
            <v>3.8437999999999999</v>
          </cell>
          <cell r="E370">
            <v>0</v>
          </cell>
          <cell r="F370">
            <v>0</v>
          </cell>
        </row>
        <row r="371">
          <cell r="A371" t="str">
            <v>5020F</v>
          </cell>
          <cell r="B371" t="str">
            <v>Red Lobster Marg Mix Cond 3+1 Qt 16pk</v>
          </cell>
          <cell r="C371">
            <v>0</v>
          </cell>
          <cell r="D371">
            <v>4</v>
          </cell>
          <cell r="E371">
            <v>0</v>
          </cell>
        </row>
        <row r="372">
          <cell r="A372" t="str">
            <v>5142F</v>
          </cell>
          <cell r="B372" t="str">
            <v>SOI Marg Mix Cond 3+1 FZN HGln 9pk</v>
          </cell>
          <cell r="C372">
            <v>59</v>
          </cell>
          <cell r="D372">
            <v>4</v>
          </cell>
          <cell r="E372">
            <v>236</v>
          </cell>
          <cell r="F372">
            <v>236</v>
          </cell>
        </row>
        <row r="373">
          <cell r="A373" t="str">
            <v>6502C</v>
          </cell>
          <cell r="B373" t="str">
            <v>Sysco Cheesecake Lime Juice Gln 4pk</v>
          </cell>
          <cell r="C373">
            <v>0</v>
          </cell>
          <cell r="D373">
            <v>4</v>
          </cell>
          <cell r="E373">
            <v>0</v>
          </cell>
        </row>
        <row r="374">
          <cell r="A374" t="str">
            <v>6502SF</v>
          </cell>
          <cell r="B374" t="str">
            <v>SOI Lime Juice TBF Gln 4pk</v>
          </cell>
          <cell r="C374">
            <v>0</v>
          </cell>
          <cell r="D374">
            <v>4</v>
          </cell>
          <cell r="E374">
            <v>0</v>
          </cell>
          <cell r="F374">
            <v>0</v>
          </cell>
        </row>
        <row r="375">
          <cell r="A375" t="str">
            <v>6513X</v>
          </cell>
          <cell r="B375" t="str">
            <v>SOI Lime Juice HGln 6pk</v>
          </cell>
          <cell r="C375">
            <v>0</v>
          </cell>
          <cell r="D375">
            <v>3</v>
          </cell>
          <cell r="E375">
            <v>0</v>
          </cell>
        </row>
        <row r="376">
          <cell r="A376" t="str">
            <v>6590DE</v>
          </cell>
          <cell r="B376" t="str">
            <v>SOI DE 3+1 Limeade</v>
          </cell>
          <cell r="C376">
            <v>0</v>
          </cell>
          <cell r="D376">
            <v>3</v>
          </cell>
          <cell r="E376">
            <v>0</v>
          </cell>
        </row>
        <row r="377">
          <cell r="A377" t="str">
            <v>7424N</v>
          </cell>
          <cell r="B377" t="str">
            <v>SOI Orange Juice HGln 6pk-no label</v>
          </cell>
          <cell r="C377">
            <v>0</v>
          </cell>
          <cell r="D377">
            <v>3</v>
          </cell>
          <cell r="E377">
            <v>0</v>
          </cell>
        </row>
        <row r="378">
          <cell r="A378" t="str">
            <v>7502P</v>
          </cell>
          <cell r="B378" t="str">
            <v>Panera Orange Juice Gln 4pk</v>
          </cell>
          <cell r="C378">
            <v>0</v>
          </cell>
          <cell r="D378">
            <v>4</v>
          </cell>
          <cell r="E378">
            <v>0</v>
          </cell>
        </row>
        <row r="379">
          <cell r="A379" t="str">
            <v>7502S</v>
          </cell>
          <cell r="B379" t="str">
            <v>SOI Orange Juice Gln 4pk</v>
          </cell>
          <cell r="C379">
            <v>0</v>
          </cell>
          <cell r="D379">
            <v>4</v>
          </cell>
          <cell r="E379">
            <v>0</v>
          </cell>
        </row>
        <row r="380">
          <cell r="A380" t="str">
            <v>9133F</v>
          </cell>
          <cell r="B380" t="str">
            <v>Fatburger LA Cond 4+1 Fzn Gln 4pk</v>
          </cell>
          <cell r="C380">
            <v>0</v>
          </cell>
          <cell r="D380">
            <v>4</v>
          </cell>
          <cell r="E380">
            <v>0</v>
          </cell>
          <cell r="F380">
            <v>0</v>
          </cell>
        </row>
        <row r="381">
          <cell r="A381" t="str">
            <v>DRM2001</v>
          </cell>
          <cell r="B381" t="str">
            <v>Wildberry FOMZ</v>
          </cell>
          <cell r="C381">
            <v>0</v>
          </cell>
          <cell r="D381">
            <v>0.1129</v>
          </cell>
          <cell r="E381">
            <v>0</v>
          </cell>
        </row>
        <row r="382">
          <cell r="A382" t="str">
            <v>DRM2002</v>
          </cell>
          <cell r="B382" t="str">
            <v>Lemon Lime FOMZ</v>
          </cell>
          <cell r="C382">
            <v>0</v>
          </cell>
          <cell r="D382">
            <v>0.1129</v>
          </cell>
          <cell r="E382">
            <v>0</v>
          </cell>
        </row>
        <row r="383">
          <cell r="A383" t="str">
            <v>DRM2003</v>
          </cell>
          <cell r="B383" t="str">
            <v>Peach Grapefruit Cranberry FOMZ</v>
          </cell>
          <cell r="C383">
            <v>0</v>
          </cell>
          <cell r="D383">
            <v>0.1129</v>
          </cell>
          <cell r="E383">
            <v>0</v>
          </cell>
        </row>
        <row r="384">
          <cell r="A384" t="str">
            <v>DRM2004</v>
          </cell>
          <cell r="B384" t="str">
            <v>Passionfruit Mango FOMZ</v>
          </cell>
          <cell r="C384">
            <v>0</v>
          </cell>
          <cell r="D384">
            <v>0.1129</v>
          </cell>
          <cell r="E384">
            <v>0</v>
          </cell>
          <cell r="F384">
            <v>0</v>
          </cell>
        </row>
        <row r="385">
          <cell r="A385" t="str">
            <v>DRM2005</v>
          </cell>
          <cell r="B385" t="str">
            <v>Pineapple Papaya FOMZ</v>
          </cell>
          <cell r="C385">
            <v>0</v>
          </cell>
          <cell r="D385">
            <v>0.1129</v>
          </cell>
          <cell r="E385">
            <v>0</v>
          </cell>
        </row>
        <row r="387">
          <cell r="B387" t="str">
            <v>Total Cases</v>
          </cell>
          <cell r="C387">
            <v>106861.93</v>
          </cell>
        </row>
        <row r="388">
          <cell r="B388" t="str">
            <v>Total Gallons</v>
          </cell>
          <cell r="C388" t="str">
            <v xml:space="preserve"> </v>
          </cell>
          <cell r="E388">
            <v>237984.17563750001</v>
          </cell>
          <cell r="F388">
            <v>57161.969637499998</v>
          </cell>
        </row>
        <row r="390">
          <cell r="B390" t="str">
            <v>Labor &amp; Overhead Per Gallon</v>
          </cell>
          <cell r="E390">
            <v>1.6517687712885343</v>
          </cell>
          <cell r="F390" t="str">
            <v xml:space="preserve"> </v>
          </cell>
        </row>
        <row r="391">
          <cell r="B391" t="str">
            <v>Total Labor &amp; Overhead Before Freight</v>
          </cell>
          <cell r="E391">
            <v>393094.8293788681</v>
          </cell>
        </row>
        <row r="392">
          <cell r="E392">
            <v>433271.27274160919</v>
          </cell>
        </row>
        <row r="393">
          <cell r="D393" t="str">
            <v>Variance</v>
          </cell>
          <cell r="E393">
            <v>-40176.443362741091</v>
          </cell>
        </row>
        <row r="395">
          <cell r="C395" t="str">
            <v>Total Gln</v>
          </cell>
          <cell r="D395" t="str">
            <v>Amt Per Gln</v>
          </cell>
          <cell r="E395">
            <v>45808</v>
          </cell>
          <cell r="F395">
            <v>45838</v>
          </cell>
        </row>
        <row r="396">
          <cell r="A396" t="str">
            <v>Inbound Freight Costs to Inv Rev - OJ</v>
          </cell>
          <cell r="C396">
            <v>81846.456000000006</v>
          </cell>
          <cell r="D396">
            <v>0</v>
          </cell>
          <cell r="E396">
            <v>0</v>
          </cell>
          <cell r="F396">
            <v>0</v>
          </cell>
        </row>
        <row r="397">
          <cell r="A397" t="str">
            <v>Inbound Freight Costs to Inv Rev - Lemon</v>
          </cell>
          <cell r="C397">
            <v>92021.720799999996</v>
          </cell>
          <cell r="D397">
            <v>0</v>
          </cell>
          <cell r="E397">
            <v>0</v>
          </cell>
          <cell r="F397">
            <v>0</v>
          </cell>
        </row>
        <row r="398">
          <cell r="A398" t="str">
            <v>Inbound Freight Costs to Inv Rev - Lime</v>
          </cell>
          <cell r="C398">
            <v>44996.787899999996</v>
          </cell>
          <cell r="D398">
            <v>0</v>
          </cell>
          <cell r="E398">
            <v>0</v>
          </cell>
          <cell r="F398">
            <v>0</v>
          </cell>
        </row>
        <row r="399">
          <cell r="A399" t="str">
            <v>Inbound Freight Costs to Inv Rev - Grapefruit</v>
          </cell>
          <cell r="C399">
            <v>2925.234375</v>
          </cell>
          <cell r="D399">
            <v>0</v>
          </cell>
          <cell r="E399">
            <v>0</v>
          </cell>
          <cell r="F399">
            <v>0</v>
          </cell>
        </row>
        <row r="400">
          <cell r="A400" t="str">
            <v>Inbound Freight Outside Purchases</v>
          </cell>
          <cell r="C400">
            <v>11765.9765625</v>
          </cell>
          <cell r="D400">
            <v>0.7</v>
          </cell>
          <cell r="E400">
            <v>6997.83984375</v>
          </cell>
          <cell r="F400">
            <v>8236.18359375</v>
          </cell>
        </row>
        <row r="401">
          <cell r="B401" t="str">
            <v>Total Inbound Freight</v>
          </cell>
          <cell r="C401">
            <v>233556.17563750001</v>
          </cell>
          <cell r="E401">
            <v>6997.83984375</v>
          </cell>
          <cell r="F401">
            <v>8236.18359375</v>
          </cell>
        </row>
        <row r="404">
          <cell r="C404" t="str">
            <v>Total Gln</v>
          </cell>
          <cell r="D404" t="str">
            <v>Amt Per Gln</v>
          </cell>
          <cell r="E404">
            <v>45808</v>
          </cell>
          <cell r="F404">
            <v>45838</v>
          </cell>
        </row>
        <row r="405">
          <cell r="A405" t="str">
            <v>Freezer Costs to Inv Rev - OJ</v>
          </cell>
          <cell r="C405">
            <v>81846.456000000006</v>
          </cell>
          <cell r="D405">
            <v>0.23799401065250161</v>
          </cell>
          <cell r="E405">
            <v>17442.128828302204</v>
          </cell>
          <cell r="F405">
            <v>19478.966321133506</v>
          </cell>
        </row>
        <row r="406">
          <cell r="A406" t="str">
            <v>Freezer Costs to Inv Rev - Lemon</v>
          </cell>
          <cell r="C406">
            <v>92021.720799999996</v>
          </cell>
          <cell r="D406">
            <v>0.10145187667440933</v>
          </cell>
          <cell r="E406">
            <v>10293.854831566918</v>
          </cell>
          <cell r="F406">
            <v>9335.7762699685281</v>
          </cell>
        </row>
        <row r="407">
          <cell r="A407" t="str">
            <v>Freezer Costs to Inv Rev - Lime</v>
          </cell>
          <cell r="C407">
            <v>44996.787899999996</v>
          </cell>
          <cell r="D407">
            <v>5.4606044239203483E-2</v>
          </cell>
          <cell r="E407">
            <v>3564.427694223717</v>
          </cell>
          <cell r="F407">
            <v>2457.0965906894558</v>
          </cell>
        </row>
        <row r="408">
          <cell r="A408" t="str">
            <v>Freezer Costs to Inv Rev - Grapefruit</v>
          </cell>
          <cell r="C408">
            <v>2925.234375</v>
          </cell>
          <cell r="D408">
            <v>0.3532699277055325</v>
          </cell>
          <cell r="E408">
            <v>982.34431178191869</v>
          </cell>
          <cell r="F408">
            <v>1033.3973361779886</v>
          </cell>
        </row>
        <row r="409">
          <cell r="B409" t="str">
            <v>Total Freezer</v>
          </cell>
          <cell r="C409">
            <v>221790.19907500001</v>
          </cell>
          <cell r="E409">
            <v>32282.755665874756</v>
          </cell>
          <cell r="F409">
            <v>32305.236517969479</v>
          </cell>
        </row>
      </sheetData>
      <sheetData sheetId="8">
        <row r="1">
          <cell r="A1" t="str">
            <v>Sun Orchard, LLC - FL Divisions</v>
          </cell>
        </row>
        <row r="2">
          <cell r="A2" t="str">
            <v>Calculation of Labor &amp; Overhead in Finished Goods</v>
          </cell>
        </row>
        <row r="3">
          <cell r="A3" t="str">
            <v>As of June 30th 2025</v>
          </cell>
        </row>
        <row r="5">
          <cell r="A5" t="str">
            <v>Item</v>
          </cell>
          <cell r="D5" t="str">
            <v>Gallons Per</v>
          </cell>
          <cell r="E5" t="str">
            <v>Total</v>
          </cell>
          <cell r="F5" t="str">
            <v>Total</v>
          </cell>
          <cell r="G5" t="str">
            <v>Lemon</v>
          </cell>
          <cell r="H5" t="str">
            <v>Lime</v>
          </cell>
          <cell r="I5" t="str">
            <v>Orange</v>
          </cell>
        </row>
        <row r="6">
          <cell r="A6" t="str">
            <v>Number</v>
          </cell>
          <cell r="B6" t="str">
            <v>Description</v>
          </cell>
          <cell r="C6" t="str">
            <v>Cases</v>
          </cell>
          <cell r="D6" t="str">
            <v>Case</v>
          </cell>
          <cell r="E6" t="str">
            <v>Gallons</v>
          </cell>
          <cell r="F6" t="str">
            <v>Frozen</v>
          </cell>
          <cell r="G6" t="str">
            <v>Juice Gln</v>
          </cell>
          <cell r="H6" t="str">
            <v>Juice Gln</v>
          </cell>
          <cell r="I6" t="str">
            <v>Juice Gln</v>
          </cell>
          <cell r="J6" t="str">
            <v>Increase/(decrease) CS vs LM</v>
          </cell>
          <cell r="K6" t="str">
            <v>GL vs LM</v>
          </cell>
        </row>
        <row r="7">
          <cell r="A7" t="str">
            <v>0034</v>
          </cell>
          <cell r="B7" t="str">
            <v>SOI Fuji Apple 12pk 5.2 oz Samples</v>
          </cell>
          <cell r="C7">
            <v>0</v>
          </cell>
          <cell r="D7">
            <v>1.5</v>
          </cell>
          <cell r="E7">
            <v>0</v>
          </cell>
          <cell r="J7">
            <v>0</v>
          </cell>
          <cell r="K7">
            <v>0</v>
          </cell>
        </row>
        <row r="8">
          <cell r="A8" t="str">
            <v>0040</v>
          </cell>
          <cell r="B8" t="str">
            <v>SOI Lemon 12pk 15.2 oz Samples</v>
          </cell>
          <cell r="C8">
            <v>0</v>
          </cell>
          <cell r="D8">
            <v>1.5</v>
          </cell>
          <cell r="E8">
            <v>0</v>
          </cell>
          <cell r="G8">
            <v>0</v>
          </cell>
          <cell r="J8">
            <v>0</v>
          </cell>
          <cell r="K8">
            <v>0</v>
          </cell>
        </row>
        <row r="9">
          <cell r="A9" t="str">
            <v>0060</v>
          </cell>
          <cell r="B9" t="str">
            <v>SOI Lime 12pk 15.2 oz Samples</v>
          </cell>
          <cell r="C9">
            <v>0</v>
          </cell>
          <cell r="D9">
            <v>1.5</v>
          </cell>
          <cell r="E9">
            <v>0</v>
          </cell>
          <cell r="H9">
            <v>0</v>
          </cell>
          <cell r="J9">
            <v>0</v>
          </cell>
          <cell r="K9">
            <v>0</v>
          </cell>
        </row>
        <row r="10">
          <cell r="A10" t="str">
            <v>0070</v>
          </cell>
          <cell r="B10" t="str">
            <v>SOI Orange 12pk 15.2 oz Samples</v>
          </cell>
          <cell r="C10">
            <v>0</v>
          </cell>
          <cell r="D10">
            <v>1.5</v>
          </cell>
          <cell r="E10">
            <v>0</v>
          </cell>
          <cell r="J10">
            <v>0</v>
          </cell>
          <cell r="K10">
            <v>0</v>
          </cell>
        </row>
        <row r="11">
          <cell r="A11" t="str">
            <v>0090</v>
          </cell>
          <cell r="B11" t="str">
            <v>SOI LA 12pk 15.2 oz Samples</v>
          </cell>
          <cell r="C11">
            <v>0</v>
          </cell>
          <cell r="D11">
            <v>1.5</v>
          </cell>
          <cell r="E11">
            <v>0</v>
          </cell>
          <cell r="G11">
            <v>0</v>
          </cell>
          <cell r="J11">
            <v>0</v>
          </cell>
          <cell r="K11">
            <v>0</v>
          </cell>
        </row>
        <row r="12">
          <cell r="A12" t="str">
            <v>0148</v>
          </cell>
          <cell r="B12" t="str">
            <v>Meyer Lemon Juice Jpint 24pk Samples</v>
          </cell>
          <cell r="C12">
            <v>0</v>
          </cell>
          <cell r="D12">
            <v>1.5</v>
          </cell>
          <cell r="E12">
            <v>0</v>
          </cell>
          <cell r="G12">
            <v>0</v>
          </cell>
          <cell r="J12">
            <v>0</v>
          </cell>
          <cell r="K12">
            <v>0</v>
          </cell>
        </row>
        <row r="13">
          <cell r="A13" t="str">
            <v>0168</v>
          </cell>
          <cell r="B13" t="str">
            <v>Key Lime Juice Hpint 24pk Samples</v>
          </cell>
          <cell r="C13">
            <v>0</v>
          </cell>
          <cell r="D13">
            <v>1.5</v>
          </cell>
          <cell r="E13">
            <v>0</v>
          </cell>
          <cell r="H13">
            <v>0</v>
          </cell>
          <cell r="J13">
            <v>0</v>
          </cell>
          <cell r="K13">
            <v>0</v>
          </cell>
        </row>
        <row r="14">
          <cell r="A14" t="str">
            <v>0194</v>
          </cell>
          <cell r="B14" t="str">
            <v>Meyer Strw LA Hpint 24pk samples</v>
          </cell>
          <cell r="C14">
            <v>0</v>
          </cell>
          <cell r="D14">
            <v>1.5</v>
          </cell>
          <cell r="E14">
            <v>0</v>
          </cell>
          <cell r="J14">
            <v>0</v>
          </cell>
          <cell r="K14">
            <v>0</v>
          </cell>
        </row>
        <row r="15">
          <cell r="A15" t="str">
            <v>0196</v>
          </cell>
          <cell r="B15" t="str">
            <v>Watermelon Limeade Hpint 24pk Sample</v>
          </cell>
          <cell r="C15">
            <v>0</v>
          </cell>
          <cell r="D15">
            <v>1.5</v>
          </cell>
          <cell r="E15">
            <v>0</v>
          </cell>
          <cell r="J15">
            <v>0</v>
          </cell>
          <cell r="K15">
            <v>0</v>
          </cell>
        </row>
        <row r="16">
          <cell r="A16" t="str">
            <v>197</v>
          </cell>
          <cell r="B16" t="str">
            <v>SO Limeade FZN 6pk 30.5oz Samples</v>
          </cell>
          <cell r="C16">
            <v>220</v>
          </cell>
          <cell r="D16">
            <v>1.4297</v>
          </cell>
          <cell r="E16">
            <v>314.53399999999999</v>
          </cell>
          <cell r="J16">
            <v>-10</v>
          </cell>
          <cell r="K16">
            <v>-14.297000000000001</v>
          </cell>
        </row>
        <row r="17">
          <cell r="A17" t="str">
            <v>198</v>
          </cell>
          <cell r="B17" t="str">
            <v>SO Limeade FZN 3+1 6pk 32oz Samples</v>
          </cell>
          <cell r="C17">
            <v>163</v>
          </cell>
          <cell r="D17">
            <v>1.5</v>
          </cell>
          <cell r="E17">
            <v>244.5</v>
          </cell>
          <cell r="J17">
            <v>0</v>
          </cell>
          <cell r="K17">
            <v>0</v>
          </cell>
        </row>
        <row r="18">
          <cell r="A18" t="str">
            <v>0199</v>
          </cell>
          <cell r="B18" t="str">
            <v>Meyer LA Hpint 24pk samples</v>
          </cell>
          <cell r="C18">
            <v>0</v>
          </cell>
          <cell r="D18">
            <v>1.5</v>
          </cell>
          <cell r="E18">
            <v>0</v>
          </cell>
          <cell r="J18">
            <v>0</v>
          </cell>
          <cell r="K18">
            <v>0</v>
          </cell>
        </row>
        <row r="19">
          <cell r="A19" t="str">
            <v>1114</v>
          </cell>
          <cell r="B19" t="str">
            <v>SOJO Tangerine Clementine Juice 6pk 32oz</v>
          </cell>
          <cell r="C19">
            <v>0</v>
          </cell>
          <cell r="D19">
            <v>1.5</v>
          </cell>
          <cell r="E19">
            <v>0</v>
          </cell>
          <cell r="J19">
            <v>0</v>
          </cell>
          <cell r="K19">
            <v>0</v>
          </cell>
        </row>
        <row r="20">
          <cell r="A20" t="str">
            <v>1115</v>
          </cell>
          <cell r="B20" t="str">
            <v>SOJO Tangerine Juice 6pk 32oz</v>
          </cell>
          <cell r="C20">
            <v>0</v>
          </cell>
          <cell r="D20">
            <v>1.5</v>
          </cell>
          <cell r="E20">
            <v>0</v>
          </cell>
          <cell r="J20">
            <v>0</v>
          </cell>
          <cell r="K20">
            <v>0</v>
          </cell>
        </row>
        <row r="21">
          <cell r="A21" t="str">
            <v>1256</v>
          </cell>
          <cell r="B21" t="str">
            <v>Lidl Green Smoothie 15.2 oz 12pk</v>
          </cell>
          <cell r="C21">
            <v>0</v>
          </cell>
          <cell r="D21">
            <v>1.5</v>
          </cell>
          <cell r="E21">
            <v>0</v>
          </cell>
          <cell r="J21">
            <v>0</v>
          </cell>
          <cell r="K21">
            <v>0</v>
          </cell>
        </row>
        <row r="22">
          <cell r="A22" t="str">
            <v>1257</v>
          </cell>
          <cell r="B22" t="str">
            <v>Lidl Blue Smoothie 15.2 oz 12pk</v>
          </cell>
          <cell r="C22">
            <v>0</v>
          </cell>
          <cell r="D22">
            <v>1.4249999999999998</v>
          </cell>
          <cell r="E22">
            <v>0</v>
          </cell>
          <cell r="J22">
            <v>0</v>
          </cell>
          <cell r="K22">
            <v>0</v>
          </cell>
        </row>
        <row r="23">
          <cell r="A23" t="str">
            <v>1258</v>
          </cell>
          <cell r="B23" t="str">
            <v>Lidl Mango Smoothie 15.2 oz 12pk</v>
          </cell>
          <cell r="C23">
            <v>0</v>
          </cell>
          <cell r="D23">
            <v>1.4249999999999998</v>
          </cell>
          <cell r="E23">
            <v>0</v>
          </cell>
          <cell r="J23">
            <v>0</v>
          </cell>
          <cell r="K23">
            <v>0</v>
          </cell>
        </row>
        <row r="24">
          <cell r="A24" t="str">
            <v>1259</v>
          </cell>
          <cell r="B24" t="str">
            <v>Lidl Straw Banana Smoothie 15.2oz 12pk</v>
          </cell>
          <cell r="C24">
            <v>0</v>
          </cell>
          <cell r="D24">
            <v>1.4249999999999998</v>
          </cell>
          <cell r="E24">
            <v>0</v>
          </cell>
          <cell r="J24">
            <v>0</v>
          </cell>
          <cell r="K24">
            <v>0</v>
          </cell>
        </row>
        <row r="25">
          <cell r="A25" t="str">
            <v>1300</v>
          </cell>
          <cell r="B25" t="str">
            <v>Kroger 5+1 Berry Premix DR</v>
          </cell>
          <cell r="C25">
            <v>0</v>
          </cell>
          <cell r="D25">
            <v>45</v>
          </cell>
          <cell r="E25">
            <v>0</v>
          </cell>
          <cell r="J25">
            <v>0</v>
          </cell>
          <cell r="K25">
            <v>0</v>
          </cell>
        </row>
        <row r="26">
          <cell r="A26" t="str">
            <v>1301</v>
          </cell>
          <cell r="B26" t="str">
            <v>Kroger 5+1 Tropical Premix DR</v>
          </cell>
          <cell r="C26">
            <v>0</v>
          </cell>
          <cell r="D26">
            <v>45</v>
          </cell>
          <cell r="E26">
            <v>0</v>
          </cell>
          <cell r="J26">
            <v>0</v>
          </cell>
          <cell r="K26">
            <v>0</v>
          </cell>
        </row>
        <row r="27">
          <cell r="A27" t="str">
            <v>1302</v>
          </cell>
          <cell r="B27" t="str">
            <v>Kroger 5+1 Citrus Premix DR</v>
          </cell>
          <cell r="C27">
            <v>0</v>
          </cell>
          <cell r="D27">
            <v>45</v>
          </cell>
          <cell r="E27">
            <v>0</v>
          </cell>
          <cell r="J27">
            <v>0</v>
          </cell>
          <cell r="K27">
            <v>0</v>
          </cell>
        </row>
        <row r="28">
          <cell r="A28" t="str">
            <v>1309</v>
          </cell>
          <cell r="C28">
            <v>0</v>
          </cell>
          <cell r="D28">
            <v>1.5</v>
          </cell>
          <cell r="E28">
            <v>0</v>
          </cell>
          <cell r="J28">
            <v>0</v>
          </cell>
          <cell r="K28">
            <v>0</v>
          </cell>
        </row>
        <row r="29">
          <cell r="A29" t="str">
            <v>1310</v>
          </cell>
          <cell r="C29">
            <v>0</v>
          </cell>
          <cell r="D29">
            <v>1.5</v>
          </cell>
          <cell r="E29">
            <v>0</v>
          </cell>
          <cell r="J29">
            <v>0</v>
          </cell>
          <cell r="K29">
            <v>0</v>
          </cell>
        </row>
        <row r="30">
          <cell r="A30" t="str">
            <v>1311</v>
          </cell>
          <cell r="B30" t="str">
            <v>Simple Truth 100% Fruit Smoothies Strawberry Banana 6pk Qt</v>
          </cell>
          <cell r="C30">
            <v>0</v>
          </cell>
          <cell r="D30">
            <v>1.5</v>
          </cell>
          <cell r="E30">
            <v>0</v>
          </cell>
          <cell r="J30">
            <v>0</v>
          </cell>
          <cell r="K30">
            <v>0</v>
          </cell>
        </row>
        <row r="31">
          <cell r="A31" t="str">
            <v>1328</v>
          </cell>
          <cell r="B31" t="str">
            <v>Sams Club MM Reduced Sugar &amp; added Fiber Berries Smoothie 64OZ</v>
          </cell>
          <cell r="C31">
            <v>0</v>
          </cell>
          <cell r="D31">
            <v>3</v>
          </cell>
          <cell r="E31">
            <v>0</v>
          </cell>
          <cell r="J31">
            <v>0</v>
          </cell>
          <cell r="K31">
            <v>0</v>
          </cell>
        </row>
        <row r="32">
          <cell r="A32" t="str">
            <v>1329</v>
          </cell>
          <cell r="B32" t="str">
            <v>Sams Club MM Reduced Sugar &amp; added Fiber Green Smoothie 64OZ</v>
          </cell>
          <cell r="C32">
            <v>0</v>
          </cell>
          <cell r="D32">
            <v>3</v>
          </cell>
          <cell r="E32">
            <v>0</v>
          </cell>
          <cell r="J32">
            <v>0</v>
          </cell>
          <cell r="K32">
            <v>0</v>
          </cell>
        </row>
        <row r="33">
          <cell r="A33" t="str">
            <v>1330</v>
          </cell>
          <cell r="B33" t="str">
            <v>Sams Club MM Reduced Sugar &amp; added Fiber Mango Smoothie 64OZ</v>
          </cell>
          <cell r="C33">
            <v>0</v>
          </cell>
          <cell r="D33">
            <v>3</v>
          </cell>
          <cell r="E33">
            <v>0</v>
          </cell>
          <cell r="J33">
            <v>0</v>
          </cell>
          <cell r="K33">
            <v>0</v>
          </cell>
        </row>
        <row r="34">
          <cell r="A34" t="str">
            <v>1331</v>
          </cell>
          <cell r="B34" t="str">
            <v>Sams Club MM Reduced Sugar &amp; Fiber Strawberry Ban Smoothie 64OZ</v>
          </cell>
          <cell r="C34">
            <v>0</v>
          </cell>
          <cell r="D34">
            <v>3</v>
          </cell>
          <cell r="E34">
            <v>0</v>
          </cell>
          <cell r="J34">
            <v>0</v>
          </cell>
          <cell r="K34">
            <v>0</v>
          </cell>
        </row>
        <row r="35">
          <cell r="A35" t="str">
            <v>1335</v>
          </cell>
          <cell r="B35" t="str">
            <v>Sams Club MM Reduced Sugar &amp; Fiber Multipack 12pk 10oz</v>
          </cell>
          <cell r="C35">
            <v>22176</v>
          </cell>
          <cell r="D35">
            <v>0.93747599999999998</v>
          </cell>
          <cell r="E35">
            <v>20789.467775999998</v>
          </cell>
          <cell r="J35">
            <v>7296</v>
          </cell>
          <cell r="K35">
            <v>6839.8248960000001</v>
          </cell>
        </row>
        <row r="36">
          <cell r="A36" t="str">
            <v>1701</v>
          </cell>
          <cell r="B36" t="str">
            <v>Cava Blueberry Lavender Puree FZN 6pk 30.5oz</v>
          </cell>
          <cell r="C36">
            <v>2134</v>
          </cell>
          <cell r="D36">
            <v>1.5</v>
          </cell>
          <cell r="E36">
            <v>3201</v>
          </cell>
          <cell r="F36">
            <v>3201</v>
          </cell>
          <cell r="J36">
            <v>-3816</v>
          </cell>
          <cell r="K36">
            <v>-5724</v>
          </cell>
        </row>
        <row r="37">
          <cell r="A37" t="str">
            <v>1907</v>
          </cell>
          <cell r="B37" t="str">
            <v>5+1 Pineapple Lemongrass  Fruit Water</v>
          </cell>
          <cell r="C37">
            <v>0</v>
          </cell>
          <cell r="D37">
            <v>3</v>
          </cell>
          <cell r="E37">
            <v>0</v>
          </cell>
          <cell r="J37">
            <v>0</v>
          </cell>
          <cell r="K37">
            <v>0</v>
          </cell>
        </row>
        <row r="38">
          <cell r="A38" t="str">
            <v>1903</v>
          </cell>
          <cell r="B38" t="str">
            <v>Panera 5+1 Prickley Pear, Hibiscus, Lime Agua</v>
          </cell>
          <cell r="C38">
            <v>0</v>
          </cell>
          <cell r="D38">
            <v>3</v>
          </cell>
          <cell r="E38">
            <v>0</v>
          </cell>
          <cell r="J38">
            <v>0</v>
          </cell>
          <cell r="K38">
            <v>0</v>
          </cell>
        </row>
        <row r="39">
          <cell r="A39" t="str">
            <v>1914</v>
          </cell>
          <cell r="B39" t="str">
            <v>Panera 1+1 Pineapple Cucumber Fresca Base 3pk 61.5oz</v>
          </cell>
          <cell r="C39">
            <v>0</v>
          </cell>
          <cell r="D39">
            <v>2.88</v>
          </cell>
          <cell r="E39">
            <v>0</v>
          </cell>
          <cell r="J39">
            <v>0</v>
          </cell>
          <cell r="K39">
            <v>0</v>
          </cell>
        </row>
        <row r="40">
          <cell r="A40" t="str">
            <v>1953</v>
          </cell>
          <cell r="B40" t="str">
            <v>5+1 Prickly Pear, Hib, Lime Agua Fresca NSA 61.5oz 6pk FZN</v>
          </cell>
          <cell r="C40">
            <v>0</v>
          </cell>
          <cell r="D40">
            <v>2.88</v>
          </cell>
          <cell r="E40">
            <v>0</v>
          </cell>
          <cell r="F40">
            <v>0</v>
          </cell>
          <cell r="H40">
            <v>0</v>
          </cell>
          <cell r="J40">
            <v>0</v>
          </cell>
          <cell r="K40">
            <v>0</v>
          </cell>
        </row>
        <row r="41">
          <cell r="A41" t="str">
            <v>2370</v>
          </cell>
          <cell r="B41" t="str">
            <v>25 pk 16 oz empty bottle</v>
          </cell>
          <cell r="C41">
            <v>0</v>
          </cell>
          <cell r="D41">
            <v>1</v>
          </cell>
          <cell r="E41">
            <v>0</v>
          </cell>
          <cell r="F41">
            <v>0</v>
          </cell>
          <cell r="J41">
            <v>0</v>
          </cell>
          <cell r="K41">
            <v>0</v>
          </cell>
        </row>
        <row r="42">
          <cell r="A42" t="str">
            <v>2375</v>
          </cell>
          <cell r="B42" t="str">
            <v>9 pk 64 oz emptly bottle</v>
          </cell>
          <cell r="C42">
            <v>0</v>
          </cell>
          <cell r="D42">
            <v>1</v>
          </cell>
          <cell r="E42">
            <v>0</v>
          </cell>
          <cell r="F42">
            <v>0</v>
          </cell>
          <cell r="J42">
            <v>0</v>
          </cell>
          <cell r="K42">
            <v>0</v>
          </cell>
        </row>
        <row r="43">
          <cell r="A43" t="str">
            <v>2401</v>
          </cell>
          <cell r="B43" t="str">
            <v>Rykoff Sexton Variety Pack 24pk 8oz</v>
          </cell>
          <cell r="C43">
            <v>0</v>
          </cell>
          <cell r="D43">
            <v>1.5</v>
          </cell>
          <cell r="E43">
            <v>0</v>
          </cell>
          <cell r="J43">
            <v>0</v>
          </cell>
          <cell r="K43">
            <v>0</v>
          </cell>
        </row>
        <row r="44">
          <cell r="A44" t="str">
            <v>2402</v>
          </cell>
          <cell r="B44" t="str">
            <v>Rykoff Sexton variety pack #2 24pk 8oz</v>
          </cell>
          <cell r="C44">
            <v>0</v>
          </cell>
          <cell r="D44">
            <v>1.5</v>
          </cell>
          <cell r="E44">
            <v>0</v>
          </cell>
          <cell r="J44">
            <v>0</v>
          </cell>
          <cell r="K44">
            <v>0</v>
          </cell>
        </row>
        <row r="45">
          <cell r="A45" t="str">
            <v>2403</v>
          </cell>
          <cell r="B45" t="str">
            <v>Rykoff Sexton Variety Pack #3 24pk 8oz</v>
          </cell>
          <cell r="C45">
            <v>0</v>
          </cell>
          <cell r="D45">
            <v>1.5</v>
          </cell>
          <cell r="E45">
            <v>0</v>
          </cell>
          <cell r="J45">
            <v>0</v>
          </cell>
          <cell r="K45">
            <v>0</v>
          </cell>
        </row>
        <row r="46">
          <cell r="A46" t="str">
            <v>2404</v>
          </cell>
          <cell r="B46" t="str">
            <v>Rykoff Sexton Scoop Pack #4 24pk 8oz</v>
          </cell>
          <cell r="C46">
            <v>0</v>
          </cell>
          <cell r="D46">
            <v>1.5</v>
          </cell>
          <cell r="E46">
            <v>0</v>
          </cell>
          <cell r="J46">
            <v>0</v>
          </cell>
          <cell r="K46">
            <v>0</v>
          </cell>
        </row>
        <row r="47">
          <cell r="A47" t="str">
            <v>2510</v>
          </cell>
          <cell r="B47" t="str">
            <v>Captain D's Rasp Fruit Tea Base 6pk Hgln</v>
          </cell>
          <cell r="C47">
            <v>0</v>
          </cell>
          <cell r="D47">
            <v>3</v>
          </cell>
          <cell r="E47">
            <v>0</v>
          </cell>
          <cell r="J47">
            <v>0</v>
          </cell>
          <cell r="K47">
            <v>0</v>
          </cell>
        </row>
        <row r="48">
          <cell r="A48" t="str">
            <v>2520</v>
          </cell>
          <cell r="B48" t="str">
            <v>SO Mixed Berry Omija 6+1 FZN HGln 6pk</v>
          </cell>
          <cell r="C48">
            <v>481</v>
          </cell>
          <cell r="D48">
            <v>3</v>
          </cell>
          <cell r="E48">
            <v>1443</v>
          </cell>
          <cell r="F48">
            <v>1443</v>
          </cell>
          <cell r="J48">
            <v>-144</v>
          </cell>
          <cell r="K48">
            <v>-432</v>
          </cell>
        </row>
        <row r="49">
          <cell r="A49" t="str">
            <v>2601</v>
          </cell>
          <cell r="B49" t="str">
            <v>Noble ZING Fruit Punch 8/12oz</v>
          </cell>
          <cell r="C49">
            <v>0</v>
          </cell>
          <cell r="D49">
            <v>0.75</v>
          </cell>
          <cell r="E49">
            <v>0</v>
          </cell>
          <cell r="J49">
            <v>0</v>
          </cell>
          <cell r="K49">
            <v>0</v>
          </cell>
        </row>
        <row r="50">
          <cell r="A50" t="str">
            <v>2602</v>
          </cell>
          <cell r="B50" t="str">
            <v>Noble Organic Beet &amp; Berry 8/12oz</v>
          </cell>
          <cell r="C50">
            <v>0</v>
          </cell>
          <cell r="D50">
            <v>0.75</v>
          </cell>
          <cell r="E50">
            <v>0</v>
          </cell>
          <cell r="J50">
            <v>0</v>
          </cell>
          <cell r="K50">
            <v>0</v>
          </cell>
        </row>
        <row r="51">
          <cell r="A51" t="str">
            <v>2603</v>
          </cell>
          <cell r="B51" t="str">
            <v>Noble Gen. Organic Beet &amp; Berry 8/12oz</v>
          </cell>
          <cell r="C51">
            <v>0</v>
          </cell>
          <cell r="D51">
            <v>0.75</v>
          </cell>
          <cell r="E51">
            <v>0</v>
          </cell>
          <cell r="J51">
            <v>0</v>
          </cell>
          <cell r="K51">
            <v>0</v>
          </cell>
        </row>
        <row r="52">
          <cell r="A52" t="str">
            <v>2604</v>
          </cell>
          <cell r="B52" t="str">
            <v>Noble Organic Orange Mango Carrot 8/12oz</v>
          </cell>
          <cell r="C52">
            <v>0</v>
          </cell>
          <cell r="D52">
            <v>0.75</v>
          </cell>
          <cell r="E52">
            <v>0</v>
          </cell>
          <cell r="J52">
            <v>0</v>
          </cell>
          <cell r="K52">
            <v>0</v>
          </cell>
        </row>
        <row r="53">
          <cell r="A53" t="str">
            <v>2605</v>
          </cell>
          <cell r="B53" t="str">
            <v>Noble Gen. Organic Orange Mango Carrot 8/12oz</v>
          </cell>
          <cell r="C53">
            <v>0</v>
          </cell>
          <cell r="D53">
            <v>0.75</v>
          </cell>
          <cell r="E53">
            <v>0</v>
          </cell>
          <cell r="J53">
            <v>0</v>
          </cell>
          <cell r="K53">
            <v>0</v>
          </cell>
        </row>
        <row r="54">
          <cell r="A54" t="str">
            <v>2692</v>
          </cell>
          <cell r="B54" t="str">
            <v>Peach Mango Fruit Base FZN 9pk HGln 61.5oz</v>
          </cell>
          <cell r="C54">
            <v>0</v>
          </cell>
          <cell r="D54">
            <v>4.5</v>
          </cell>
          <cell r="E54">
            <v>0</v>
          </cell>
          <cell r="F54">
            <v>0</v>
          </cell>
          <cell r="J54">
            <v>0</v>
          </cell>
          <cell r="K54">
            <v>0</v>
          </cell>
        </row>
        <row r="55">
          <cell r="A55" t="str">
            <v>2700</v>
          </cell>
          <cell r="B55" t="str">
            <v>Mango Puree in Buckets</v>
          </cell>
          <cell r="C55">
            <v>0</v>
          </cell>
          <cell r="D55">
            <v>44</v>
          </cell>
          <cell r="E55">
            <v>0</v>
          </cell>
          <cell r="J55">
            <v>0</v>
          </cell>
          <cell r="K55">
            <v>0</v>
          </cell>
        </row>
        <row r="56">
          <cell r="A56" t="str">
            <v>2705</v>
          </cell>
          <cell r="B56" t="str">
            <v>Panera Strw Base w\ Vitamins HGln 6pk</v>
          </cell>
          <cell r="C56">
            <v>0</v>
          </cell>
          <cell r="D56">
            <v>3</v>
          </cell>
          <cell r="E56">
            <v>0</v>
          </cell>
          <cell r="F56">
            <v>0</v>
          </cell>
          <cell r="J56">
            <v>0</v>
          </cell>
          <cell r="K56">
            <v>0</v>
          </cell>
        </row>
        <row r="57">
          <cell r="A57" t="str">
            <v>2706</v>
          </cell>
          <cell r="B57" t="str">
            <v>Panera Black Cherry Base HGln 6pk</v>
          </cell>
          <cell r="C57">
            <v>0</v>
          </cell>
          <cell r="D57">
            <v>3</v>
          </cell>
          <cell r="E57">
            <v>0</v>
          </cell>
          <cell r="F57">
            <v>0</v>
          </cell>
          <cell r="J57">
            <v>0</v>
          </cell>
          <cell r="K57">
            <v>0</v>
          </cell>
        </row>
        <row r="58">
          <cell r="A58" t="str">
            <v>2707</v>
          </cell>
          <cell r="B58" t="str">
            <v>Panera Black Cherry Base W\Vitamins HGln 6pk</v>
          </cell>
          <cell r="C58">
            <v>0</v>
          </cell>
          <cell r="D58">
            <v>3</v>
          </cell>
          <cell r="E58">
            <v>0</v>
          </cell>
          <cell r="F58">
            <v>0</v>
          </cell>
          <cell r="J58">
            <v>0</v>
          </cell>
          <cell r="K58">
            <v>0</v>
          </cell>
        </row>
        <row r="59">
          <cell r="A59" t="str">
            <v>2708</v>
          </cell>
          <cell r="B59" t="str">
            <v>Panera Peach Base w\ vitamins &amp; ginseng</v>
          </cell>
          <cell r="C59">
            <v>0</v>
          </cell>
          <cell r="D59">
            <v>3</v>
          </cell>
          <cell r="E59">
            <v>0</v>
          </cell>
          <cell r="F59">
            <v>0</v>
          </cell>
          <cell r="J59">
            <v>0</v>
          </cell>
          <cell r="K59">
            <v>0</v>
          </cell>
        </row>
        <row r="60">
          <cell r="A60" t="str">
            <v>2709</v>
          </cell>
          <cell r="B60" t="str">
            <v>Panera Wildberry Base w\Vitamins</v>
          </cell>
          <cell r="C60">
            <v>0</v>
          </cell>
          <cell r="D60">
            <v>3</v>
          </cell>
          <cell r="E60">
            <v>0</v>
          </cell>
          <cell r="F60">
            <v>0</v>
          </cell>
          <cell r="J60">
            <v>0</v>
          </cell>
          <cell r="K60">
            <v>0</v>
          </cell>
        </row>
        <row r="61">
          <cell r="A61" t="str">
            <v>2711</v>
          </cell>
          <cell r="B61" t="str">
            <v>Panera Carrot Mango Base w/ginger FZ 61.5 oz</v>
          </cell>
          <cell r="C61">
            <v>0</v>
          </cell>
          <cell r="D61">
            <v>3</v>
          </cell>
          <cell r="E61">
            <v>0</v>
          </cell>
          <cell r="F61">
            <v>0</v>
          </cell>
          <cell r="J61">
            <v>0</v>
          </cell>
          <cell r="K61">
            <v>0</v>
          </cell>
        </row>
        <row r="62">
          <cell r="A62" t="str">
            <v>2712</v>
          </cell>
          <cell r="B62" t="str">
            <v>Panera Peach Mango Base FZN 61.5oz</v>
          </cell>
          <cell r="C62">
            <v>0</v>
          </cell>
          <cell r="D62">
            <v>3</v>
          </cell>
          <cell r="E62">
            <v>0</v>
          </cell>
          <cell r="F62">
            <v>0</v>
          </cell>
          <cell r="J62">
            <v>0</v>
          </cell>
          <cell r="K62">
            <v>0</v>
          </cell>
        </row>
        <row r="63">
          <cell r="A63" t="str">
            <v>2722</v>
          </cell>
          <cell r="B63" t="str">
            <v>Panera Mango Base w\Vit Fzn</v>
          </cell>
          <cell r="C63">
            <v>0</v>
          </cell>
          <cell r="D63">
            <v>3</v>
          </cell>
          <cell r="E63">
            <v>0</v>
          </cell>
          <cell r="F63">
            <v>0</v>
          </cell>
          <cell r="J63">
            <v>0</v>
          </cell>
          <cell r="K63">
            <v>0</v>
          </cell>
        </row>
        <row r="64">
          <cell r="A64" t="str">
            <v>2723</v>
          </cell>
          <cell r="B64" t="str">
            <v>Panera Tropical Fruit Base w\Vit Fzn</v>
          </cell>
          <cell r="C64">
            <v>0</v>
          </cell>
          <cell r="D64">
            <v>3</v>
          </cell>
          <cell r="E64">
            <v>0</v>
          </cell>
          <cell r="F64">
            <v>0</v>
          </cell>
          <cell r="J64">
            <v>0</v>
          </cell>
          <cell r="K64">
            <v>0</v>
          </cell>
        </row>
        <row r="65">
          <cell r="A65" t="str">
            <v>2724</v>
          </cell>
          <cell r="B65" t="str">
            <v>Panera Strw Base w\Vit Fzn 61.5 oz</v>
          </cell>
          <cell r="C65">
            <v>0</v>
          </cell>
          <cell r="D65">
            <v>3</v>
          </cell>
          <cell r="E65">
            <v>0</v>
          </cell>
          <cell r="F65">
            <v>0</v>
          </cell>
          <cell r="J65">
            <v>0</v>
          </cell>
          <cell r="K65">
            <v>0</v>
          </cell>
        </row>
        <row r="66">
          <cell r="A66" t="str">
            <v>2725</v>
          </cell>
          <cell r="B66" t="str">
            <v>Panera Strw Base w\Vit Fzn</v>
          </cell>
          <cell r="C66">
            <v>0</v>
          </cell>
          <cell r="D66">
            <v>3</v>
          </cell>
          <cell r="E66">
            <v>0</v>
          </cell>
          <cell r="F66">
            <v>0</v>
          </cell>
          <cell r="J66">
            <v>0</v>
          </cell>
          <cell r="K66">
            <v>0</v>
          </cell>
        </row>
        <row r="67">
          <cell r="A67" t="str">
            <v>2738</v>
          </cell>
          <cell r="B67" t="str">
            <v>Panera Peach Base w\Vit Fzn 61.5 oz</v>
          </cell>
          <cell r="C67">
            <v>0</v>
          </cell>
          <cell r="D67">
            <v>1.4410000000000001</v>
          </cell>
          <cell r="E67">
            <v>0</v>
          </cell>
          <cell r="F67">
            <v>0</v>
          </cell>
          <cell r="J67">
            <v>0</v>
          </cell>
          <cell r="K67">
            <v>0</v>
          </cell>
        </row>
        <row r="68">
          <cell r="A68" t="str">
            <v>2737</v>
          </cell>
          <cell r="B68" t="str">
            <v>Panera Superfruit Power Fruit Base FZN 61.5oz</v>
          </cell>
          <cell r="C68">
            <v>0</v>
          </cell>
          <cell r="D68">
            <v>1.4410000000000001</v>
          </cell>
          <cell r="E68">
            <v>0</v>
          </cell>
          <cell r="F68">
            <v>0</v>
          </cell>
          <cell r="J68">
            <v>0</v>
          </cell>
          <cell r="K68">
            <v>0</v>
          </cell>
        </row>
        <row r="69">
          <cell r="A69" t="str">
            <v>2730</v>
          </cell>
          <cell r="B69" t="str">
            <v>Panera Cran OJ Base FZN w/vit &amp; Ginseng</v>
          </cell>
          <cell r="C69">
            <v>0</v>
          </cell>
          <cell r="D69">
            <v>1.4410000000000001</v>
          </cell>
          <cell r="E69">
            <v>0</v>
          </cell>
          <cell r="F69">
            <v>0</v>
          </cell>
          <cell r="J69">
            <v>0</v>
          </cell>
          <cell r="K69">
            <v>0</v>
          </cell>
        </row>
        <row r="70">
          <cell r="A70" t="str">
            <v>2731</v>
          </cell>
          <cell r="B70" t="str">
            <v>Panera Mango Base w\Vit Fzn 61.5 oz</v>
          </cell>
          <cell r="C70">
            <v>0</v>
          </cell>
          <cell r="D70">
            <v>1.4410000000000001</v>
          </cell>
          <cell r="E70">
            <v>0</v>
          </cell>
          <cell r="F70">
            <v>0</v>
          </cell>
          <cell r="J70">
            <v>0</v>
          </cell>
          <cell r="K70">
            <v>0</v>
          </cell>
        </row>
        <row r="71">
          <cell r="A71" t="str">
            <v>2734</v>
          </cell>
          <cell r="B71" t="str">
            <v>Panera Strw Base w\Vit Fzn 61.5 oz</v>
          </cell>
          <cell r="C71">
            <v>0</v>
          </cell>
          <cell r="D71">
            <v>1.4410000000000001</v>
          </cell>
          <cell r="E71">
            <v>0</v>
          </cell>
          <cell r="F71">
            <v>0</v>
          </cell>
          <cell r="J71">
            <v>0</v>
          </cell>
          <cell r="K71">
            <v>0</v>
          </cell>
        </row>
        <row r="72">
          <cell r="A72" t="str">
            <v>2736</v>
          </cell>
          <cell r="B72" t="str">
            <v>Panera Black Cherry Base W\Vit fzn 61.5 oz</v>
          </cell>
          <cell r="C72">
            <v>0</v>
          </cell>
          <cell r="D72">
            <v>1.4410000000000001</v>
          </cell>
          <cell r="E72">
            <v>0</v>
          </cell>
          <cell r="F72">
            <v>0</v>
          </cell>
          <cell r="J72">
            <v>0</v>
          </cell>
          <cell r="K72">
            <v>0</v>
          </cell>
        </row>
        <row r="73">
          <cell r="A73" t="str">
            <v>2739</v>
          </cell>
          <cell r="B73" t="str">
            <v>Panera Wildberry Base w\Vit FZN 61.5 oz</v>
          </cell>
          <cell r="C73">
            <v>0</v>
          </cell>
          <cell r="D73">
            <v>1.4410000000000001</v>
          </cell>
          <cell r="E73">
            <v>0</v>
          </cell>
          <cell r="F73">
            <v>0</v>
          </cell>
          <cell r="J73">
            <v>0</v>
          </cell>
          <cell r="K73">
            <v>0</v>
          </cell>
        </row>
        <row r="74">
          <cell r="A74" t="str">
            <v>2740</v>
          </cell>
          <cell r="B74" t="str">
            <v>Panera Tomato Vegetable and Fruit Base 61.5 oz FZN</v>
          </cell>
          <cell r="C74">
            <v>0</v>
          </cell>
          <cell r="D74">
            <v>1.4410000000000001</v>
          </cell>
          <cell r="E74">
            <v>0</v>
          </cell>
          <cell r="F74">
            <v>0</v>
          </cell>
          <cell r="J74">
            <v>0</v>
          </cell>
          <cell r="K74">
            <v>0</v>
          </cell>
        </row>
        <row r="75">
          <cell r="A75" t="str">
            <v>2741</v>
          </cell>
          <cell r="B75" t="str">
            <v>Panera Kale Vegetable and Fruit Base 61.5oz FZN</v>
          </cell>
          <cell r="C75">
            <v>0</v>
          </cell>
          <cell r="D75">
            <v>1.4410000000000001</v>
          </cell>
          <cell r="E75">
            <v>0</v>
          </cell>
          <cell r="F75">
            <v>0</v>
          </cell>
          <cell r="J75">
            <v>0</v>
          </cell>
          <cell r="K75">
            <v>0</v>
          </cell>
        </row>
        <row r="76">
          <cell r="A76" t="str">
            <v>2742</v>
          </cell>
          <cell r="B76" t="str">
            <v xml:space="preserve">Panera Blueberyy Pom Fruit Base FZN 61.5oz </v>
          </cell>
          <cell r="C76">
            <v>0</v>
          </cell>
          <cell r="D76">
            <v>1.4410000000000001</v>
          </cell>
          <cell r="E76">
            <v>0</v>
          </cell>
          <cell r="F76">
            <v>0</v>
          </cell>
          <cell r="J76">
            <v>0</v>
          </cell>
          <cell r="K76">
            <v>0</v>
          </cell>
        </row>
        <row r="77">
          <cell r="A77" t="str">
            <v>2743</v>
          </cell>
          <cell r="B77" t="str">
            <v xml:space="preserve">Panera Strw Base w/Vit FZN 61.5oz </v>
          </cell>
          <cell r="C77">
            <v>0</v>
          </cell>
          <cell r="D77">
            <v>1.4410000000000001</v>
          </cell>
          <cell r="E77">
            <v>0</v>
          </cell>
          <cell r="F77">
            <v>0</v>
          </cell>
          <cell r="J77">
            <v>0</v>
          </cell>
          <cell r="K77">
            <v>0</v>
          </cell>
        </row>
        <row r="78">
          <cell r="A78" t="str">
            <v>2744</v>
          </cell>
          <cell r="B78" t="str">
            <v xml:space="preserve">Panera Superfruit Power Fruit Base FZN 61.5oz </v>
          </cell>
          <cell r="C78">
            <v>0</v>
          </cell>
          <cell r="D78">
            <v>1.4410000000000001</v>
          </cell>
          <cell r="E78">
            <v>0</v>
          </cell>
          <cell r="F78">
            <v>0</v>
          </cell>
          <cell r="J78">
            <v>0</v>
          </cell>
          <cell r="K78">
            <v>0</v>
          </cell>
        </row>
        <row r="79">
          <cell r="A79" t="str">
            <v>2745</v>
          </cell>
          <cell r="B79" t="str">
            <v>Blueberry Pom Fruit Base w/ Coconut cream</v>
          </cell>
          <cell r="C79">
            <v>0</v>
          </cell>
          <cell r="D79">
            <v>1.4410000000000001</v>
          </cell>
          <cell r="E79">
            <v>0</v>
          </cell>
          <cell r="F79">
            <v>0</v>
          </cell>
          <cell r="J79">
            <v>0</v>
          </cell>
          <cell r="K79">
            <v>0</v>
          </cell>
        </row>
        <row r="80">
          <cell r="A80" t="str">
            <v>2750</v>
          </cell>
          <cell r="B80" t="str">
            <v>Panera Spiced Carrot Base 61.5oz 6pk Fzn</v>
          </cell>
          <cell r="C80">
            <v>0</v>
          </cell>
          <cell r="D80">
            <v>3</v>
          </cell>
          <cell r="E80">
            <v>0</v>
          </cell>
          <cell r="F80">
            <v>0</v>
          </cell>
          <cell r="J80">
            <v>0</v>
          </cell>
          <cell r="K80">
            <v>0</v>
          </cell>
        </row>
        <row r="81">
          <cell r="A81" t="str">
            <v>2752</v>
          </cell>
          <cell r="B81" t="str">
            <v>Panera Mango Fruit Base No Refined Sugar Added FZN</v>
          </cell>
          <cell r="C81">
            <v>5017</v>
          </cell>
          <cell r="D81">
            <v>2.88</v>
          </cell>
          <cell r="E81">
            <v>14448.96</v>
          </cell>
          <cell r="F81">
            <v>14448.96</v>
          </cell>
          <cell r="I81">
            <v>2167.3439999999996</v>
          </cell>
          <cell r="J81">
            <v>888</v>
          </cell>
          <cell r="K81">
            <v>2557.44</v>
          </cell>
        </row>
        <row r="82">
          <cell r="A82" t="str">
            <v>2753</v>
          </cell>
          <cell r="B82" t="str">
            <v>Panera Strawberry Fruit Base No Refined Sugar Added FZN</v>
          </cell>
          <cell r="C82">
            <v>6903</v>
          </cell>
          <cell r="D82">
            <v>2.88</v>
          </cell>
          <cell r="E82">
            <v>19880.64</v>
          </cell>
          <cell r="F82">
            <v>19880.64</v>
          </cell>
          <cell r="J82">
            <v>2286</v>
          </cell>
          <cell r="K82">
            <v>6583.6799999999994</v>
          </cell>
        </row>
        <row r="83">
          <cell r="A83" t="str">
            <v>2762</v>
          </cell>
          <cell r="B83" t="str">
            <v>Panera Peach Mango Base w\Vit Fzn 61.5 oz 6pk</v>
          </cell>
          <cell r="C83">
            <v>0</v>
          </cell>
          <cell r="D83">
            <v>2.88</v>
          </cell>
          <cell r="E83">
            <v>0</v>
          </cell>
          <cell r="F83">
            <v>0</v>
          </cell>
          <cell r="J83">
            <v>0</v>
          </cell>
          <cell r="K83">
            <v>0</v>
          </cell>
        </row>
        <row r="84">
          <cell r="A84" t="str">
            <v>2763</v>
          </cell>
          <cell r="B84" t="str">
            <v>Panera Strw Base FZN 61.5oz 6pk</v>
          </cell>
          <cell r="C84">
            <v>0</v>
          </cell>
          <cell r="D84">
            <v>3</v>
          </cell>
          <cell r="E84">
            <v>0</v>
          </cell>
          <cell r="F84">
            <v>0</v>
          </cell>
          <cell r="J84">
            <v>0</v>
          </cell>
          <cell r="K84">
            <v>0</v>
          </cell>
        </row>
        <row r="85">
          <cell r="A85" t="str">
            <v>2764</v>
          </cell>
          <cell r="B85" t="str">
            <v>Panera PowerBerry Fruit Base FZN 61.5 6pk</v>
          </cell>
          <cell r="C85">
            <v>0</v>
          </cell>
          <cell r="D85">
            <v>2.88</v>
          </cell>
          <cell r="E85">
            <v>0</v>
          </cell>
          <cell r="F85">
            <v>0</v>
          </cell>
          <cell r="J85">
            <v>0</v>
          </cell>
          <cell r="K85">
            <v>0</v>
          </cell>
        </row>
        <row r="86">
          <cell r="A86" t="str">
            <v>2765</v>
          </cell>
          <cell r="B86" t="str">
            <v>Panera Blueberyy Pom Fruit Base FZN 61.5oz  6pk</v>
          </cell>
          <cell r="C86">
            <v>0</v>
          </cell>
          <cell r="D86">
            <v>3</v>
          </cell>
          <cell r="E86">
            <v>0</v>
          </cell>
          <cell r="F86">
            <v>0</v>
          </cell>
          <cell r="J86">
            <v>0</v>
          </cell>
          <cell r="K86">
            <v>0</v>
          </cell>
        </row>
        <row r="87">
          <cell r="A87" t="str">
            <v>2800</v>
          </cell>
          <cell r="B87" t="str">
            <v>Aldi POM/BLPOM Juice 6pk 16oz</v>
          </cell>
          <cell r="C87">
            <v>0</v>
          </cell>
          <cell r="D87">
            <v>0.75</v>
          </cell>
          <cell r="E87">
            <v>0</v>
          </cell>
          <cell r="J87">
            <v>0</v>
          </cell>
          <cell r="K87">
            <v>0</v>
          </cell>
        </row>
        <row r="88">
          <cell r="A88" t="str">
            <v>2801</v>
          </cell>
          <cell r="B88" t="str">
            <v>Aldi POM Juice 6pk 16oz</v>
          </cell>
          <cell r="C88">
            <v>0</v>
          </cell>
          <cell r="D88">
            <v>0.75</v>
          </cell>
          <cell r="E88">
            <v>0</v>
          </cell>
          <cell r="J88">
            <v>0</v>
          </cell>
          <cell r="K88">
            <v>0</v>
          </cell>
        </row>
        <row r="89">
          <cell r="A89" t="str">
            <v>2802</v>
          </cell>
          <cell r="B89" t="str">
            <v>Aldi POM Blueberry Juice 6pk 16oz</v>
          </cell>
          <cell r="C89">
            <v>0</v>
          </cell>
          <cell r="D89">
            <v>0.75</v>
          </cell>
          <cell r="E89">
            <v>0</v>
          </cell>
          <cell r="J89">
            <v>0</v>
          </cell>
          <cell r="K89">
            <v>0</v>
          </cell>
        </row>
        <row r="90">
          <cell r="A90" t="str">
            <v>2810</v>
          </cell>
          <cell r="B90" t="str">
            <v>Aldi STW/Peach Chia 6pk 16oz</v>
          </cell>
          <cell r="C90">
            <v>0</v>
          </cell>
          <cell r="D90">
            <v>0.75</v>
          </cell>
          <cell r="E90">
            <v>0</v>
          </cell>
          <cell r="J90">
            <v>0</v>
          </cell>
          <cell r="K90">
            <v>0</v>
          </cell>
        </row>
        <row r="91">
          <cell r="A91" t="str">
            <v>2811</v>
          </cell>
          <cell r="B91" t="str">
            <v>Aldi Strawberry Chia 25pk 16oz</v>
          </cell>
          <cell r="C91">
            <v>0</v>
          </cell>
          <cell r="D91">
            <v>0.75</v>
          </cell>
          <cell r="E91">
            <v>0</v>
          </cell>
          <cell r="J91">
            <v>0</v>
          </cell>
          <cell r="K91">
            <v>0</v>
          </cell>
        </row>
        <row r="92">
          <cell r="A92" t="str">
            <v>2812</v>
          </cell>
          <cell r="B92" t="str">
            <v>Aldi Peach Chia 25pk 16oz</v>
          </cell>
          <cell r="C92">
            <v>0</v>
          </cell>
          <cell r="D92">
            <v>0.75</v>
          </cell>
          <cell r="E92">
            <v>0</v>
          </cell>
          <cell r="J92">
            <v>0</v>
          </cell>
          <cell r="K92">
            <v>0</v>
          </cell>
        </row>
        <row r="93">
          <cell r="A93" t="str">
            <v>2829</v>
          </cell>
          <cell r="B93" t="str">
            <v>Lidl Pomegranate Juice 15.2oz</v>
          </cell>
          <cell r="C93">
            <v>0</v>
          </cell>
          <cell r="D93">
            <v>1.4249999999999998</v>
          </cell>
          <cell r="E93">
            <v>0</v>
          </cell>
          <cell r="J93">
            <v>0</v>
          </cell>
          <cell r="K93">
            <v>0</v>
          </cell>
        </row>
        <row r="94">
          <cell r="A94" t="str">
            <v>3034</v>
          </cell>
          <cell r="B94" t="str">
            <v>SYSCO 100% Pineapple Juice 12pk 12oz</v>
          </cell>
          <cell r="C94">
            <v>0</v>
          </cell>
          <cell r="D94">
            <v>1.125</v>
          </cell>
          <cell r="E94">
            <v>0</v>
          </cell>
          <cell r="J94">
            <v>0</v>
          </cell>
          <cell r="K94">
            <v>0</v>
          </cell>
        </row>
        <row r="95">
          <cell r="A95" t="str">
            <v>3093</v>
          </cell>
          <cell r="B95" t="str">
            <v>SYSCO 100% Pineapple Qt 6pk</v>
          </cell>
          <cell r="C95">
            <v>0</v>
          </cell>
          <cell r="D95">
            <v>1.5</v>
          </cell>
          <cell r="E95">
            <v>0</v>
          </cell>
          <cell r="J95">
            <v>0</v>
          </cell>
          <cell r="K95">
            <v>0</v>
          </cell>
        </row>
        <row r="96">
          <cell r="A96" t="str">
            <v>3094</v>
          </cell>
          <cell r="B96" t="str">
            <v>CA-SYSCO 100% Pineapple Qt 6pk</v>
          </cell>
          <cell r="C96">
            <v>0</v>
          </cell>
          <cell r="D96">
            <v>1.5</v>
          </cell>
          <cell r="E96">
            <v>0</v>
          </cell>
          <cell r="J96">
            <v>0</v>
          </cell>
          <cell r="K96">
            <v>0</v>
          </cell>
        </row>
        <row r="97">
          <cell r="A97" t="str">
            <v>3134</v>
          </cell>
          <cell r="B97" t="str">
            <v>SYSCO Pineapple Mango Juice 12pk 12oz</v>
          </cell>
          <cell r="C97">
            <v>0</v>
          </cell>
          <cell r="D97">
            <v>1.125</v>
          </cell>
          <cell r="E97">
            <v>0</v>
          </cell>
          <cell r="J97">
            <v>0</v>
          </cell>
          <cell r="K97">
            <v>0</v>
          </cell>
        </row>
        <row r="98">
          <cell r="A98" t="str">
            <v>3193</v>
          </cell>
          <cell r="B98" t="str">
            <v>SYSCO Pineapple Mango Juice Qt 6pk</v>
          </cell>
          <cell r="C98">
            <v>0</v>
          </cell>
          <cell r="D98">
            <v>1.5</v>
          </cell>
          <cell r="E98">
            <v>0</v>
          </cell>
          <cell r="J98">
            <v>0</v>
          </cell>
          <cell r="K98">
            <v>0</v>
          </cell>
        </row>
        <row r="99">
          <cell r="A99" t="str">
            <v>3202</v>
          </cell>
          <cell r="B99" t="str">
            <v>SOI Pineapple Juice 4pk 123oz.TBF</v>
          </cell>
          <cell r="C99">
            <v>0</v>
          </cell>
          <cell r="D99">
            <v>3.84375</v>
          </cell>
          <cell r="E99">
            <v>0</v>
          </cell>
          <cell r="J99">
            <v>0</v>
          </cell>
          <cell r="K99">
            <v>0</v>
          </cell>
        </row>
        <row r="100">
          <cell r="A100" t="str">
            <v>3202F</v>
          </cell>
          <cell r="B100" t="str">
            <v>SOI Pineapple Juice 4pk 123oz.FZN</v>
          </cell>
          <cell r="C100">
            <v>0</v>
          </cell>
          <cell r="D100">
            <v>3.84375</v>
          </cell>
          <cell r="E100">
            <v>0</v>
          </cell>
          <cell r="F100">
            <v>0</v>
          </cell>
          <cell r="J100">
            <v>0</v>
          </cell>
          <cell r="K100">
            <v>0</v>
          </cell>
        </row>
        <row r="101">
          <cell r="A101" t="str">
            <v>3203F</v>
          </cell>
          <cell r="B101" t="str">
            <v>SOI Pineapple Juice 6pk 30.5oz FZN</v>
          </cell>
          <cell r="C101">
            <v>0</v>
          </cell>
          <cell r="D101">
            <v>1.40625</v>
          </cell>
          <cell r="E101">
            <v>0</v>
          </cell>
          <cell r="F101">
            <v>0</v>
          </cell>
          <cell r="J101">
            <v>0</v>
          </cell>
          <cell r="K101">
            <v>0</v>
          </cell>
        </row>
        <row r="102">
          <cell r="A102" t="str">
            <v>3234</v>
          </cell>
          <cell r="B102" t="str">
            <v>SYSCO Pineapple Coconut Banana 12pk 12oz</v>
          </cell>
          <cell r="C102">
            <v>0</v>
          </cell>
          <cell r="D102">
            <v>1.125</v>
          </cell>
          <cell r="E102">
            <v>0</v>
          </cell>
          <cell r="J102">
            <v>0</v>
          </cell>
          <cell r="K102">
            <v>0</v>
          </cell>
        </row>
        <row r="103">
          <cell r="A103" t="str">
            <v>3293</v>
          </cell>
          <cell r="B103" t="str">
            <v>SYSCO Pineapple Coconut Banana Qt 6pk</v>
          </cell>
          <cell r="C103">
            <v>0</v>
          </cell>
          <cell r="D103">
            <v>1.5</v>
          </cell>
          <cell r="E103">
            <v>0</v>
          </cell>
          <cell r="J103">
            <v>0</v>
          </cell>
          <cell r="K103">
            <v>0</v>
          </cell>
        </row>
        <row r="104">
          <cell r="A104" t="str">
            <v>3410</v>
          </cell>
          <cell r="B104" t="str">
            <v>SOI Fuji Apple Juice Blend HGln 6pk</v>
          </cell>
          <cell r="C104">
            <v>0</v>
          </cell>
          <cell r="D104">
            <v>3</v>
          </cell>
          <cell r="E104">
            <v>0</v>
          </cell>
          <cell r="J104">
            <v>0</v>
          </cell>
          <cell r="K104">
            <v>0</v>
          </cell>
        </row>
        <row r="105">
          <cell r="A105" t="str">
            <v>3423</v>
          </cell>
          <cell r="B105" t="str">
            <v>SOI Fuji Apple Juice Blend 12 oz 24pk</v>
          </cell>
          <cell r="C105">
            <v>0</v>
          </cell>
          <cell r="D105">
            <v>2.25</v>
          </cell>
          <cell r="E105">
            <v>0</v>
          </cell>
          <cell r="J105">
            <v>0</v>
          </cell>
          <cell r="K105">
            <v>0</v>
          </cell>
        </row>
        <row r="106">
          <cell r="A106" t="str">
            <v>3470</v>
          </cell>
          <cell r="B106" t="str">
            <v>SOI Apple Cider FZN 61.5 oz 6pk</v>
          </cell>
          <cell r="C106">
            <v>0</v>
          </cell>
          <cell r="D106">
            <v>2.8828125</v>
          </cell>
          <cell r="E106">
            <v>0</v>
          </cell>
          <cell r="F106">
            <v>0</v>
          </cell>
          <cell r="J106">
            <v>0</v>
          </cell>
          <cell r="K106">
            <v>0</v>
          </cell>
        </row>
        <row r="107">
          <cell r="A107" t="str">
            <v>3701</v>
          </cell>
          <cell r="B107" t="str">
            <v>Pineapple Juice in buckets</v>
          </cell>
          <cell r="C107">
            <v>0</v>
          </cell>
          <cell r="D107">
            <v>4.5</v>
          </cell>
          <cell r="E107">
            <v>0</v>
          </cell>
          <cell r="J107">
            <v>0</v>
          </cell>
          <cell r="K107">
            <v>0</v>
          </cell>
        </row>
        <row r="108">
          <cell r="A108" t="str">
            <v>3791DR</v>
          </cell>
          <cell r="B108" t="str">
            <v>FZN NFC Pineapple Juice in drums</v>
          </cell>
          <cell r="C108">
            <v>0</v>
          </cell>
          <cell r="D108">
            <v>45</v>
          </cell>
          <cell r="E108">
            <v>0</v>
          </cell>
          <cell r="F108">
            <v>0</v>
          </cell>
          <cell r="J108">
            <v>0</v>
          </cell>
          <cell r="K108">
            <v>0</v>
          </cell>
        </row>
        <row r="109">
          <cell r="A109" t="str">
            <v>3801</v>
          </cell>
          <cell r="B109" t="str">
            <v>Noble Organic Apple 8/12oz</v>
          </cell>
          <cell r="C109">
            <v>0</v>
          </cell>
          <cell r="D109">
            <v>0.75</v>
          </cell>
          <cell r="E109">
            <v>0</v>
          </cell>
          <cell r="J109">
            <v>0</v>
          </cell>
          <cell r="K109">
            <v>0</v>
          </cell>
        </row>
        <row r="110">
          <cell r="A110">
            <v>4106</v>
          </cell>
          <cell r="B110" t="str">
            <v>NB Orange Juice REF 12oz 12pk</v>
          </cell>
          <cell r="C110">
            <v>99</v>
          </cell>
          <cell r="D110">
            <v>1.125</v>
          </cell>
          <cell r="E110">
            <v>111.375</v>
          </cell>
          <cell r="J110">
            <v>-97</v>
          </cell>
          <cell r="K110">
            <v>-109.125</v>
          </cell>
        </row>
        <row r="111">
          <cell r="A111">
            <v>4116</v>
          </cell>
          <cell r="B111" t="str">
            <v>NB Grapefruit Juice REF 12oz 12pk</v>
          </cell>
          <cell r="C111">
            <v>169</v>
          </cell>
          <cell r="D111">
            <v>1.125</v>
          </cell>
          <cell r="E111">
            <v>190.125</v>
          </cell>
          <cell r="J111">
            <v>-314</v>
          </cell>
          <cell r="K111">
            <v>-353.25</v>
          </cell>
        </row>
        <row r="112">
          <cell r="A112">
            <v>4136</v>
          </cell>
          <cell r="B112" t="str">
            <v>NB Lemonade RTS REF 12oz 12pk</v>
          </cell>
          <cell r="C112">
            <v>315</v>
          </cell>
          <cell r="D112">
            <v>1.125</v>
          </cell>
          <cell r="E112">
            <v>354.375</v>
          </cell>
          <cell r="J112">
            <v>-13</v>
          </cell>
          <cell r="K112">
            <v>-14.625</v>
          </cell>
        </row>
        <row r="113">
          <cell r="A113">
            <v>4138</v>
          </cell>
          <cell r="B113" t="str">
            <v>NB Strawberry Lemonade RTS REF 12oz 12pk</v>
          </cell>
          <cell r="C113">
            <v>521</v>
          </cell>
          <cell r="D113">
            <v>1.125</v>
          </cell>
          <cell r="E113">
            <v>586.125</v>
          </cell>
          <cell r="J113">
            <v>141</v>
          </cell>
          <cell r="K113">
            <v>158.625</v>
          </cell>
        </row>
        <row r="114">
          <cell r="A114" t="str">
            <v>4202</v>
          </cell>
          <cell r="B114" t="str">
            <v>SOI Lemon Juice Fzn HGln 6pk</v>
          </cell>
          <cell r="C114">
            <v>2483</v>
          </cell>
          <cell r="D114">
            <v>2.8828125</v>
          </cell>
          <cell r="E114">
            <v>7158.0234375</v>
          </cell>
          <cell r="F114">
            <v>7158.0234375</v>
          </cell>
          <cell r="G114">
            <v>7158.0234375</v>
          </cell>
          <cell r="J114">
            <v>-921</v>
          </cell>
          <cell r="K114">
            <v>-2655.0703125</v>
          </cell>
        </row>
        <row r="115">
          <cell r="A115" t="str">
            <v>4205</v>
          </cell>
          <cell r="B115" t="str">
            <v>OSSI Lemon Juice Fzn 123oz 4pk</v>
          </cell>
          <cell r="C115">
            <v>0</v>
          </cell>
          <cell r="D115">
            <v>4</v>
          </cell>
          <cell r="E115">
            <v>0</v>
          </cell>
          <cell r="F115">
            <v>0</v>
          </cell>
          <cell r="G115">
            <v>0</v>
          </cell>
          <cell r="J115">
            <v>0</v>
          </cell>
          <cell r="K115">
            <v>0</v>
          </cell>
        </row>
        <row r="116">
          <cell r="A116" t="str">
            <v>4206</v>
          </cell>
          <cell r="B116" t="str">
            <v>SOI Lemon Juice Fzn 123oz 4pk</v>
          </cell>
          <cell r="C116">
            <v>0</v>
          </cell>
          <cell r="D116">
            <v>3.8437000000000001</v>
          </cell>
          <cell r="E116">
            <v>0</v>
          </cell>
          <cell r="F116">
            <v>0</v>
          </cell>
          <cell r="G116">
            <v>0</v>
          </cell>
          <cell r="J116">
            <v>0</v>
          </cell>
          <cell r="K116">
            <v>0</v>
          </cell>
        </row>
        <row r="117">
          <cell r="A117" t="str">
            <v>4225</v>
          </cell>
          <cell r="B117" t="str">
            <v>SOI Lemon Juice Fzn Qt 6pk</v>
          </cell>
          <cell r="C117">
            <v>2650</v>
          </cell>
          <cell r="D117">
            <v>1.429</v>
          </cell>
          <cell r="E117">
            <v>3786.85</v>
          </cell>
          <cell r="F117">
            <v>3786.85</v>
          </cell>
          <cell r="G117">
            <v>3786.85</v>
          </cell>
          <cell r="J117">
            <v>1641</v>
          </cell>
          <cell r="K117">
            <v>2344.989</v>
          </cell>
        </row>
        <row r="118">
          <cell r="A118" t="str">
            <v>4227</v>
          </cell>
          <cell r="B118" t="str">
            <v>SOI Lemon Juice TBF Qt 16pk</v>
          </cell>
          <cell r="C118">
            <v>1312</v>
          </cell>
          <cell r="D118">
            <v>3.8125</v>
          </cell>
          <cell r="E118">
            <v>5002</v>
          </cell>
          <cell r="F118">
            <v>5002</v>
          </cell>
          <cell r="G118">
            <v>5002</v>
          </cell>
          <cell r="J118">
            <v>278</v>
          </cell>
          <cell r="K118">
            <v>1059.875</v>
          </cell>
        </row>
        <row r="119">
          <cell r="A119" t="str">
            <v>4502</v>
          </cell>
          <cell r="B119" t="str">
            <v>SOI Lemon Juice Gln 4pk</v>
          </cell>
          <cell r="C119">
            <v>1982</v>
          </cell>
          <cell r="D119">
            <v>4</v>
          </cell>
          <cell r="E119">
            <v>7928</v>
          </cell>
          <cell r="G119">
            <v>7928</v>
          </cell>
          <cell r="J119">
            <v>-168</v>
          </cell>
          <cell r="K119">
            <v>-672</v>
          </cell>
        </row>
        <row r="120">
          <cell r="A120" t="str">
            <v>4502C</v>
          </cell>
          <cell r="B120" t="str">
            <v>Sysco Cheesecake Lemon Juice Gln 4pk</v>
          </cell>
          <cell r="C120">
            <v>0</v>
          </cell>
          <cell r="D120">
            <v>4</v>
          </cell>
          <cell r="E120">
            <v>0</v>
          </cell>
          <cell r="G120">
            <v>0</v>
          </cell>
          <cell r="J120">
            <v>0</v>
          </cell>
          <cell r="K120">
            <v>0</v>
          </cell>
        </row>
        <row r="121">
          <cell r="A121" t="str">
            <v>4502F</v>
          </cell>
          <cell r="B121" t="str">
            <v>SOI Lemon Juice TBF Gln 4pk</v>
          </cell>
          <cell r="C121">
            <v>2346</v>
          </cell>
          <cell r="D121">
            <v>4</v>
          </cell>
          <cell r="E121">
            <v>9384</v>
          </cell>
          <cell r="G121">
            <v>9384</v>
          </cell>
          <cell r="J121">
            <v>330</v>
          </cell>
          <cell r="K121">
            <v>1320</v>
          </cell>
        </row>
        <row r="122">
          <cell r="A122" t="str">
            <v>4502SF</v>
          </cell>
          <cell r="B122" t="str">
            <v>SOI Lemon Juice TBF Gln 4pk</v>
          </cell>
          <cell r="C122">
            <v>0</v>
          </cell>
          <cell r="D122">
            <v>4</v>
          </cell>
          <cell r="E122">
            <v>0</v>
          </cell>
          <cell r="G122">
            <v>0</v>
          </cell>
          <cell r="J122">
            <v>0</v>
          </cell>
          <cell r="K122">
            <v>0</v>
          </cell>
        </row>
        <row r="123">
          <cell r="A123" t="str">
            <v>4503</v>
          </cell>
          <cell r="B123" t="str">
            <v>OJC Lemon Juice Hgln 6pk</v>
          </cell>
          <cell r="C123">
            <v>0</v>
          </cell>
          <cell r="D123">
            <v>3</v>
          </cell>
          <cell r="E123">
            <v>0</v>
          </cell>
          <cell r="G123">
            <v>0</v>
          </cell>
          <cell r="J123">
            <v>0</v>
          </cell>
          <cell r="K123">
            <v>0</v>
          </cell>
        </row>
        <row r="124">
          <cell r="A124" t="str">
            <v>4506</v>
          </cell>
          <cell r="B124" t="str">
            <v>Markon Lemon Juice HGln 6pk</v>
          </cell>
          <cell r="C124">
            <v>389</v>
          </cell>
          <cell r="D124">
            <v>4</v>
          </cell>
          <cell r="E124">
            <v>1556</v>
          </cell>
          <cell r="G124">
            <v>1556</v>
          </cell>
          <cell r="J124">
            <v>232</v>
          </cell>
          <cell r="K124">
            <v>928</v>
          </cell>
        </row>
        <row r="125">
          <cell r="A125" t="str">
            <v>4508</v>
          </cell>
          <cell r="B125" t="str">
            <v>Markon Lemon Juice Gln 4pk</v>
          </cell>
          <cell r="C125">
            <v>0</v>
          </cell>
          <cell r="D125">
            <v>4</v>
          </cell>
          <cell r="E125">
            <v>0</v>
          </cell>
          <cell r="G125">
            <v>0</v>
          </cell>
          <cell r="J125">
            <v>0</v>
          </cell>
          <cell r="K125">
            <v>0</v>
          </cell>
        </row>
        <row r="126">
          <cell r="A126" t="str">
            <v>4510</v>
          </cell>
          <cell r="B126" t="str">
            <v>Markon Lemon Juice Qt 16pk</v>
          </cell>
          <cell r="C126">
            <v>0</v>
          </cell>
          <cell r="D126">
            <v>4</v>
          </cell>
          <cell r="E126">
            <v>0</v>
          </cell>
          <cell r="G126">
            <v>0</v>
          </cell>
          <cell r="J126">
            <v>0</v>
          </cell>
          <cell r="K126">
            <v>0</v>
          </cell>
        </row>
        <row r="127">
          <cell r="A127" t="str">
            <v>4517</v>
          </cell>
          <cell r="B127" t="str">
            <v>SOI Sweetened Lemon Juice 6pk Hgln</v>
          </cell>
          <cell r="C127">
            <v>0</v>
          </cell>
          <cell r="D127">
            <v>3</v>
          </cell>
          <cell r="E127">
            <v>0</v>
          </cell>
          <cell r="G127">
            <v>0</v>
          </cell>
          <cell r="J127">
            <v>0</v>
          </cell>
          <cell r="K127">
            <v>0</v>
          </cell>
        </row>
        <row r="128">
          <cell r="A128" t="str">
            <v>4513</v>
          </cell>
          <cell r="B128" t="str">
            <v>SOI Lemon Juice HGln 6pk</v>
          </cell>
          <cell r="C128">
            <v>348</v>
          </cell>
          <cell r="D128">
            <v>1.5</v>
          </cell>
          <cell r="E128">
            <v>522</v>
          </cell>
          <cell r="F128" t="str">
            <v xml:space="preserve"> </v>
          </cell>
          <cell r="G128">
            <v>522</v>
          </cell>
          <cell r="J128">
            <v>74</v>
          </cell>
          <cell r="K128">
            <v>111</v>
          </cell>
        </row>
        <row r="129">
          <cell r="A129" t="str">
            <v>4513NFC</v>
          </cell>
          <cell r="B129" t="str">
            <v>SOI Lemon Juice HGln 6pk</v>
          </cell>
          <cell r="C129">
            <v>0</v>
          </cell>
          <cell r="D129">
            <v>3</v>
          </cell>
          <cell r="E129">
            <v>0</v>
          </cell>
          <cell r="G129">
            <v>0</v>
          </cell>
          <cell r="J129">
            <v>0</v>
          </cell>
          <cell r="K129">
            <v>0</v>
          </cell>
        </row>
        <row r="130">
          <cell r="A130" t="str">
            <v>4516</v>
          </cell>
          <cell r="B130" t="str">
            <v>SOI Lemon Juice Qt 6pk</v>
          </cell>
          <cell r="C130">
            <v>842</v>
          </cell>
          <cell r="D130">
            <v>1.5</v>
          </cell>
          <cell r="E130">
            <v>1263</v>
          </cell>
          <cell r="G130">
            <v>1263</v>
          </cell>
          <cell r="J130">
            <v>-394</v>
          </cell>
          <cell r="K130">
            <v>-591</v>
          </cell>
        </row>
        <row r="131">
          <cell r="A131" t="str">
            <v>4516NFC</v>
          </cell>
          <cell r="B131" t="str">
            <v>SOI Lemon Juice Qt 6pk</v>
          </cell>
          <cell r="C131">
            <v>0</v>
          </cell>
          <cell r="D131">
            <v>1.5</v>
          </cell>
          <cell r="E131">
            <v>0</v>
          </cell>
          <cell r="G131">
            <v>0</v>
          </cell>
          <cell r="J131">
            <v>0</v>
          </cell>
          <cell r="K131">
            <v>0</v>
          </cell>
        </row>
        <row r="132">
          <cell r="A132" t="str">
            <v>4516SF</v>
          </cell>
          <cell r="B132" t="str">
            <v>SOI Lemon Juice TBF Qt 6pk</v>
          </cell>
          <cell r="C132">
            <v>0</v>
          </cell>
          <cell r="D132">
            <v>1.5</v>
          </cell>
          <cell r="E132">
            <v>0</v>
          </cell>
          <cell r="G132">
            <v>0</v>
          </cell>
          <cell r="J132">
            <v>0</v>
          </cell>
          <cell r="K132">
            <v>0</v>
          </cell>
        </row>
        <row r="133">
          <cell r="A133" t="str">
            <v>4518</v>
          </cell>
          <cell r="B133" t="str">
            <v>OJC Sweetened Lemon Juice 6pk Hgln</v>
          </cell>
          <cell r="C133">
            <v>0</v>
          </cell>
          <cell r="D133">
            <v>3</v>
          </cell>
          <cell r="E133">
            <v>0</v>
          </cell>
          <cell r="G133">
            <v>0</v>
          </cell>
          <cell r="J133">
            <v>0</v>
          </cell>
          <cell r="K133">
            <v>0</v>
          </cell>
        </row>
        <row r="134">
          <cell r="A134" t="str">
            <v>4519</v>
          </cell>
          <cell r="B134" t="str">
            <v>Lemon Juice 12pk Qt</v>
          </cell>
          <cell r="C134">
            <v>0</v>
          </cell>
          <cell r="D134">
            <v>3</v>
          </cell>
          <cell r="E134">
            <v>0</v>
          </cell>
          <cell r="G134">
            <v>0</v>
          </cell>
          <cell r="J134">
            <v>0</v>
          </cell>
          <cell r="K134">
            <v>0</v>
          </cell>
        </row>
        <row r="135">
          <cell r="A135" t="str">
            <v>4551</v>
          </cell>
          <cell r="B135" t="str">
            <v>Seminole Lemon Juice 6/32oz</v>
          </cell>
          <cell r="C135">
            <v>0</v>
          </cell>
          <cell r="D135">
            <v>1.5</v>
          </cell>
          <cell r="E135">
            <v>0</v>
          </cell>
          <cell r="G135">
            <v>0</v>
          </cell>
          <cell r="J135">
            <v>0</v>
          </cell>
          <cell r="K135">
            <v>0</v>
          </cell>
        </row>
        <row r="136">
          <cell r="A136" t="str">
            <v>4552</v>
          </cell>
          <cell r="B136" t="str">
            <v>Seminole Lime Juice 6/32oz</v>
          </cell>
          <cell r="C136">
            <v>0</v>
          </cell>
          <cell r="D136">
            <v>1.5</v>
          </cell>
          <cell r="E136">
            <v>0</v>
          </cell>
          <cell r="G136">
            <v>0</v>
          </cell>
          <cell r="J136">
            <v>0</v>
          </cell>
          <cell r="K136">
            <v>0</v>
          </cell>
        </row>
        <row r="137">
          <cell r="A137" t="str">
            <v>4591</v>
          </cell>
          <cell r="B137" t="str">
            <v>SYSCO Lemon Juice Gln 4pk</v>
          </cell>
          <cell r="C137">
            <v>1304</v>
          </cell>
          <cell r="D137">
            <v>4</v>
          </cell>
          <cell r="E137">
            <v>5216</v>
          </cell>
          <cell r="G137">
            <v>5216</v>
          </cell>
          <cell r="J137">
            <v>181</v>
          </cell>
          <cell r="K137">
            <v>724</v>
          </cell>
        </row>
        <row r="138">
          <cell r="A138" t="str">
            <v>4593</v>
          </cell>
          <cell r="B138" t="str">
            <v>SYSCO Lemon Juice Qt 6pk</v>
          </cell>
          <cell r="C138">
            <v>2386</v>
          </cell>
          <cell r="D138">
            <v>1.5</v>
          </cell>
          <cell r="E138">
            <v>3579</v>
          </cell>
          <cell r="G138">
            <v>3579</v>
          </cell>
          <cell r="J138">
            <v>-120</v>
          </cell>
          <cell r="K138">
            <v>-180</v>
          </cell>
        </row>
        <row r="139">
          <cell r="A139" t="str">
            <v>4593SF</v>
          </cell>
          <cell r="B139" t="str">
            <v>SYSCO Lemon Juice TBF Qt 6pk</v>
          </cell>
          <cell r="C139">
            <v>0</v>
          </cell>
          <cell r="D139">
            <v>1.429</v>
          </cell>
          <cell r="E139">
            <v>0</v>
          </cell>
          <cell r="F139">
            <v>0</v>
          </cell>
          <cell r="G139">
            <v>0</v>
          </cell>
          <cell r="J139">
            <v>0</v>
          </cell>
          <cell r="K139">
            <v>0</v>
          </cell>
        </row>
        <row r="140">
          <cell r="A140" t="str">
            <v>4602</v>
          </cell>
          <cell r="B140" t="str">
            <v>SOI Meyer Lemon Juice Blend Gln 4pk</v>
          </cell>
          <cell r="C140">
            <v>0</v>
          </cell>
          <cell r="D140">
            <v>4</v>
          </cell>
          <cell r="E140">
            <v>0</v>
          </cell>
          <cell r="G140">
            <v>0</v>
          </cell>
          <cell r="J140">
            <v>0</v>
          </cell>
          <cell r="K140">
            <v>0</v>
          </cell>
        </row>
        <row r="141">
          <cell r="A141" t="str">
            <v>4602F</v>
          </cell>
          <cell r="B141" t="str">
            <v>SOI Meyer Lemon Juice Blend 123 oz FZN 4pk</v>
          </cell>
          <cell r="C141">
            <v>0</v>
          </cell>
          <cell r="D141">
            <v>4</v>
          </cell>
          <cell r="E141">
            <v>0</v>
          </cell>
          <cell r="F141">
            <v>0</v>
          </cell>
          <cell r="G141">
            <v>0</v>
          </cell>
          <cell r="J141">
            <v>0</v>
          </cell>
          <cell r="K141">
            <v>0</v>
          </cell>
        </row>
        <row r="142">
          <cell r="A142" t="str">
            <v>4616</v>
          </cell>
          <cell r="B142" t="str">
            <v>SOI Lemon Juice Qt 6pk</v>
          </cell>
          <cell r="C142">
            <v>0</v>
          </cell>
          <cell r="D142">
            <v>1.5</v>
          </cell>
          <cell r="E142">
            <v>0</v>
          </cell>
          <cell r="G142">
            <v>0</v>
          </cell>
          <cell r="J142">
            <v>0</v>
          </cell>
          <cell r="K142">
            <v>0</v>
          </cell>
        </row>
        <row r="143">
          <cell r="A143" t="str">
            <v>4616F</v>
          </cell>
          <cell r="B143" t="str">
            <v>SOI Meyer Lemon Juice 30.5oz 6pk FZN</v>
          </cell>
          <cell r="C143">
            <v>0</v>
          </cell>
          <cell r="D143">
            <v>1.4296875</v>
          </cell>
          <cell r="E143">
            <v>0</v>
          </cell>
          <cell r="F143">
            <v>0</v>
          </cell>
          <cell r="G143">
            <v>0</v>
          </cell>
          <cell r="J143">
            <v>0</v>
          </cell>
          <cell r="K143">
            <v>0</v>
          </cell>
        </row>
        <row r="144">
          <cell r="A144" t="str">
            <v>4617</v>
          </cell>
          <cell r="B144" t="str">
            <v>Meyer Lemon Juice Blend 12pk Qt</v>
          </cell>
          <cell r="C144">
            <v>1262</v>
          </cell>
          <cell r="D144">
            <v>3</v>
          </cell>
          <cell r="E144">
            <v>3786</v>
          </cell>
          <cell r="G144">
            <v>3786</v>
          </cell>
          <cell r="J144">
            <v>268</v>
          </cell>
          <cell r="K144">
            <v>804</v>
          </cell>
        </row>
        <row r="145">
          <cell r="A145" t="str">
            <v>4800</v>
          </cell>
          <cell r="B145" t="str">
            <v>SOI CP Lemon Oil Drum</v>
          </cell>
          <cell r="C145">
            <v>1031.47</v>
          </cell>
          <cell r="D145">
            <v>0</v>
          </cell>
          <cell r="E145">
            <v>0</v>
          </cell>
          <cell r="J145">
            <v>-667.3</v>
          </cell>
          <cell r="K145">
            <v>0</v>
          </cell>
        </row>
        <row r="146">
          <cell r="A146" t="str">
            <v>4952</v>
          </cell>
          <cell r="B146" t="str">
            <v>Past Lemon Juice Drum REF</v>
          </cell>
          <cell r="C146">
            <v>76</v>
          </cell>
          <cell r="D146">
            <v>3</v>
          </cell>
          <cell r="E146">
            <v>228</v>
          </cell>
          <cell r="G146">
            <v>228</v>
          </cell>
          <cell r="J146">
            <v>76</v>
          </cell>
          <cell r="K146">
            <v>228</v>
          </cell>
        </row>
        <row r="147">
          <cell r="A147" t="str">
            <v>5001</v>
          </cell>
          <cell r="B147" t="str">
            <v>SOI Marg Mix FZN Gln 4pk</v>
          </cell>
          <cell r="C147">
            <v>0</v>
          </cell>
          <cell r="D147">
            <v>4</v>
          </cell>
          <cell r="E147">
            <v>0</v>
          </cell>
          <cell r="G147">
            <v>0</v>
          </cell>
          <cell r="J147">
            <v>0</v>
          </cell>
          <cell r="K147">
            <v>0</v>
          </cell>
        </row>
        <row r="148">
          <cell r="A148" t="str">
            <v>5002</v>
          </cell>
          <cell r="B148" t="str">
            <v>SOI Marg Mix Gln 4pk</v>
          </cell>
          <cell r="C148">
            <v>327</v>
          </cell>
          <cell r="D148">
            <v>4</v>
          </cell>
          <cell r="E148">
            <v>1308</v>
          </cell>
          <cell r="G148">
            <v>196.2</v>
          </cell>
          <cell r="H148">
            <v>65.400000000000006</v>
          </cell>
          <cell r="J148">
            <v>132</v>
          </cell>
          <cell r="K148">
            <v>528</v>
          </cell>
        </row>
        <row r="149">
          <cell r="A149" t="str">
            <v>5002SF</v>
          </cell>
          <cell r="B149" t="str">
            <v>SOI Marg Mix Fzn Gln 4pk</v>
          </cell>
          <cell r="C149">
            <v>0</v>
          </cell>
          <cell r="D149">
            <v>4</v>
          </cell>
          <cell r="E149">
            <v>0</v>
          </cell>
          <cell r="F149">
            <v>0</v>
          </cell>
          <cell r="G149">
            <v>0</v>
          </cell>
          <cell r="H149">
            <v>0</v>
          </cell>
          <cell r="J149">
            <v>0</v>
          </cell>
          <cell r="K149">
            <v>0</v>
          </cell>
        </row>
        <row r="150">
          <cell r="A150" t="str">
            <v>5005</v>
          </cell>
          <cell r="B150" t="str">
            <v>R-Bay Marg Mix Fzn Qt 12pk</v>
          </cell>
          <cell r="C150">
            <v>0</v>
          </cell>
          <cell r="D150">
            <v>2.8125</v>
          </cell>
          <cell r="E150">
            <v>0</v>
          </cell>
          <cell r="F150">
            <v>0</v>
          </cell>
          <cell r="G150">
            <v>0</v>
          </cell>
          <cell r="H150">
            <v>0</v>
          </cell>
          <cell r="J150">
            <v>0</v>
          </cell>
          <cell r="K150">
            <v>0</v>
          </cell>
        </row>
        <row r="151">
          <cell r="A151" t="str">
            <v>5006</v>
          </cell>
          <cell r="B151" t="str">
            <v>Markon Marg Mix Gln 4pk</v>
          </cell>
          <cell r="C151">
            <v>0</v>
          </cell>
          <cell r="D151">
            <v>4</v>
          </cell>
          <cell r="E151">
            <v>0</v>
          </cell>
          <cell r="F151">
            <v>0</v>
          </cell>
          <cell r="G151">
            <v>0</v>
          </cell>
          <cell r="H151">
            <v>0</v>
          </cell>
          <cell r="J151">
            <v>0</v>
          </cell>
          <cell r="K151">
            <v>0</v>
          </cell>
        </row>
        <row r="152">
          <cell r="A152" t="str">
            <v>5005ME</v>
          </cell>
          <cell r="B152" t="str">
            <v>R-Bay ME Marg Mix Fzn Qt 12pk</v>
          </cell>
          <cell r="C152">
            <v>0</v>
          </cell>
          <cell r="D152">
            <v>2.8125</v>
          </cell>
          <cell r="E152">
            <v>0</v>
          </cell>
          <cell r="F152">
            <v>0</v>
          </cell>
          <cell r="G152">
            <v>0</v>
          </cell>
          <cell r="H152">
            <v>0</v>
          </cell>
          <cell r="J152">
            <v>0</v>
          </cell>
          <cell r="K152">
            <v>0</v>
          </cell>
        </row>
        <row r="153">
          <cell r="A153" t="str">
            <v>5012</v>
          </cell>
          <cell r="B153" t="str">
            <v>MS RTS Organic Marg Mix Hpint 24 pk</v>
          </cell>
          <cell r="C153">
            <v>0</v>
          </cell>
          <cell r="D153">
            <v>1.5</v>
          </cell>
          <cell r="E153">
            <v>0</v>
          </cell>
          <cell r="G153">
            <v>0</v>
          </cell>
          <cell r="H153">
            <v>0</v>
          </cell>
          <cell r="J153">
            <v>0</v>
          </cell>
          <cell r="K153">
            <v>0</v>
          </cell>
        </row>
        <row r="154">
          <cell r="A154" t="str">
            <v>5014</v>
          </cell>
          <cell r="B154" t="str">
            <v>Margarita Mix 6pk HGln</v>
          </cell>
          <cell r="C154">
            <v>497</v>
          </cell>
          <cell r="D154">
            <v>3</v>
          </cell>
          <cell r="E154">
            <v>1491</v>
          </cell>
          <cell r="G154">
            <v>745.5</v>
          </cell>
          <cell r="H154">
            <v>745.5</v>
          </cell>
          <cell r="J154">
            <v>143</v>
          </cell>
          <cell r="K154">
            <v>429</v>
          </cell>
        </row>
        <row r="155">
          <cell r="A155" t="str">
            <v>5016</v>
          </cell>
          <cell r="B155" t="str">
            <v>SO Agave Margarita Mix FZN 6pk 61.5</v>
          </cell>
          <cell r="C155">
            <v>709</v>
          </cell>
          <cell r="D155">
            <v>2.8828125</v>
          </cell>
          <cell r="E155">
            <v>2043.9140625</v>
          </cell>
          <cell r="F155">
            <v>2043.9140625</v>
          </cell>
          <cell r="G155">
            <v>1021.95703125</v>
          </cell>
          <cell r="J155">
            <v>-52</v>
          </cell>
          <cell r="K155">
            <v>-149.90625</v>
          </cell>
        </row>
        <row r="156">
          <cell r="A156" t="str">
            <v>5020</v>
          </cell>
          <cell r="B156" t="str">
            <v>Red Lobster Marg Mix Cond 3+1 Qt 16pk</v>
          </cell>
          <cell r="C156">
            <v>0</v>
          </cell>
          <cell r="D156">
            <v>4</v>
          </cell>
          <cell r="E156">
            <v>0</v>
          </cell>
          <cell r="G156">
            <v>0</v>
          </cell>
          <cell r="H156">
            <v>0</v>
          </cell>
          <cell r="J156">
            <v>0</v>
          </cell>
          <cell r="K156">
            <v>0</v>
          </cell>
        </row>
        <row r="157">
          <cell r="A157" t="str">
            <v>5020F</v>
          </cell>
          <cell r="B157" t="str">
            <v>Red Lobster Marg Mix Cond 3+1 Qt 16pk FZN</v>
          </cell>
          <cell r="C157">
            <v>0</v>
          </cell>
          <cell r="D157">
            <v>4</v>
          </cell>
          <cell r="E157">
            <v>0</v>
          </cell>
          <cell r="F157">
            <v>0</v>
          </cell>
          <cell r="G157">
            <v>0</v>
          </cell>
          <cell r="H157">
            <v>0</v>
          </cell>
          <cell r="J157">
            <v>0</v>
          </cell>
          <cell r="K157">
            <v>0</v>
          </cell>
        </row>
        <row r="158">
          <cell r="A158" t="str">
            <v>5024</v>
          </cell>
          <cell r="B158" t="str">
            <v>Mango Margarita Mix 6pk 61.5oz FZN Rykoff Sexton</v>
          </cell>
          <cell r="C158">
            <v>0</v>
          </cell>
          <cell r="D158">
            <v>2.8828125</v>
          </cell>
          <cell r="E158">
            <v>0</v>
          </cell>
          <cell r="F158">
            <v>0</v>
          </cell>
          <cell r="G158">
            <v>0</v>
          </cell>
          <cell r="H158">
            <v>0</v>
          </cell>
          <cell r="J158">
            <v>0</v>
          </cell>
          <cell r="K158">
            <v>0</v>
          </cell>
        </row>
        <row r="159">
          <cell r="A159">
            <v>5142</v>
          </cell>
          <cell r="B159" t="str">
            <v>SOI Marg Mix Cond 3+1 HGln 9pk</v>
          </cell>
          <cell r="C159">
            <v>128</v>
          </cell>
          <cell r="D159">
            <v>4.5</v>
          </cell>
          <cell r="E159">
            <v>576</v>
          </cell>
          <cell r="G159">
            <v>180</v>
          </cell>
          <cell r="H159">
            <v>28.8</v>
          </cell>
          <cell r="J159">
            <v>-140</v>
          </cell>
          <cell r="K159">
            <v>-630</v>
          </cell>
        </row>
        <row r="160">
          <cell r="A160" t="str">
            <v>5142F</v>
          </cell>
          <cell r="B160" t="str">
            <v>SOI Marg Mix Cond 3+1 FZN Hgln 9 pk</v>
          </cell>
          <cell r="C160">
            <v>3651</v>
          </cell>
          <cell r="D160">
            <v>4.5</v>
          </cell>
          <cell r="E160">
            <v>16429.5</v>
          </cell>
          <cell r="F160">
            <v>16429.5</v>
          </cell>
          <cell r="G160">
            <v>5134.21875</v>
          </cell>
          <cell r="H160">
            <v>821.47500000000002</v>
          </cell>
          <cell r="J160">
            <v>459</v>
          </cell>
          <cell r="K160">
            <v>2065.5</v>
          </cell>
        </row>
        <row r="161">
          <cell r="A161" t="str">
            <v>5143</v>
          </cell>
          <cell r="B161" t="str">
            <v>OJC Marg Mix Cond 3+1 4pk Gln</v>
          </cell>
          <cell r="C161">
            <v>0</v>
          </cell>
          <cell r="D161">
            <v>4</v>
          </cell>
          <cell r="E161">
            <v>0</v>
          </cell>
          <cell r="G161">
            <v>0</v>
          </cell>
          <cell r="H161">
            <v>0</v>
          </cell>
          <cell r="J161">
            <v>0</v>
          </cell>
          <cell r="K161">
            <v>0</v>
          </cell>
        </row>
        <row r="162">
          <cell r="A162" t="str">
            <v>5145</v>
          </cell>
          <cell r="B162" t="str">
            <v>Marg Mix Cond Froz 6 pack</v>
          </cell>
          <cell r="C162">
            <v>0</v>
          </cell>
          <cell r="D162">
            <v>1.5</v>
          </cell>
          <cell r="E162">
            <v>0</v>
          </cell>
          <cell r="G162">
            <v>0</v>
          </cell>
          <cell r="H162">
            <v>0</v>
          </cell>
          <cell r="J162">
            <v>0</v>
          </cell>
          <cell r="K162">
            <v>0</v>
          </cell>
        </row>
        <row r="163">
          <cell r="A163" t="str">
            <v>5203</v>
          </cell>
          <cell r="B163" t="str">
            <v>SOI Bar Mix Cond 1+1 Gln 4pk</v>
          </cell>
          <cell r="C163">
            <v>0</v>
          </cell>
          <cell r="D163">
            <v>4</v>
          </cell>
          <cell r="E163">
            <v>0</v>
          </cell>
          <cell r="G163">
            <v>0</v>
          </cell>
          <cell r="H163">
            <v>0</v>
          </cell>
          <cell r="J163">
            <v>0</v>
          </cell>
          <cell r="K163">
            <v>0</v>
          </cell>
        </row>
        <row r="164">
          <cell r="A164" t="str">
            <v>5204</v>
          </cell>
          <cell r="B164" t="str">
            <v>SOI Sweet &amp; Sour Mix 3+1 FZN</v>
          </cell>
          <cell r="C164">
            <v>1335</v>
          </cell>
          <cell r="D164">
            <v>2.8125</v>
          </cell>
          <cell r="E164">
            <v>3754.6875</v>
          </cell>
          <cell r="F164">
            <v>3754.6875</v>
          </cell>
          <cell r="G164">
            <v>1173.33984375</v>
          </cell>
          <cell r="H164">
            <v>187.734375</v>
          </cell>
          <cell r="J164">
            <v>-362</v>
          </cell>
          <cell r="K164">
            <v>-1018.125</v>
          </cell>
        </row>
        <row r="165">
          <cell r="A165" t="str">
            <v>5235</v>
          </cell>
          <cell r="B165" t="str">
            <v xml:space="preserve">Ruby Tues 3+1 Marg </v>
          </cell>
          <cell r="C165">
            <v>0</v>
          </cell>
          <cell r="D165">
            <v>2.8125</v>
          </cell>
          <cell r="E165">
            <v>0</v>
          </cell>
          <cell r="F165">
            <v>0</v>
          </cell>
          <cell r="J165">
            <v>0</v>
          </cell>
          <cell r="K165">
            <v>0</v>
          </cell>
        </row>
        <row r="166">
          <cell r="A166" t="str">
            <v>5255</v>
          </cell>
          <cell r="B166" t="str">
            <v>R-Bay Strw Bar Mix Fzn Qt 12pk</v>
          </cell>
          <cell r="C166">
            <v>0</v>
          </cell>
          <cell r="D166">
            <v>2.8125</v>
          </cell>
          <cell r="E166">
            <v>0</v>
          </cell>
          <cell r="F166">
            <v>0</v>
          </cell>
          <cell r="J166">
            <v>0</v>
          </cell>
          <cell r="K166">
            <v>0</v>
          </cell>
        </row>
        <row r="167">
          <cell r="A167" t="str">
            <v>5265</v>
          </cell>
          <cell r="B167" t="str">
            <v>R-Bay Pina Colada Mix Fzn Qt 12pk</v>
          </cell>
          <cell r="C167">
            <v>0</v>
          </cell>
          <cell r="D167">
            <v>2.8125</v>
          </cell>
          <cell r="E167">
            <v>0</v>
          </cell>
          <cell r="F167">
            <v>0</v>
          </cell>
          <cell r="J167">
            <v>0</v>
          </cell>
          <cell r="K167">
            <v>0</v>
          </cell>
        </row>
        <row r="168">
          <cell r="A168" t="str">
            <v>5275</v>
          </cell>
          <cell r="B168" t="str">
            <v>R-Bay Sweet &amp; Sour Mix Fzn Qt 12pk</v>
          </cell>
          <cell r="C168">
            <v>0</v>
          </cell>
          <cell r="D168">
            <v>2.8125</v>
          </cell>
          <cell r="E168">
            <v>0</v>
          </cell>
          <cell r="F168">
            <v>0</v>
          </cell>
          <cell r="G168">
            <v>0</v>
          </cell>
          <cell r="H168">
            <v>0</v>
          </cell>
          <cell r="J168">
            <v>0</v>
          </cell>
          <cell r="K168">
            <v>0</v>
          </cell>
        </row>
        <row r="169">
          <cell r="A169" t="str">
            <v>5314</v>
          </cell>
          <cell r="B169" t="str">
            <v>Bloody Mary Mix 6pk Hgln</v>
          </cell>
          <cell r="C169">
            <v>265</v>
          </cell>
          <cell r="D169">
            <v>3</v>
          </cell>
          <cell r="E169">
            <v>795</v>
          </cell>
          <cell r="G169">
            <v>194.77500000000001</v>
          </cell>
          <cell r="H169">
            <v>97.387500000000003</v>
          </cell>
          <cell r="J169">
            <v>-18</v>
          </cell>
          <cell r="K169">
            <v>-54</v>
          </cell>
        </row>
        <row r="170">
          <cell r="A170" t="str">
            <v>5315</v>
          </cell>
          <cell r="B170" t="str">
            <v>SO Bloody Mary Mix 6pk Hgln</v>
          </cell>
          <cell r="C170">
            <v>97</v>
          </cell>
          <cell r="D170">
            <v>3</v>
          </cell>
          <cell r="E170">
            <v>291</v>
          </cell>
          <cell r="G170">
            <v>71.295000000000002</v>
          </cell>
          <cell r="H170">
            <v>35.647500000000001</v>
          </cell>
          <cell r="J170">
            <v>-9</v>
          </cell>
          <cell r="K170">
            <v>-27</v>
          </cell>
        </row>
        <row r="171">
          <cell r="A171" t="str">
            <v>5516</v>
          </cell>
          <cell r="B171" t="str">
            <v>SOI Marg Mix 32oz 6pk</v>
          </cell>
          <cell r="C171">
            <v>0</v>
          </cell>
          <cell r="D171">
            <v>1.5</v>
          </cell>
          <cell r="E171">
            <v>0</v>
          </cell>
          <cell r="J171">
            <v>0</v>
          </cell>
          <cell r="K171">
            <v>0</v>
          </cell>
        </row>
        <row r="172">
          <cell r="A172" t="str">
            <v>5815</v>
          </cell>
          <cell r="B172" t="str">
            <v>SOI 50/50 Lemon Lime Juice HGln 6pk</v>
          </cell>
          <cell r="C172">
            <v>35</v>
          </cell>
          <cell r="D172">
            <v>3</v>
          </cell>
          <cell r="E172">
            <v>105</v>
          </cell>
          <cell r="G172">
            <v>105</v>
          </cell>
          <cell r="J172">
            <v>-431</v>
          </cell>
          <cell r="K172">
            <v>-1293</v>
          </cell>
        </row>
        <row r="173">
          <cell r="A173" t="str">
            <v>6516SF</v>
          </cell>
          <cell r="B173" t="str">
            <v>SOI Lime Juice TBF Qt 6pk</v>
          </cell>
          <cell r="C173">
            <v>0</v>
          </cell>
          <cell r="D173">
            <v>1.5</v>
          </cell>
          <cell r="E173">
            <v>0</v>
          </cell>
          <cell r="H173">
            <v>0</v>
          </cell>
          <cell r="J173">
            <v>0</v>
          </cell>
          <cell r="K173">
            <v>0</v>
          </cell>
        </row>
        <row r="174">
          <cell r="A174" t="str">
            <v>5805</v>
          </cell>
          <cell r="B174" t="str">
            <v>SOI Lemon Lime 4pk Gln</v>
          </cell>
          <cell r="C174">
            <v>0</v>
          </cell>
          <cell r="D174">
            <v>4</v>
          </cell>
          <cell r="E174">
            <v>0</v>
          </cell>
          <cell r="G174">
            <v>0</v>
          </cell>
          <cell r="H174">
            <v>0</v>
          </cell>
          <cell r="J174">
            <v>0</v>
          </cell>
          <cell r="K174">
            <v>0</v>
          </cell>
        </row>
        <row r="175">
          <cell r="A175" t="str">
            <v>5806</v>
          </cell>
          <cell r="B175" t="str">
            <v>Premium Lime Lemon 4pk Gln</v>
          </cell>
          <cell r="C175">
            <v>9031</v>
          </cell>
          <cell r="D175">
            <v>4</v>
          </cell>
          <cell r="E175">
            <v>36124</v>
          </cell>
          <cell r="G175">
            <v>9031</v>
          </cell>
          <cell r="H175">
            <v>27093</v>
          </cell>
          <cell r="J175">
            <v>-6769</v>
          </cell>
          <cell r="K175">
            <v>-27076</v>
          </cell>
        </row>
        <row r="176">
          <cell r="A176" t="str">
            <v>5807</v>
          </cell>
          <cell r="B176" t="str">
            <v>Premium Lime Lemon FZN 4pk 123oz</v>
          </cell>
          <cell r="C176">
            <v>486</v>
          </cell>
          <cell r="D176">
            <v>4</v>
          </cell>
          <cell r="E176">
            <v>1944</v>
          </cell>
          <cell r="G176">
            <v>486</v>
          </cell>
          <cell r="H176">
            <v>1458</v>
          </cell>
          <cell r="J176">
            <v>-200</v>
          </cell>
          <cell r="K176">
            <v>-800</v>
          </cell>
        </row>
        <row r="177">
          <cell r="A177" t="str">
            <v>6202</v>
          </cell>
          <cell r="B177" t="str">
            <v>SOI 100% Lime Juice HGln 6pk FZN</v>
          </cell>
          <cell r="C177">
            <v>440</v>
          </cell>
          <cell r="D177">
            <v>3</v>
          </cell>
          <cell r="E177">
            <v>1320</v>
          </cell>
          <cell r="F177">
            <v>1320</v>
          </cell>
          <cell r="H177">
            <v>1320</v>
          </cell>
          <cell r="J177">
            <v>-105</v>
          </cell>
          <cell r="K177">
            <v>-315</v>
          </cell>
        </row>
        <row r="178">
          <cell r="A178" t="str">
            <v>6217</v>
          </cell>
          <cell r="B178" t="str">
            <v>Sweet Lime Base 9pk 61.5oz FZN</v>
          </cell>
          <cell r="C178">
            <v>0</v>
          </cell>
          <cell r="D178">
            <v>4.5</v>
          </cell>
          <cell r="E178">
            <v>0</v>
          </cell>
          <cell r="F178">
            <v>0</v>
          </cell>
          <cell r="J178">
            <v>0</v>
          </cell>
          <cell r="K178">
            <v>0</v>
          </cell>
        </row>
        <row r="179">
          <cell r="A179" t="str">
            <v>6225</v>
          </cell>
          <cell r="B179" t="str">
            <v>SOI Lime Juice Fzn Qt 6pk</v>
          </cell>
          <cell r="C179">
            <v>4788</v>
          </cell>
          <cell r="D179">
            <v>1.429</v>
          </cell>
          <cell r="E179">
            <v>6842.0520000000006</v>
          </cell>
          <cell r="F179">
            <v>6842.0520000000006</v>
          </cell>
          <cell r="H179">
            <v>6842.0520000000006</v>
          </cell>
          <cell r="J179">
            <v>1733</v>
          </cell>
          <cell r="K179">
            <v>2476.4569999999999</v>
          </cell>
        </row>
        <row r="180">
          <cell r="A180" t="str">
            <v>6227</v>
          </cell>
          <cell r="B180" t="str">
            <v>SOI Lime Juice Fzn Qt 16pk</v>
          </cell>
          <cell r="C180">
            <v>4947</v>
          </cell>
          <cell r="D180">
            <v>3.8125</v>
          </cell>
          <cell r="E180">
            <v>18860.4375</v>
          </cell>
          <cell r="F180">
            <v>18860.4375</v>
          </cell>
          <cell r="H180">
            <v>18860.4375</v>
          </cell>
          <cell r="J180">
            <v>3528</v>
          </cell>
          <cell r="K180">
            <v>13450.5</v>
          </cell>
        </row>
        <row r="181">
          <cell r="A181" t="str">
            <v>6501</v>
          </cell>
          <cell r="B181" t="str">
            <v>Qdoba Lime Juice Gln 4pk</v>
          </cell>
          <cell r="C181">
            <v>2304</v>
          </cell>
          <cell r="D181">
            <v>4</v>
          </cell>
          <cell r="E181">
            <v>9216</v>
          </cell>
          <cell r="H181">
            <v>9216</v>
          </cell>
          <cell r="J181">
            <v>855</v>
          </cell>
          <cell r="K181">
            <v>3420</v>
          </cell>
        </row>
        <row r="182">
          <cell r="A182" t="str">
            <v>6502</v>
          </cell>
          <cell r="B182" t="str">
            <v>SOI Lime Juice Gln 4pk</v>
          </cell>
          <cell r="C182">
            <v>2395</v>
          </cell>
          <cell r="D182">
            <v>4</v>
          </cell>
          <cell r="E182">
            <v>9580</v>
          </cell>
          <cell r="H182">
            <v>9580</v>
          </cell>
          <cell r="J182">
            <v>846</v>
          </cell>
          <cell r="K182">
            <v>3384</v>
          </cell>
        </row>
        <row r="183">
          <cell r="A183" t="str">
            <v>6502C</v>
          </cell>
          <cell r="B183" t="str">
            <v>Sysco Cheesecake Lime Juice Gln 4pk</v>
          </cell>
          <cell r="C183">
            <v>0</v>
          </cell>
          <cell r="D183">
            <v>4</v>
          </cell>
          <cell r="E183">
            <v>0</v>
          </cell>
          <cell r="H183">
            <v>0</v>
          </cell>
          <cell r="J183">
            <v>0</v>
          </cell>
          <cell r="K183">
            <v>0</v>
          </cell>
        </row>
        <row r="184">
          <cell r="A184" t="str">
            <v>6502SF</v>
          </cell>
          <cell r="B184" t="str">
            <v>SOI Lime Juice TBF Gln 4pk</v>
          </cell>
          <cell r="C184">
            <v>0</v>
          </cell>
          <cell r="D184">
            <v>3.8437999999999999</v>
          </cell>
          <cell r="E184">
            <v>0</v>
          </cell>
          <cell r="F184">
            <v>0</v>
          </cell>
          <cell r="G184">
            <v>0</v>
          </cell>
          <cell r="H184">
            <v>0</v>
          </cell>
          <cell r="J184">
            <v>0</v>
          </cell>
          <cell r="K184">
            <v>0</v>
          </cell>
        </row>
        <row r="185">
          <cell r="A185" t="str">
            <v>6503</v>
          </cell>
          <cell r="B185" t="str">
            <v>OJC Lime Juice HGln 6pk</v>
          </cell>
          <cell r="C185">
            <v>0</v>
          </cell>
          <cell r="D185">
            <v>3</v>
          </cell>
          <cell r="E185">
            <v>0</v>
          </cell>
          <cell r="F185">
            <v>0</v>
          </cell>
          <cell r="G185">
            <v>0</v>
          </cell>
          <cell r="H185">
            <v>0</v>
          </cell>
          <cell r="J185">
            <v>0</v>
          </cell>
          <cell r="K185">
            <v>0</v>
          </cell>
        </row>
        <row r="186">
          <cell r="A186" t="str">
            <v>6506</v>
          </cell>
          <cell r="B186" t="str">
            <v>Markon Lime Juice Hgln 6pk</v>
          </cell>
          <cell r="C186">
            <v>985</v>
          </cell>
          <cell r="D186">
            <v>3</v>
          </cell>
          <cell r="E186">
            <v>2955</v>
          </cell>
          <cell r="F186">
            <v>0</v>
          </cell>
          <cell r="G186">
            <v>0</v>
          </cell>
          <cell r="H186">
            <v>2955</v>
          </cell>
          <cell r="J186">
            <v>237</v>
          </cell>
          <cell r="K186">
            <v>711</v>
          </cell>
        </row>
        <row r="187">
          <cell r="A187" t="str">
            <v>6508</v>
          </cell>
          <cell r="B187" t="str">
            <v>Markon Lime Juice Gln 4pk</v>
          </cell>
          <cell r="C187">
            <v>0</v>
          </cell>
          <cell r="D187">
            <v>3</v>
          </cell>
          <cell r="E187">
            <v>0</v>
          </cell>
          <cell r="H187">
            <v>0</v>
          </cell>
          <cell r="J187">
            <v>0</v>
          </cell>
          <cell r="K187">
            <v>0</v>
          </cell>
        </row>
        <row r="188">
          <cell r="A188" t="str">
            <v>6510</v>
          </cell>
          <cell r="B188" t="str">
            <v>Markon Lime Juice Qt 16pk</v>
          </cell>
          <cell r="C188">
            <v>0</v>
          </cell>
          <cell r="D188">
            <v>4</v>
          </cell>
          <cell r="E188">
            <v>0</v>
          </cell>
          <cell r="H188">
            <v>0</v>
          </cell>
          <cell r="J188">
            <v>0</v>
          </cell>
          <cell r="K188">
            <v>0</v>
          </cell>
        </row>
        <row r="189">
          <cell r="A189" t="str">
            <v>6513</v>
          </cell>
          <cell r="B189" t="str">
            <v>SOI Lime Juice HGln 6pk</v>
          </cell>
          <cell r="C189">
            <v>681</v>
          </cell>
          <cell r="D189">
            <v>3</v>
          </cell>
          <cell r="E189">
            <v>2043</v>
          </cell>
          <cell r="H189">
            <v>2043</v>
          </cell>
          <cell r="J189">
            <v>387</v>
          </cell>
          <cell r="K189">
            <v>1161</v>
          </cell>
        </row>
        <row r="190">
          <cell r="A190" t="str">
            <v>6516</v>
          </cell>
          <cell r="B190" t="str">
            <v>SOI Lime Juice Qt 6pk</v>
          </cell>
          <cell r="C190">
            <v>2661</v>
          </cell>
          <cell r="D190">
            <v>1.5</v>
          </cell>
          <cell r="E190">
            <v>3991.5</v>
          </cell>
          <cell r="H190">
            <v>3991.5</v>
          </cell>
          <cell r="J190">
            <v>1281</v>
          </cell>
          <cell r="K190">
            <v>1921.5</v>
          </cell>
        </row>
        <row r="191">
          <cell r="A191" t="str">
            <v>6517</v>
          </cell>
          <cell r="B191" t="str">
            <v>Panera RTU Cherry Limeade Premix</v>
          </cell>
          <cell r="C191">
            <v>0</v>
          </cell>
          <cell r="D191">
            <v>3</v>
          </cell>
          <cell r="E191">
            <v>0</v>
          </cell>
          <cell r="H191">
            <v>0</v>
          </cell>
          <cell r="J191">
            <v>0</v>
          </cell>
          <cell r="K191">
            <v>0</v>
          </cell>
        </row>
        <row r="192">
          <cell r="A192" t="str">
            <v>6518</v>
          </cell>
          <cell r="B192" t="str">
            <v>Panera Cherry Limeade PreMix FZN 3pk HGln</v>
          </cell>
          <cell r="C192">
            <v>0</v>
          </cell>
          <cell r="D192">
            <v>1.44</v>
          </cell>
          <cell r="E192">
            <v>0</v>
          </cell>
          <cell r="F192">
            <v>0</v>
          </cell>
          <cell r="H192">
            <v>0</v>
          </cell>
          <cell r="J192">
            <v>0</v>
          </cell>
          <cell r="K192">
            <v>0</v>
          </cell>
        </row>
        <row r="193">
          <cell r="A193" t="str">
            <v>6590DE</v>
          </cell>
          <cell r="B193" t="str">
            <v>SOI DE 3+1 Limeade</v>
          </cell>
          <cell r="C193">
            <v>0</v>
          </cell>
          <cell r="D193">
            <v>3</v>
          </cell>
          <cell r="E193">
            <v>0</v>
          </cell>
          <cell r="F193">
            <v>0</v>
          </cell>
          <cell r="H193">
            <v>0</v>
          </cell>
          <cell r="J193">
            <v>0</v>
          </cell>
          <cell r="K193">
            <v>0</v>
          </cell>
        </row>
        <row r="194">
          <cell r="A194" t="str">
            <v>6590</v>
          </cell>
          <cell r="B194" t="str">
            <v>SOI Limeade Cond 3+1 Fzn HGln 6pk</v>
          </cell>
          <cell r="C194">
            <v>329</v>
          </cell>
          <cell r="D194">
            <v>2.88</v>
          </cell>
          <cell r="E194">
            <v>947.52</v>
          </cell>
          <cell r="F194">
            <v>947.52</v>
          </cell>
          <cell r="H194">
            <v>108.9648</v>
          </cell>
          <cell r="J194">
            <v>-10</v>
          </cell>
          <cell r="K194">
            <v>-28.799999999999997</v>
          </cell>
        </row>
        <row r="195">
          <cell r="A195" t="str">
            <v>6591</v>
          </cell>
          <cell r="B195" t="str">
            <v>SYSCO Lime Juice Gln 4pk</v>
          </cell>
          <cell r="C195">
            <v>1645</v>
          </cell>
          <cell r="D195">
            <v>4</v>
          </cell>
          <cell r="E195">
            <v>6580</v>
          </cell>
          <cell r="H195">
            <v>756.7</v>
          </cell>
          <cell r="J195">
            <v>-122</v>
          </cell>
          <cell r="K195">
            <v>-488</v>
          </cell>
        </row>
        <row r="196">
          <cell r="A196" t="str">
            <v>6594</v>
          </cell>
          <cell r="B196" t="str">
            <v>Panera 4+1 Strawberry Limeade 3pk 61.5oz</v>
          </cell>
          <cell r="C196">
            <v>0</v>
          </cell>
          <cell r="D196">
            <v>2.88</v>
          </cell>
          <cell r="E196">
            <v>0</v>
          </cell>
          <cell r="F196">
            <v>0</v>
          </cell>
          <cell r="H196">
            <v>0</v>
          </cell>
          <cell r="J196">
            <v>0</v>
          </cell>
          <cell r="K196">
            <v>0</v>
          </cell>
        </row>
        <row r="197">
          <cell r="A197" t="str">
            <v>6595</v>
          </cell>
          <cell r="B197" t="str">
            <v>Captaian D's Strw Limeade FZN 6pk Hgln</v>
          </cell>
          <cell r="C197">
            <v>0</v>
          </cell>
          <cell r="D197">
            <v>2.88</v>
          </cell>
          <cell r="E197">
            <v>0</v>
          </cell>
          <cell r="F197">
            <v>0</v>
          </cell>
          <cell r="H197">
            <v>0</v>
          </cell>
          <cell r="J197">
            <v>0</v>
          </cell>
          <cell r="K197">
            <v>0</v>
          </cell>
        </row>
        <row r="198">
          <cell r="A198" t="str">
            <v>6596</v>
          </cell>
          <cell r="B198" t="str">
            <v>Watermelon Limeade 6pk Hgln</v>
          </cell>
          <cell r="C198">
            <v>0</v>
          </cell>
          <cell r="D198">
            <v>2.88</v>
          </cell>
          <cell r="E198">
            <v>0</v>
          </cell>
          <cell r="H198">
            <v>0</v>
          </cell>
          <cell r="J198">
            <v>0</v>
          </cell>
          <cell r="K198">
            <v>0</v>
          </cell>
        </row>
        <row r="199">
          <cell r="A199" t="str">
            <v>6593</v>
          </cell>
          <cell r="B199" t="str">
            <v>SYSCO Lime Juice Qt 6pk</v>
          </cell>
          <cell r="C199">
            <v>6249</v>
          </cell>
          <cell r="D199">
            <v>1.5</v>
          </cell>
          <cell r="E199">
            <v>9373.5</v>
          </cell>
          <cell r="H199">
            <v>9373.5</v>
          </cell>
          <cell r="J199">
            <v>2336</v>
          </cell>
          <cell r="K199">
            <v>3504</v>
          </cell>
        </row>
        <row r="200">
          <cell r="A200" t="str">
            <v>6618</v>
          </cell>
          <cell r="B200" t="str">
            <v>Key Lime Juice from Conc 12pk Qt</v>
          </cell>
          <cell r="C200">
            <v>0</v>
          </cell>
          <cell r="D200">
            <v>1.429</v>
          </cell>
          <cell r="E200">
            <v>0</v>
          </cell>
          <cell r="F200">
            <v>0</v>
          </cell>
          <cell r="H200">
            <v>0</v>
          </cell>
          <cell r="J200">
            <v>0</v>
          </cell>
          <cell r="K200">
            <v>0</v>
          </cell>
        </row>
        <row r="201">
          <cell r="A201" t="str">
            <v>6602</v>
          </cell>
          <cell r="B201" t="str">
            <v>SOI Key Lime Juice 123oz 4pk TBF</v>
          </cell>
          <cell r="C201">
            <v>0</v>
          </cell>
          <cell r="D201">
            <v>3.84375</v>
          </cell>
          <cell r="E201">
            <v>0</v>
          </cell>
          <cell r="H201">
            <v>0</v>
          </cell>
          <cell r="J201">
            <v>0</v>
          </cell>
          <cell r="K201">
            <v>0</v>
          </cell>
        </row>
        <row r="202">
          <cell r="A202" t="str">
            <v>6602F</v>
          </cell>
          <cell r="B202" t="str">
            <v>SOI Key Lime Juice 123oz 4pk FZN</v>
          </cell>
          <cell r="C202">
            <v>0</v>
          </cell>
          <cell r="D202">
            <v>3.84375</v>
          </cell>
          <cell r="E202">
            <v>0</v>
          </cell>
          <cell r="F202">
            <v>0</v>
          </cell>
          <cell r="J202">
            <v>0</v>
          </cell>
          <cell r="K202">
            <v>0</v>
          </cell>
        </row>
        <row r="203">
          <cell r="A203" t="str">
            <v>6616F</v>
          </cell>
          <cell r="B203" t="str">
            <v>SOI Key Lime Juice 30.5oz 6pk FZN</v>
          </cell>
          <cell r="C203">
            <v>0</v>
          </cell>
          <cell r="D203">
            <v>1.4296875</v>
          </cell>
          <cell r="E203">
            <v>0</v>
          </cell>
          <cell r="F203">
            <v>0</v>
          </cell>
          <cell r="J203">
            <v>0</v>
          </cell>
          <cell r="K203">
            <v>0</v>
          </cell>
        </row>
        <row r="204">
          <cell r="A204" t="str">
            <v>6617</v>
          </cell>
          <cell r="B204" t="str">
            <v>Key Lime Juice 12pk Qt</v>
          </cell>
          <cell r="C204">
            <v>836</v>
          </cell>
          <cell r="D204">
            <v>3</v>
          </cell>
          <cell r="E204">
            <v>2508</v>
          </cell>
          <cell r="J204">
            <v>-104</v>
          </cell>
          <cell r="K204">
            <v>-312</v>
          </cell>
        </row>
        <row r="205">
          <cell r="A205" t="str">
            <v>6817</v>
          </cell>
          <cell r="B205" t="str">
            <v>Sweet Lime Base 4pk Gln</v>
          </cell>
          <cell r="C205">
            <v>0</v>
          </cell>
          <cell r="D205">
            <v>4</v>
          </cell>
          <cell r="E205">
            <v>0</v>
          </cell>
          <cell r="H205">
            <v>0</v>
          </cell>
          <cell r="J205">
            <v>0</v>
          </cell>
          <cell r="K205">
            <v>0</v>
          </cell>
        </row>
        <row r="206">
          <cell r="A206" t="str">
            <v>6904</v>
          </cell>
          <cell r="B206" t="str">
            <v>Lime Pulp in Buckets</v>
          </cell>
          <cell r="C206">
            <v>0</v>
          </cell>
          <cell r="E206">
            <v>0</v>
          </cell>
          <cell r="J206">
            <v>0</v>
          </cell>
          <cell r="K206">
            <v>0</v>
          </cell>
        </row>
        <row r="207">
          <cell r="A207" t="str">
            <v>6905</v>
          </cell>
          <cell r="B207" t="str">
            <v>Raw Lime Juice w/pulp in Buckets</v>
          </cell>
          <cell r="C207">
            <v>0</v>
          </cell>
          <cell r="E207">
            <v>0</v>
          </cell>
          <cell r="J207">
            <v>0</v>
          </cell>
          <cell r="K207">
            <v>0</v>
          </cell>
        </row>
        <row r="208">
          <cell r="A208" t="str">
            <v>6952</v>
          </cell>
          <cell r="B208" t="str">
            <v>Past Lime Juice Drum REF</v>
          </cell>
          <cell r="C208">
            <v>0</v>
          </cell>
          <cell r="D208">
            <v>48</v>
          </cell>
          <cell r="E208">
            <v>0</v>
          </cell>
          <cell r="H208">
            <v>0</v>
          </cell>
          <cell r="J208">
            <v>0</v>
          </cell>
          <cell r="K208">
            <v>0</v>
          </cell>
        </row>
        <row r="209">
          <cell r="A209" t="str">
            <v>7104</v>
          </cell>
          <cell r="B209" t="str">
            <v>GAF Seelig Orange Juice Gln 4pk</v>
          </cell>
          <cell r="C209">
            <v>0</v>
          </cell>
          <cell r="D209">
            <v>4</v>
          </cell>
          <cell r="E209">
            <v>0</v>
          </cell>
          <cell r="I209">
            <v>0</v>
          </cell>
          <cell r="J209">
            <v>0</v>
          </cell>
          <cell r="K209">
            <v>0</v>
          </cell>
        </row>
        <row r="210">
          <cell r="A210" t="str">
            <v>7201</v>
          </cell>
          <cell r="B210" t="str">
            <v>SOI Orange Juice Fzn HGln 6pk</v>
          </cell>
          <cell r="C210">
            <v>0</v>
          </cell>
          <cell r="D210">
            <v>2.8828125</v>
          </cell>
          <cell r="E210">
            <v>0</v>
          </cell>
          <cell r="F210">
            <v>0</v>
          </cell>
          <cell r="I210">
            <v>0</v>
          </cell>
          <cell r="J210">
            <v>0</v>
          </cell>
          <cell r="K210">
            <v>0</v>
          </cell>
        </row>
        <row r="211">
          <cell r="A211" t="str">
            <v>7301</v>
          </cell>
          <cell r="B211" t="str">
            <v>Noble Tang Guava Mango 8/12oz</v>
          </cell>
          <cell r="C211">
            <v>0</v>
          </cell>
          <cell r="D211">
            <v>0.75</v>
          </cell>
          <cell r="E211">
            <v>0</v>
          </cell>
          <cell r="I211">
            <v>0</v>
          </cell>
          <cell r="J211">
            <v>0</v>
          </cell>
          <cell r="K211">
            <v>0</v>
          </cell>
        </row>
        <row r="212">
          <cell r="A212" t="str">
            <v>7302</v>
          </cell>
          <cell r="B212" t="str">
            <v>ACME Tang Guava Mango 8/12oz</v>
          </cell>
          <cell r="C212">
            <v>0</v>
          </cell>
          <cell r="D212">
            <v>0.75</v>
          </cell>
          <cell r="E212">
            <v>0</v>
          </cell>
          <cell r="I212">
            <v>0</v>
          </cell>
          <cell r="J212">
            <v>0</v>
          </cell>
          <cell r="K212">
            <v>0</v>
          </cell>
        </row>
        <row r="213">
          <cell r="A213" t="str">
            <v>7303</v>
          </cell>
          <cell r="B213" t="str">
            <v>Noble Tang Guava Mango 6/32oz</v>
          </cell>
          <cell r="C213">
            <v>0</v>
          </cell>
          <cell r="D213">
            <v>1.5</v>
          </cell>
          <cell r="E213">
            <v>0</v>
          </cell>
          <cell r="I213">
            <v>0</v>
          </cell>
          <cell r="J213">
            <v>0</v>
          </cell>
          <cell r="K213">
            <v>0</v>
          </cell>
        </row>
        <row r="214">
          <cell r="A214" t="str">
            <v>7304</v>
          </cell>
          <cell r="B214" t="str">
            <v>GE Tang Guava Mango 6/32oz</v>
          </cell>
          <cell r="C214">
            <v>0</v>
          </cell>
          <cell r="D214">
            <v>1.5</v>
          </cell>
          <cell r="E214">
            <v>0</v>
          </cell>
          <cell r="I214">
            <v>0</v>
          </cell>
          <cell r="J214">
            <v>0</v>
          </cell>
          <cell r="K214">
            <v>0</v>
          </cell>
        </row>
        <row r="215">
          <cell r="A215" t="str">
            <v>7305</v>
          </cell>
          <cell r="B215" t="str">
            <v>ACME Royal Mandarin Green 8/12oz</v>
          </cell>
          <cell r="C215">
            <v>0</v>
          </cell>
          <cell r="D215">
            <v>5.208333333333333E-3</v>
          </cell>
          <cell r="E215">
            <v>0</v>
          </cell>
          <cell r="I215">
            <v>0</v>
          </cell>
          <cell r="J215">
            <v>0</v>
          </cell>
          <cell r="K215">
            <v>0</v>
          </cell>
        </row>
        <row r="216">
          <cell r="A216" t="str">
            <v>7306</v>
          </cell>
          <cell r="B216" t="str">
            <v>Noble Royal Mandarin Green 8/12oz</v>
          </cell>
          <cell r="C216">
            <v>0</v>
          </cell>
          <cell r="D216">
            <v>0.75</v>
          </cell>
          <cell r="E216">
            <v>0</v>
          </cell>
          <cell r="I216">
            <v>0</v>
          </cell>
          <cell r="J216">
            <v>0</v>
          </cell>
          <cell r="K216">
            <v>0</v>
          </cell>
        </row>
        <row r="217">
          <cell r="A217" t="str">
            <v>7313</v>
          </cell>
          <cell r="B217" t="str">
            <v>SOJO Tang Guava Mango 6/32oz</v>
          </cell>
          <cell r="C217">
            <v>0</v>
          </cell>
          <cell r="D217">
            <v>1.5</v>
          </cell>
          <cell r="E217">
            <v>0</v>
          </cell>
          <cell r="I217">
            <v>0</v>
          </cell>
          <cell r="J217">
            <v>0</v>
          </cell>
          <cell r="K217">
            <v>0</v>
          </cell>
        </row>
        <row r="218">
          <cell r="A218" t="str">
            <v>7335</v>
          </cell>
          <cell r="B218" t="str">
            <v>SEG Tang  Mango Guava 32oz / 6pk</v>
          </cell>
          <cell r="C218">
            <v>0</v>
          </cell>
          <cell r="D218">
            <v>1.5</v>
          </cell>
          <cell r="E218">
            <v>0</v>
          </cell>
          <cell r="J218">
            <v>0</v>
          </cell>
          <cell r="K218">
            <v>0</v>
          </cell>
        </row>
        <row r="219">
          <cell r="A219" t="str">
            <v>7415</v>
          </cell>
          <cell r="B219" t="str">
            <v>SO 100% Valencia Orange Juice HGln 6pk</v>
          </cell>
          <cell r="C219">
            <v>208</v>
          </cell>
          <cell r="D219">
            <v>1.5</v>
          </cell>
          <cell r="E219">
            <v>312</v>
          </cell>
          <cell r="I219">
            <v>312</v>
          </cell>
          <cell r="J219">
            <v>78</v>
          </cell>
          <cell r="K219">
            <v>117</v>
          </cell>
        </row>
        <row r="220">
          <cell r="A220" t="str">
            <v>7416</v>
          </cell>
          <cell r="B220" t="str">
            <v>Sun Orchard Orange Juice Qt 6pk</v>
          </cell>
          <cell r="C220">
            <v>28</v>
          </cell>
          <cell r="D220">
            <v>1.5</v>
          </cell>
          <cell r="E220">
            <v>42</v>
          </cell>
          <cell r="I220">
            <v>42</v>
          </cell>
          <cell r="J220">
            <v>-708</v>
          </cell>
          <cell r="K220">
            <v>-1062</v>
          </cell>
        </row>
        <row r="221">
          <cell r="A221" t="str">
            <v>7451</v>
          </cell>
          <cell r="B221" t="str">
            <v>Noble Blood Orange 6/32oz</v>
          </cell>
          <cell r="C221">
            <v>0</v>
          </cell>
          <cell r="D221">
            <v>1.5</v>
          </cell>
          <cell r="E221">
            <v>0</v>
          </cell>
          <cell r="I221">
            <v>0</v>
          </cell>
          <cell r="J221">
            <v>0</v>
          </cell>
          <cell r="K221">
            <v>0</v>
          </cell>
        </row>
        <row r="222">
          <cell r="A222" t="str">
            <v>7452</v>
          </cell>
          <cell r="B222" t="str">
            <v>GE Blood Orange 6/32oz</v>
          </cell>
          <cell r="C222">
            <v>0</v>
          </cell>
          <cell r="D222">
            <v>1.5</v>
          </cell>
          <cell r="E222">
            <v>0</v>
          </cell>
          <cell r="I222">
            <v>0</v>
          </cell>
          <cell r="J222">
            <v>0</v>
          </cell>
          <cell r="K222">
            <v>0</v>
          </cell>
        </row>
        <row r="223">
          <cell r="A223" t="str">
            <v>7511</v>
          </cell>
          <cell r="B223" t="str">
            <v>Sir Real OJ Pint 12pk</v>
          </cell>
          <cell r="C223">
            <v>0</v>
          </cell>
          <cell r="D223">
            <v>3</v>
          </cell>
          <cell r="E223">
            <v>0</v>
          </cell>
          <cell r="F223">
            <v>0</v>
          </cell>
          <cell r="I223">
            <v>0</v>
          </cell>
          <cell r="J223">
            <v>0</v>
          </cell>
          <cell r="K223">
            <v>0</v>
          </cell>
        </row>
        <row r="224">
          <cell r="A224" t="str">
            <v>7208</v>
          </cell>
          <cell r="B224" t="str">
            <v>Jamba Orange Juice 1+1 FZN HGln 9pk</v>
          </cell>
          <cell r="C224">
            <v>0</v>
          </cell>
          <cell r="D224">
            <v>4.3239999999999998</v>
          </cell>
          <cell r="E224">
            <v>0</v>
          </cell>
          <cell r="F224">
            <v>0</v>
          </cell>
          <cell r="I224">
            <v>0</v>
          </cell>
          <cell r="J224">
            <v>0</v>
          </cell>
          <cell r="K224">
            <v>0</v>
          </cell>
        </row>
        <row r="225">
          <cell r="A225" t="str">
            <v>7212</v>
          </cell>
          <cell r="B225" t="str">
            <v>Panera Valencia OJ 6pk Fzn</v>
          </cell>
          <cell r="C225">
            <v>0</v>
          </cell>
          <cell r="D225">
            <v>2.8828125</v>
          </cell>
          <cell r="E225">
            <v>0</v>
          </cell>
          <cell r="F225">
            <v>0</v>
          </cell>
          <cell r="I225">
            <v>0</v>
          </cell>
          <cell r="J225">
            <v>0</v>
          </cell>
          <cell r="K225">
            <v>0</v>
          </cell>
        </row>
        <row r="226">
          <cell r="A226" t="str">
            <v>7502</v>
          </cell>
          <cell r="B226" t="str">
            <v>SOI Orange Juice Gln 4pk</v>
          </cell>
          <cell r="C226">
            <v>553</v>
          </cell>
          <cell r="D226">
            <v>4</v>
          </cell>
          <cell r="E226">
            <v>2212</v>
          </cell>
          <cell r="I226">
            <v>2212</v>
          </cell>
          <cell r="J226">
            <v>-340</v>
          </cell>
          <cell r="K226">
            <v>-1360</v>
          </cell>
        </row>
        <row r="227">
          <cell r="A227" t="str">
            <v>7504</v>
          </cell>
          <cell r="B227" t="str">
            <v>Panera Valencis 6pk 64oz</v>
          </cell>
          <cell r="C227">
            <v>0</v>
          </cell>
          <cell r="D227">
            <v>3</v>
          </cell>
          <cell r="E227">
            <v>0</v>
          </cell>
          <cell r="I227">
            <v>0</v>
          </cell>
          <cell r="J227">
            <v>0</v>
          </cell>
          <cell r="K227">
            <v>0</v>
          </cell>
        </row>
        <row r="228">
          <cell r="A228" t="str">
            <v>7506</v>
          </cell>
          <cell r="B228" t="str">
            <v>Markon Orange Juice Gln 4pk</v>
          </cell>
          <cell r="C228">
            <v>409</v>
          </cell>
          <cell r="D228">
            <v>4</v>
          </cell>
          <cell r="E228">
            <v>1636</v>
          </cell>
          <cell r="I228">
            <v>1636</v>
          </cell>
          <cell r="J228">
            <v>-269</v>
          </cell>
          <cell r="K228">
            <v>-1076</v>
          </cell>
        </row>
        <row r="229">
          <cell r="A229" t="str">
            <v>7507</v>
          </cell>
          <cell r="B229" t="str">
            <v>Panera Orange Juice 3pk 64oz</v>
          </cell>
          <cell r="C229">
            <v>0</v>
          </cell>
          <cell r="D229">
            <v>1.4410000000000001</v>
          </cell>
          <cell r="E229">
            <v>0</v>
          </cell>
          <cell r="I229">
            <v>0</v>
          </cell>
          <cell r="J229">
            <v>0</v>
          </cell>
          <cell r="K229">
            <v>0</v>
          </cell>
        </row>
        <row r="230">
          <cell r="A230" t="str">
            <v>7508</v>
          </cell>
          <cell r="B230" t="str">
            <v>CA - Panera Orange Juice 3pk 64oz</v>
          </cell>
          <cell r="C230">
            <v>0</v>
          </cell>
          <cell r="D230">
            <v>1.4410000000000001</v>
          </cell>
          <cell r="E230">
            <v>0</v>
          </cell>
          <cell r="I230">
            <v>0</v>
          </cell>
          <cell r="J230">
            <v>0</v>
          </cell>
          <cell r="K230">
            <v>0</v>
          </cell>
        </row>
        <row r="231">
          <cell r="A231" t="str">
            <v>7516</v>
          </cell>
          <cell r="B231" t="str">
            <v>SOI Orange Juice Qt 6pk Extra Pulp</v>
          </cell>
          <cell r="C231">
            <v>0</v>
          </cell>
          <cell r="D231">
            <v>1.5</v>
          </cell>
          <cell r="E231">
            <v>0</v>
          </cell>
          <cell r="I231">
            <v>0</v>
          </cell>
          <cell r="J231">
            <v>0</v>
          </cell>
          <cell r="K231">
            <v>0</v>
          </cell>
        </row>
        <row r="232">
          <cell r="A232" t="str">
            <v>7515</v>
          </cell>
          <cell r="B232" t="str">
            <v>SOI Orange Juice HGln 6pk</v>
          </cell>
          <cell r="C232">
            <v>103</v>
          </cell>
          <cell r="D232">
            <v>3</v>
          </cell>
          <cell r="E232">
            <v>309</v>
          </cell>
          <cell r="I232">
            <v>309</v>
          </cell>
          <cell r="J232">
            <v>-124</v>
          </cell>
          <cell r="K232">
            <v>-372</v>
          </cell>
        </row>
        <row r="233">
          <cell r="A233" t="str">
            <v>7519</v>
          </cell>
          <cell r="B233" t="str">
            <v>Panera OJ 24pk 11.5oz RTS</v>
          </cell>
          <cell r="C233">
            <v>0</v>
          </cell>
          <cell r="D233">
            <v>3.125</v>
          </cell>
          <cell r="E233">
            <v>0</v>
          </cell>
          <cell r="I233">
            <v>0</v>
          </cell>
          <cell r="J233">
            <v>0</v>
          </cell>
          <cell r="K233">
            <v>0</v>
          </cell>
        </row>
        <row r="234">
          <cell r="A234" t="str">
            <v>7520</v>
          </cell>
          <cell r="B234" t="str">
            <v>CA -Panera OJ 24pk 11.5oz RTS</v>
          </cell>
          <cell r="C234">
            <v>0</v>
          </cell>
          <cell r="D234">
            <v>2.1562999999999999</v>
          </cell>
          <cell r="E234">
            <v>0</v>
          </cell>
          <cell r="I234">
            <v>0</v>
          </cell>
          <cell r="J234">
            <v>0</v>
          </cell>
          <cell r="K234">
            <v>0</v>
          </cell>
        </row>
        <row r="235">
          <cell r="A235" t="str">
            <v>7512</v>
          </cell>
          <cell r="B235" t="str">
            <v>Sir Real OJ 24pk 12oz</v>
          </cell>
          <cell r="C235">
            <v>0</v>
          </cell>
          <cell r="D235">
            <v>3.125</v>
          </cell>
          <cell r="E235">
            <v>0</v>
          </cell>
          <cell r="I235">
            <v>0</v>
          </cell>
          <cell r="J235">
            <v>0</v>
          </cell>
          <cell r="K235">
            <v>0</v>
          </cell>
        </row>
        <row r="236">
          <cell r="A236" t="str">
            <v>7513</v>
          </cell>
          <cell r="B236" t="str">
            <v>OJC Orange Juice Gln 4pk</v>
          </cell>
          <cell r="C236">
            <v>0</v>
          </cell>
          <cell r="D236">
            <v>4</v>
          </cell>
          <cell r="E236">
            <v>0</v>
          </cell>
          <cell r="I236">
            <v>0</v>
          </cell>
          <cell r="J236">
            <v>0</v>
          </cell>
          <cell r="K236">
            <v>0</v>
          </cell>
        </row>
        <row r="237">
          <cell r="A237" t="str">
            <v>7523</v>
          </cell>
          <cell r="B237" t="str">
            <v>Panera Valencia 12pk 11.5oz</v>
          </cell>
          <cell r="C237">
            <v>0</v>
          </cell>
          <cell r="D237">
            <v>3.125</v>
          </cell>
          <cell r="E237">
            <v>0</v>
          </cell>
          <cell r="I237">
            <v>0</v>
          </cell>
          <cell r="J237">
            <v>0</v>
          </cell>
          <cell r="K237">
            <v>0</v>
          </cell>
        </row>
        <row r="238">
          <cell r="A238" t="str">
            <v>7530</v>
          </cell>
          <cell r="B238" t="str">
            <v>SOI Orange Juice Pint 25pk</v>
          </cell>
          <cell r="C238">
            <v>0</v>
          </cell>
          <cell r="D238">
            <v>3.125</v>
          </cell>
          <cell r="E238">
            <v>0</v>
          </cell>
          <cell r="I238">
            <v>0</v>
          </cell>
          <cell r="J238">
            <v>0</v>
          </cell>
          <cell r="K238">
            <v>0</v>
          </cell>
        </row>
        <row r="239">
          <cell r="A239" t="str">
            <v>7534</v>
          </cell>
          <cell r="B239" t="str">
            <v>SOI Orange Juice 12oz 24pk</v>
          </cell>
          <cell r="C239">
            <v>0</v>
          </cell>
          <cell r="D239">
            <v>3.125</v>
          </cell>
          <cell r="E239">
            <v>0</v>
          </cell>
          <cell r="I239">
            <v>0</v>
          </cell>
          <cell r="J239">
            <v>0</v>
          </cell>
          <cell r="K239">
            <v>0</v>
          </cell>
        </row>
        <row r="240">
          <cell r="A240" t="str">
            <v>7524</v>
          </cell>
          <cell r="B240" t="str">
            <v>SOI Orange Juice NP HGln 9pk</v>
          </cell>
          <cell r="C240">
            <v>0</v>
          </cell>
          <cell r="D240">
            <v>3.125</v>
          </cell>
          <cell r="E240">
            <v>0</v>
          </cell>
          <cell r="I240">
            <v>0</v>
          </cell>
          <cell r="J240">
            <v>0</v>
          </cell>
          <cell r="K240">
            <v>0</v>
          </cell>
        </row>
        <row r="241">
          <cell r="A241" t="str">
            <v>7539</v>
          </cell>
          <cell r="B241" t="str">
            <v>Sir Real Orange Juice Qt 6pk</v>
          </cell>
          <cell r="C241">
            <v>0</v>
          </cell>
          <cell r="D241">
            <v>1.5</v>
          </cell>
          <cell r="E241">
            <v>0</v>
          </cell>
          <cell r="I241">
            <v>0</v>
          </cell>
          <cell r="J241">
            <v>0</v>
          </cell>
          <cell r="K241">
            <v>0</v>
          </cell>
        </row>
        <row r="242">
          <cell r="A242" t="str">
            <v>7540</v>
          </cell>
          <cell r="B242" t="str">
            <v>SOI Orange Juice NP Gln 4pk</v>
          </cell>
          <cell r="C242">
            <v>308</v>
          </cell>
          <cell r="D242">
            <v>4</v>
          </cell>
          <cell r="E242">
            <v>1232</v>
          </cell>
          <cell r="I242">
            <v>1232</v>
          </cell>
          <cell r="J242">
            <v>-145</v>
          </cell>
          <cell r="K242">
            <v>-580</v>
          </cell>
        </row>
        <row r="243">
          <cell r="A243" t="str">
            <v>7542</v>
          </cell>
          <cell r="B243" t="str">
            <v>SOI NP Orange Juice FZN 61.5oz 6pk</v>
          </cell>
          <cell r="C243">
            <v>2404</v>
          </cell>
          <cell r="D243">
            <v>2.88</v>
          </cell>
          <cell r="E243">
            <v>6923.5199999999995</v>
          </cell>
          <cell r="F243">
            <v>6923.5199999999995</v>
          </cell>
          <cell r="I243">
            <v>6923.5199999999995</v>
          </cell>
          <cell r="J243">
            <v>1224</v>
          </cell>
          <cell r="K243">
            <v>3525.12</v>
          </cell>
        </row>
        <row r="244">
          <cell r="A244" t="str">
            <v>7546</v>
          </cell>
          <cell r="B244" t="str">
            <v>SOI Orange Juice HPint 24pk</v>
          </cell>
          <cell r="C244">
            <v>0</v>
          </cell>
          <cell r="D244">
            <v>1.5</v>
          </cell>
          <cell r="E244">
            <v>0</v>
          </cell>
          <cell r="I244">
            <v>0</v>
          </cell>
          <cell r="J244">
            <v>0</v>
          </cell>
          <cell r="K244">
            <v>0</v>
          </cell>
        </row>
        <row r="245">
          <cell r="A245" t="str">
            <v>7555</v>
          </cell>
          <cell r="B245" t="str">
            <v>FL Val OJ Hgln 6pk</v>
          </cell>
          <cell r="C245">
            <v>0</v>
          </cell>
          <cell r="D245">
            <v>3</v>
          </cell>
          <cell r="E245">
            <v>0</v>
          </cell>
          <cell r="I245">
            <v>0</v>
          </cell>
          <cell r="J245">
            <v>0</v>
          </cell>
          <cell r="K245">
            <v>0</v>
          </cell>
        </row>
        <row r="246">
          <cell r="A246" t="str">
            <v>7563</v>
          </cell>
          <cell r="B246" t="str">
            <v>Seminole Orange Juice Gln 4pk</v>
          </cell>
          <cell r="C246">
            <v>0</v>
          </cell>
          <cell r="D246">
            <v>4</v>
          </cell>
          <cell r="E246">
            <v>0</v>
          </cell>
          <cell r="I246">
            <v>0</v>
          </cell>
          <cell r="J246">
            <v>0</v>
          </cell>
          <cell r="K246">
            <v>0</v>
          </cell>
        </row>
        <row r="247">
          <cell r="A247" t="str">
            <v>7564</v>
          </cell>
          <cell r="B247" t="str">
            <v>Sir Real Orange Juice HGln 6pk</v>
          </cell>
          <cell r="C247">
            <v>0</v>
          </cell>
          <cell r="D247">
            <v>3</v>
          </cell>
          <cell r="E247">
            <v>0</v>
          </cell>
          <cell r="I247">
            <v>0</v>
          </cell>
          <cell r="J247">
            <v>0</v>
          </cell>
          <cell r="K247">
            <v>0</v>
          </cell>
        </row>
        <row r="248">
          <cell r="A248" t="str">
            <v>7567</v>
          </cell>
          <cell r="B248" t="str">
            <v>Seminole Orange Juice Pint 25pk</v>
          </cell>
          <cell r="C248">
            <v>0</v>
          </cell>
          <cell r="D248">
            <v>3.125</v>
          </cell>
          <cell r="E248">
            <v>0</v>
          </cell>
          <cell r="I248">
            <v>0</v>
          </cell>
          <cell r="J248">
            <v>0</v>
          </cell>
          <cell r="K248">
            <v>0</v>
          </cell>
        </row>
        <row r="249">
          <cell r="A249" t="str">
            <v>7568</v>
          </cell>
          <cell r="B249" t="str">
            <v>Seminole Orange Juice HPint 24pk</v>
          </cell>
          <cell r="C249">
            <v>0</v>
          </cell>
          <cell r="D249">
            <v>1.5</v>
          </cell>
          <cell r="E249">
            <v>0</v>
          </cell>
          <cell r="I249">
            <v>0</v>
          </cell>
          <cell r="J249">
            <v>0</v>
          </cell>
          <cell r="K249">
            <v>0</v>
          </cell>
        </row>
        <row r="250">
          <cell r="A250" t="str">
            <v>7581</v>
          </cell>
          <cell r="B250" t="str">
            <v>Seminole Orange Juice 8/12oz</v>
          </cell>
          <cell r="C250">
            <v>0</v>
          </cell>
          <cell r="D250">
            <v>0.75</v>
          </cell>
          <cell r="E250">
            <v>0</v>
          </cell>
          <cell r="I250">
            <v>0</v>
          </cell>
          <cell r="J250">
            <v>0</v>
          </cell>
          <cell r="K250">
            <v>0</v>
          </cell>
        </row>
        <row r="251">
          <cell r="A251" t="str">
            <v>7582</v>
          </cell>
          <cell r="B251" t="str">
            <v>ACME Orange Juice 8/12oz</v>
          </cell>
          <cell r="C251">
            <v>0</v>
          </cell>
          <cell r="D251">
            <v>0.75</v>
          </cell>
          <cell r="E251">
            <v>0</v>
          </cell>
          <cell r="I251">
            <v>0</v>
          </cell>
          <cell r="J251">
            <v>0</v>
          </cell>
          <cell r="K251">
            <v>0</v>
          </cell>
        </row>
        <row r="252">
          <cell r="A252" t="str">
            <v>7583</v>
          </cell>
          <cell r="B252" t="str">
            <v>ACME Orange Juice 6/32oz</v>
          </cell>
          <cell r="C252">
            <v>0</v>
          </cell>
          <cell r="D252">
            <v>1.5</v>
          </cell>
          <cell r="E252">
            <v>0</v>
          </cell>
          <cell r="I252">
            <v>0</v>
          </cell>
          <cell r="J252">
            <v>0</v>
          </cell>
          <cell r="K252">
            <v>0</v>
          </cell>
        </row>
        <row r="253">
          <cell r="A253" t="str">
            <v>7584</v>
          </cell>
          <cell r="B253" t="str">
            <v>CORA Orange Juice 4/1 gallon</v>
          </cell>
          <cell r="C253">
            <v>0</v>
          </cell>
          <cell r="D253">
            <v>4</v>
          </cell>
          <cell r="E253">
            <v>0</v>
          </cell>
          <cell r="I253">
            <v>0</v>
          </cell>
          <cell r="J253">
            <v>0</v>
          </cell>
          <cell r="K253">
            <v>0</v>
          </cell>
        </row>
        <row r="254">
          <cell r="A254" t="str">
            <v>7585</v>
          </cell>
          <cell r="B254" t="str">
            <v>GE 100% Valencia OJ 6/32oz</v>
          </cell>
          <cell r="C254">
            <v>0</v>
          </cell>
          <cell r="D254">
            <v>1.5</v>
          </cell>
          <cell r="E254">
            <v>0</v>
          </cell>
          <cell r="I254">
            <v>0</v>
          </cell>
          <cell r="J254">
            <v>0</v>
          </cell>
          <cell r="K254">
            <v>0</v>
          </cell>
        </row>
        <row r="255">
          <cell r="A255" t="str">
            <v>7571</v>
          </cell>
          <cell r="B255" t="str">
            <v>OSSI Orange Juice Qt 6pk</v>
          </cell>
          <cell r="C255">
            <v>0</v>
          </cell>
          <cell r="D255">
            <v>1.4297</v>
          </cell>
          <cell r="E255">
            <v>0</v>
          </cell>
          <cell r="I255">
            <v>0</v>
          </cell>
          <cell r="J255">
            <v>0</v>
          </cell>
          <cell r="K255">
            <v>0</v>
          </cell>
        </row>
        <row r="256">
          <cell r="A256">
            <v>7573</v>
          </cell>
          <cell r="B256" t="str">
            <v>Able FL Orange Juice Gln 4pk</v>
          </cell>
          <cell r="C256">
            <v>0</v>
          </cell>
          <cell r="D256">
            <v>4</v>
          </cell>
          <cell r="E256">
            <v>0</v>
          </cell>
          <cell r="I256">
            <v>0</v>
          </cell>
          <cell r="J256">
            <v>0</v>
          </cell>
          <cell r="K256">
            <v>0</v>
          </cell>
        </row>
        <row r="257">
          <cell r="A257" t="str">
            <v>7591</v>
          </cell>
          <cell r="B257" t="str">
            <v>SYSCO Orange Juice Gln 4pk</v>
          </cell>
          <cell r="C257">
            <v>3191</v>
          </cell>
          <cell r="D257">
            <v>4</v>
          </cell>
          <cell r="E257">
            <v>12764</v>
          </cell>
          <cell r="I257">
            <v>12764</v>
          </cell>
          <cell r="J257">
            <v>-1146</v>
          </cell>
          <cell r="K257">
            <v>-4584</v>
          </cell>
        </row>
        <row r="258">
          <cell r="A258" t="str">
            <v>7592</v>
          </cell>
          <cell r="B258" t="str">
            <v>SYSCO Orange Juice HGln 6pk</v>
          </cell>
          <cell r="C258">
            <v>0</v>
          </cell>
          <cell r="D258">
            <v>3</v>
          </cell>
          <cell r="E258">
            <v>0</v>
          </cell>
          <cell r="I258">
            <v>0</v>
          </cell>
          <cell r="J258">
            <v>0</v>
          </cell>
          <cell r="K258">
            <v>0</v>
          </cell>
        </row>
        <row r="259">
          <cell r="A259" t="str">
            <v>7593</v>
          </cell>
          <cell r="B259" t="str">
            <v>SYSCO Orange Juice NP Gln 4pk</v>
          </cell>
          <cell r="C259">
            <v>1423</v>
          </cell>
          <cell r="D259">
            <v>4</v>
          </cell>
          <cell r="E259">
            <v>5692</v>
          </cell>
          <cell r="I259">
            <v>5692</v>
          </cell>
          <cell r="J259">
            <v>-1155</v>
          </cell>
          <cell r="K259">
            <v>-4620</v>
          </cell>
        </row>
        <row r="260">
          <cell r="A260" t="str">
            <v>7602</v>
          </cell>
          <cell r="B260" t="str">
            <v>Snooze Orange Juice Gln 4pk</v>
          </cell>
          <cell r="C260">
            <v>182</v>
          </cell>
          <cell r="D260">
            <v>4</v>
          </cell>
          <cell r="E260">
            <v>728</v>
          </cell>
          <cell r="I260">
            <v>728</v>
          </cell>
          <cell r="J260">
            <v>-57</v>
          </cell>
          <cell r="K260">
            <v>-228</v>
          </cell>
        </row>
        <row r="261">
          <cell r="A261" t="str">
            <v>7616</v>
          </cell>
          <cell r="B261" t="str">
            <v>Sir Real Organic Orange Juice Pint 12pk</v>
          </cell>
          <cell r="C261">
            <v>0</v>
          </cell>
          <cell r="D261">
            <v>1.5</v>
          </cell>
          <cell r="E261">
            <v>0</v>
          </cell>
          <cell r="I261">
            <v>0</v>
          </cell>
          <cell r="J261">
            <v>0</v>
          </cell>
          <cell r="K261">
            <v>0</v>
          </cell>
        </row>
        <row r="262">
          <cell r="A262" t="str">
            <v>7632</v>
          </cell>
          <cell r="B262" t="str">
            <v>Sir Real Organic Orange Juice Qt 6pk</v>
          </cell>
          <cell r="C262">
            <v>0</v>
          </cell>
          <cell r="D262">
            <v>1.5</v>
          </cell>
          <cell r="E262">
            <v>0</v>
          </cell>
          <cell r="I262">
            <v>0</v>
          </cell>
          <cell r="J262">
            <v>0</v>
          </cell>
          <cell r="K262">
            <v>0</v>
          </cell>
        </row>
        <row r="263">
          <cell r="A263" t="str">
            <v>7664</v>
          </cell>
          <cell r="B263" t="str">
            <v>Sir Real Organic Orange Juice HGln 6pk</v>
          </cell>
          <cell r="C263">
            <v>0</v>
          </cell>
          <cell r="D263">
            <v>3</v>
          </cell>
          <cell r="E263">
            <v>0</v>
          </cell>
          <cell r="I263">
            <v>0</v>
          </cell>
          <cell r="J263">
            <v>0</v>
          </cell>
          <cell r="K263">
            <v>0</v>
          </cell>
        </row>
        <row r="264">
          <cell r="A264" t="str">
            <v>7719</v>
          </cell>
          <cell r="B264" t="str">
            <v>Sir Real Tang Juice Pint 12pk</v>
          </cell>
          <cell r="C264">
            <v>0</v>
          </cell>
          <cell r="D264">
            <v>1.5</v>
          </cell>
          <cell r="E264">
            <v>0</v>
          </cell>
          <cell r="I264">
            <v>0</v>
          </cell>
          <cell r="J264">
            <v>0</v>
          </cell>
          <cell r="K264">
            <v>0</v>
          </cell>
        </row>
        <row r="265">
          <cell r="A265" t="str">
            <v>7732</v>
          </cell>
          <cell r="B265" t="str">
            <v>Sir Real Tang Juice Qt 6pk</v>
          </cell>
          <cell r="C265">
            <v>0</v>
          </cell>
          <cell r="D265">
            <v>1.5</v>
          </cell>
          <cell r="E265">
            <v>0</v>
          </cell>
          <cell r="I265">
            <v>0</v>
          </cell>
          <cell r="J265">
            <v>0</v>
          </cell>
          <cell r="K265">
            <v>0</v>
          </cell>
        </row>
        <row r="266">
          <cell r="A266" t="str">
            <v>7651</v>
          </cell>
          <cell r="B266" t="str">
            <v>Noble Organic OJ 8/12oz</v>
          </cell>
          <cell r="C266">
            <v>0</v>
          </cell>
          <cell r="D266">
            <v>0.75</v>
          </cell>
          <cell r="E266">
            <v>0</v>
          </cell>
          <cell r="I266">
            <v>0</v>
          </cell>
          <cell r="J266">
            <v>0</v>
          </cell>
          <cell r="K266">
            <v>0</v>
          </cell>
        </row>
        <row r="267">
          <cell r="A267" t="str">
            <v>7652</v>
          </cell>
          <cell r="B267" t="str">
            <v>Noble Organic OJ 6/58oz</v>
          </cell>
          <cell r="C267">
            <v>0</v>
          </cell>
          <cell r="D267">
            <v>2.71875</v>
          </cell>
          <cell r="E267">
            <v>0</v>
          </cell>
          <cell r="I267">
            <v>0</v>
          </cell>
          <cell r="J267">
            <v>0</v>
          </cell>
          <cell r="K267">
            <v>0</v>
          </cell>
        </row>
        <row r="268">
          <cell r="A268" t="str">
            <v>7653</v>
          </cell>
          <cell r="B268" t="str">
            <v>Noble Organic Orange Tangerine 6/58oz</v>
          </cell>
          <cell r="C268">
            <v>0</v>
          </cell>
          <cell r="D268">
            <v>2.71875</v>
          </cell>
          <cell r="E268">
            <v>0</v>
          </cell>
          <cell r="I268">
            <v>0</v>
          </cell>
          <cell r="J268">
            <v>0</v>
          </cell>
          <cell r="K268">
            <v>0</v>
          </cell>
        </row>
        <row r="269">
          <cell r="A269" t="str">
            <v>7735</v>
          </cell>
          <cell r="B269" t="str">
            <v>SEG Tangerine Blend 32oz / 6pk</v>
          </cell>
          <cell r="C269">
            <v>0</v>
          </cell>
          <cell r="D269">
            <v>1.5</v>
          </cell>
          <cell r="E269">
            <v>0</v>
          </cell>
          <cell r="J269">
            <v>0</v>
          </cell>
          <cell r="K269">
            <v>0</v>
          </cell>
        </row>
        <row r="270">
          <cell r="A270" t="str">
            <v>7738</v>
          </cell>
          <cell r="B270" t="str">
            <v>SEG Tangerine/Clementine 32oz / 6pk</v>
          </cell>
          <cell r="C270">
            <v>0</v>
          </cell>
          <cell r="D270">
            <v>1.5</v>
          </cell>
          <cell r="E270">
            <v>0</v>
          </cell>
          <cell r="J270">
            <v>0</v>
          </cell>
          <cell r="K270">
            <v>0</v>
          </cell>
        </row>
        <row r="271">
          <cell r="A271" t="str">
            <v>7751</v>
          </cell>
          <cell r="B271" t="str">
            <v>Noble ZING Tangerine 8/12oz</v>
          </cell>
          <cell r="C271">
            <v>0</v>
          </cell>
          <cell r="D271">
            <v>0.75</v>
          </cell>
          <cell r="E271">
            <v>0</v>
          </cell>
          <cell r="I271">
            <v>0</v>
          </cell>
          <cell r="J271">
            <v>0</v>
          </cell>
          <cell r="K271">
            <v>0</v>
          </cell>
        </row>
        <row r="272">
          <cell r="A272" t="str">
            <v>7752</v>
          </cell>
          <cell r="B272" t="str">
            <v>Noble Tangerine 8/12oz</v>
          </cell>
          <cell r="C272">
            <v>0</v>
          </cell>
          <cell r="D272">
            <v>0.75</v>
          </cell>
          <cell r="E272">
            <v>0</v>
          </cell>
          <cell r="I272">
            <v>0</v>
          </cell>
          <cell r="J272">
            <v>0</v>
          </cell>
          <cell r="K272">
            <v>0</v>
          </cell>
        </row>
        <row r="273">
          <cell r="A273" t="str">
            <v>7753</v>
          </cell>
          <cell r="B273" t="str">
            <v>ACME Tangerine Blend 8/12oz</v>
          </cell>
          <cell r="C273">
            <v>0</v>
          </cell>
          <cell r="D273">
            <v>0.75</v>
          </cell>
          <cell r="E273">
            <v>0</v>
          </cell>
          <cell r="I273">
            <v>0</v>
          </cell>
          <cell r="J273">
            <v>0</v>
          </cell>
          <cell r="K273">
            <v>0</v>
          </cell>
        </row>
        <row r="274">
          <cell r="A274" t="str">
            <v>7754</v>
          </cell>
          <cell r="B274" t="str">
            <v>Noble Tangerine Blend 6/32oz</v>
          </cell>
          <cell r="C274">
            <v>0</v>
          </cell>
          <cell r="D274">
            <v>1.5</v>
          </cell>
          <cell r="E274">
            <v>0</v>
          </cell>
          <cell r="I274">
            <v>0</v>
          </cell>
          <cell r="J274">
            <v>0</v>
          </cell>
          <cell r="K274">
            <v>0</v>
          </cell>
        </row>
        <row r="275">
          <cell r="A275" t="str">
            <v>7755</v>
          </cell>
          <cell r="B275" t="str">
            <v>ACME Tangerine Blend 6/32oz</v>
          </cell>
          <cell r="C275">
            <v>0</v>
          </cell>
          <cell r="D275">
            <v>1.5</v>
          </cell>
          <cell r="E275">
            <v>0</v>
          </cell>
          <cell r="I275">
            <v>0</v>
          </cell>
          <cell r="J275">
            <v>0</v>
          </cell>
          <cell r="K275">
            <v>0</v>
          </cell>
        </row>
        <row r="276">
          <cell r="A276" t="str">
            <v>7756</v>
          </cell>
          <cell r="B276" t="str">
            <v>GE Tangerine Blend 6/32oz</v>
          </cell>
          <cell r="C276">
            <v>0</v>
          </cell>
          <cell r="D276">
            <v>1.5</v>
          </cell>
          <cell r="E276">
            <v>0</v>
          </cell>
          <cell r="I276">
            <v>0</v>
          </cell>
          <cell r="J276">
            <v>0</v>
          </cell>
          <cell r="K276">
            <v>0</v>
          </cell>
        </row>
        <row r="277">
          <cell r="A277" t="str">
            <v>7757</v>
          </cell>
          <cell r="B277" t="str">
            <v>ACME Tangerine/Clementine 6/32oz</v>
          </cell>
          <cell r="C277">
            <v>0</v>
          </cell>
          <cell r="D277">
            <v>1.5</v>
          </cell>
          <cell r="E277">
            <v>0</v>
          </cell>
          <cell r="I277">
            <v>0</v>
          </cell>
          <cell r="J277">
            <v>0</v>
          </cell>
          <cell r="K277">
            <v>0</v>
          </cell>
        </row>
        <row r="278">
          <cell r="A278" t="str">
            <v>7758</v>
          </cell>
          <cell r="B278" t="str">
            <v>Noble Tangerine/Clementine 6/32oz</v>
          </cell>
          <cell r="C278">
            <v>0</v>
          </cell>
          <cell r="D278">
            <v>1.5</v>
          </cell>
          <cell r="E278">
            <v>0</v>
          </cell>
          <cell r="I278">
            <v>0</v>
          </cell>
          <cell r="J278">
            <v>0</v>
          </cell>
          <cell r="K278">
            <v>0</v>
          </cell>
        </row>
        <row r="279">
          <cell r="A279" t="str">
            <v>7764</v>
          </cell>
          <cell r="B279" t="str">
            <v>Sir Real Tang Juice HGln 6pk</v>
          </cell>
          <cell r="C279">
            <v>0</v>
          </cell>
          <cell r="D279">
            <v>1.5</v>
          </cell>
          <cell r="E279">
            <v>0</v>
          </cell>
          <cell r="F279" t="str">
            <v xml:space="preserve"> </v>
          </cell>
          <cell r="I279">
            <v>0</v>
          </cell>
          <cell r="J279">
            <v>0</v>
          </cell>
          <cell r="K279">
            <v>0</v>
          </cell>
        </row>
        <row r="280">
          <cell r="A280" t="str">
            <v>7765</v>
          </cell>
          <cell r="B280" t="str">
            <v>Tangerine Juice FZN 16 pk 30.5 oz</v>
          </cell>
          <cell r="C280">
            <v>0</v>
          </cell>
          <cell r="D280">
            <v>3.125</v>
          </cell>
          <cell r="E280">
            <v>0</v>
          </cell>
          <cell r="F280">
            <v>0</v>
          </cell>
          <cell r="I280">
            <v>0</v>
          </cell>
          <cell r="J280">
            <v>0</v>
          </cell>
          <cell r="K280">
            <v>0</v>
          </cell>
        </row>
        <row r="281">
          <cell r="A281" t="str">
            <v>7822</v>
          </cell>
          <cell r="B281" t="str">
            <v>Tangerine Juice debittered Drums FZN</v>
          </cell>
          <cell r="C281">
            <v>0</v>
          </cell>
          <cell r="D281">
            <v>48</v>
          </cell>
          <cell r="E281">
            <v>0</v>
          </cell>
          <cell r="F281">
            <v>0</v>
          </cell>
          <cell r="J281">
            <v>0</v>
          </cell>
          <cell r="K281">
            <v>0</v>
          </cell>
        </row>
        <row r="282">
          <cell r="A282" t="str">
            <v>7823</v>
          </cell>
          <cell r="B282" t="str">
            <v>Wendy's Orange Juice FZN Hgln 9pk</v>
          </cell>
          <cell r="C282">
            <v>0</v>
          </cell>
          <cell r="D282">
            <v>4.3239999999999998</v>
          </cell>
          <cell r="E282">
            <v>0</v>
          </cell>
          <cell r="F282">
            <v>0</v>
          </cell>
          <cell r="I282">
            <v>0</v>
          </cell>
          <cell r="J282">
            <v>0</v>
          </cell>
          <cell r="K282">
            <v>0</v>
          </cell>
        </row>
        <row r="283">
          <cell r="A283" t="str">
            <v>7900</v>
          </cell>
          <cell r="B283" t="str">
            <v>SOI Valencia Oil Drum</v>
          </cell>
          <cell r="C283">
            <v>0</v>
          </cell>
          <cell r="D283">
            <v>0</v>
          </cell>
          <cell r="E283">
            <v>0</v>
          </cell>
          <cell r="J283">
            <v>0</v>
          </cell>
          <cell r="K283">
            <v>0</v>
          </cell>
        </row>
        <row r="284">
          <cell r="A284" t="str">
            <v>8225</v>
          </cell>
          <cell r="B284" t="str">
            <v>SOI Grapefruit Juice 30.5oz 6pk FZN</v>
          </cell>
          <cell r="C284">
            <v>87</v>
          </cell>
          <cell r="D284">
            <v>1.4296875</v>
          </cell>
          <cell r="E284">
            <v>124.3828125</v>
          </cell>
          <cell r="F284">
            <v>124.3828125</v>
          </cell>
          <cell r="J284">
            <v>-30</v>
          </cell>
          <cell r="K284">
            <v>-42.890625</v>
          </cell>
        </row>
        <row r="285">
          <cell r="A285" t="str">
            <v>8270</v>
          </cell>
          <cell r="B285" t="str">
            <v>OSSI Gft Juice Fzn Qt 6pk</v>
          </cell>
          <cell r="C285">
            <v>0</v>
          </cell>
          <cell r="D285">
            <v>1.429</v>
          </cell>
          <cell r="E285">
            <v>0</v>
          </cell>
          <cell r="F285">
            <v>0</v>
          </cell>
          <cell r="J285">
            <v>0</v>
          </cell>
          <cell r="K285">
            <v>0</v>
          </cell>
        </row>
        <row r="286">
          <cell r="A286" t="str">
            <v>8272</v>
          </cell>
          <cell r="B286" t="str">
            <v>SOI Gft Extra Pulp Fzn 30.5 oz 6pk</v>
          </cell>
          <cell r="C286">
            <v>0</v>
          </cell>
          <cell r="D286">
            <v>1.4297</v>
          </cell>
          <cell r="E286">
            <v>0</v>
          </cell>
          <cell r="F286">
            <v>0</v>
          </cell>
          <cell r="J286">
            <v>0</v>
          </cell>
          <cell r="K286">
            <v>0</v>
          </cell>
        </row>
        <row r="287">
          <cell r="A287" t="str">
            <v>8416</v>
          </cell>
          <cell r="B287" t="str">
            <v>Sir Real Organic Gft Juice Pint 12pk</v>
          </cell>
          <cell r="C287">
            <v>0</v>
          </cell>
          <cell r="D287">
            <v>1.5</v>
          </cell>
          <cell r="E287">
            <v>0</v>
          </cell>
          <cell r="J287">
            <v>0</v>
          </cell>
          <cell r="K287">
            <v>0</v>
          </cell>
        </row>
        <row r="288">
          <cell r="A288" t="str">
            <v>8432</v>
          </cell>
          <cell r="B288" t="str">
            <v>Sir Real Organic Gft Juice Qt 6pk</v>
          </cell>
          <cell r="C288">
            <v>0</v>
          </cell>
          <cell r="D288">
            <v>1.5</v>
          </cell>
          <cell r="E288">
            <v>0</v>
          </cell>
          <cell r="J288">
            <v>0</v>
          </cell>
          <cell r="K288">
            <v>0</v>
          </cell>
        </row>
        <row r="289">
          <cell r="A289" t="str">
            <v>8451</v>
          </cell>
          <cell r="B289" t="str">
            <v>Noble Organic Grapefruit 6/58oz</v>
          </cell>
          <cell r="C289">
            <v>0</v>
          </cell>
          <cell r="D289">
            <v>2.71875</v>
          </cell>
          <cell r="E289">
            <v>0</v>
          </cell>
          <cell r="J289">
            <v>0</v>
          </cell>
          <cell r="K289">
            <v>0</v>
          </cell>
        </row>
        <row r="290">
          <cell r="A290" t="str">
            <v>8464</v>
          </cell>
          <cell r="B290" t="str">
            <v>Sir Real Organic Gft Juice HGln 6pk</v>
          </cell>
          <cell r="C290">
            <v>0</v>
          </cell>
          <cell r="D290">
            <v>3</v>
          </cell>
          <cell r="E290">
            <v>0</v>
          </cell>
          <cell r="J290">
            <v>0</v>
          </cell>
          <cell r="K290">
            <v>0</v>
          </cell>
        </row>
        <row r="291">
          <cell r="A291" t="str">
            <v>8502</v>
          </cell>
          <cell r="B291" t="str">
            <v>SOI Gft Juice Gln 4pk</v>
          </cell>
          <cell r="C291">
            <v>0</v>
          </cell>
          <cell r="D291">
            <v>4</v>
          </cell>
          <cell r="E291">
            <v>0</v>
          </cell>
          <cell r="J291">
            <v>0</v>
          </cell>
          <cell r="K291">
            <v>0</v>
          </cell>
        </row>
        <row r="292">
          <cell r="A292" t="str">
            <v>8503</v>
          </cell>
          <cell r="B292" t="str">
            <v>OJC Gft Juice HGln 6pk</v>
          </cell>
          <cell r="C292">
            <v>0</v>
          </cell>
          <cell r="D292">
            <v>3</v>
          </cell>
          <cell r="E292">
            <v>0</v>
          </cell>
          <cell r="J292">
            <v>0</v>
          </cell>
          <cell r="K292">
            <v>0</v>
          </cell>
        </row>
        <row r="293">
          <cell r="A293" t="str">
            <v>8506</v>
          </cell>
          <cell r="B293" t="str">
            <v>Markon Gft Juice HGln 6pk</v>
          </cell>
          <cell r="C293">
            <v>0</v>
          </cell>
          <cell r="D293">
            <v>3</v>
          </cell>
          <cell r="E293">
            <v>0</v>
          </cell>
          <cell r="J293">
            <v>0</v>
          </cell>
          <cell r="K293">
            <v>0</v>
          </cell>
        </row>
        <row r="294">
          <cell r="A294" t="str">
            <v>8513</v>
          </cell>
          <cell r="B294" t="str">
            <v>SOI Gft Juice HGln 6pk</v>
          </cell>
          <cell r="C294">
            <v>264</v>
          </cell>
          <cell r="D294">
            <v>3</v>
          </cell>
          <cell r="E294">
            <v>792</v>
          </cell>
          <cell r="J294">
            <v>8</v>
          </cell>
          <cell r="K294">
            <v>24</v>
          </cell>
        </row>
        <row r="295">
          <cell r="A295" t="str">
            <v>8541</v>
          </cell>
          <cell r="B295" t="str">
            <v>CORA Grapefruit 6/32oz</v>
          </cell>
          <cell r="C295">
            <v>0</v>
          </cell>
          <cell r="D295">
            <v>1.5</v>
          </cell>
          <cell r="E295">
            <v>0</v>
          </cell>
          <cell r="J295">
            <v>0</v>
          </cell>
          <cell r="K295">
            <v>0</v>
          </cell>
        </row>
        <row r="296">
          <cell r="A296" t="str">
            <v>8542</v>
          </cell>
          <cell r="B296" t="str">
            <v>Noble Grapefruit 6/32oz</v>
          </cell>
          <cell r="C296">
            <v>0</v>
          </cell>
          <cell r="D296">
            <v>1.5</v>
          </cell>
          <cell r="E296">
            <v>0</v>
          </cell>
          <cell r="J296">
            <v>0</v>
          </cell>
          <cell r="K296">
            <v>0</v>
          </cell>
        </row>
        <row r="297">
          <cell r="A297" t="str">
            <v>8554</v>
          </cell>
          <cell r="B297" t="str">
            <v>Rykofff Sexton 100% Red Grapefruit Juice 6pk HGln</v>
          </cell>
          <cell r="C297">
            <v>63</v>
          </cell>
          <cell r="D297">
            <v>3</v>
          </cell>
          <cell r="E297">
            <v>189</v>
          </cell>
          <cell r="J297">
            <v>-24</v>
          </cell>
          <cell r="K297">
            <v>-72</v>
          </cell>
        </row>
        <row r="298">
          <cell r="A298" t="str">
            <v>8555</v>
          </cell>
          <cell r="B298" t="str">
            <v>Indian River Red Gft Juice 6pk HGln</v>
          </cell>
          <cell r="C298">
            <v>0</v>
          </cell>
          <cell r="D298">
            <v>3</v>
          </cell>
          <cell r="E298">
            <v>0</v>
          </cell>
          <cell r="J298">
            <v>0</v>
          </cell>
          <cell r="K298">
            <v>0</v>
          </cell>
        </row>
        <row r="299">
          <cell r="A299" t="str">
            <v>8564</v>
          </cell>
          <cell r="B299" t="str">
            <v>Sir Real Gft Juice HGln 6pk</v>
          </cell>
          <cell r="C299">
            <v>0</v>
          </cell>
          <cell r="D299">
            <v>3</v>
          </cell>
          <cell r="E299">
            <v>0</v>
          </cell>
          <cell r="J299">
            <v>0</v>
          </cell>
          <cell r="K299">
            <v>0</v>
          </cell>
        </row>
        <row r="300">
          <cell r="A300" t="str">
            <v>8592</v>
          </cell>
          <cell r="B300" t="str">
            <v>SYSCO Gft Juice HGln 6pk</v>
          </cell>
          <cell r="C300">
            <v>0</v>
          </cell>
          <cell r="D300">
            <v>3</v>
          </cell>
          <cell r="E300">
            <v>0</v>
          </cell>
          <cell r="J300">
            <v>0</v>
          </cell>
          <cell r="K300">
            <v>0</v>
          </cell>
        </row>
        <row r="301">
          <cell r="A301" t="str">
            <v>8901</v>
          </cell>
          <cell r="B301" t="str">
            <v>SOI Organic Grapefruit Drums</v>
          </cell>
          <cell r="C301">
            <v>0</v>
          </cell>
          <cell r="D301">
            <v>48</v>
          </cell>
          <cell r="E301">
            <v>0</v>
          </cell>
          <cell r="J301">
            <v>0</v>
          </cell>
          <cell r="K301">
            <v>0</v>
          </cell>
        </row>
        <row r="302">
          <cell r="A302" t="str">
            <v>8950</v>
          </cell>
          <cell r="B302" t="str">
            <v>SOI Grapefruit Drums</v>
          </cell>
          <cell r="C302">
            <v>0</v>
          </cell>
          <cell r="D302">
            <v>48</v>
          </cell>
          <cell r="E302">
            <v>0</v>
          </cell>
          <cell r="J302">
            <v>0</v>
          </cell>
          <cell r="K302">
            <v>0</v>
          </cell>
        </row>
        <row r="303">
          <cell r="A303" t="str">
            <v>9001</v>
          </cell>
          <cell r="B303" t="str">
            <v>Legal Seafood LA Gln 4pk</v>
          </cell>
          <cell r="C303">
            <v>0</v>
          </cell>
          <cell r="D303">
            <v>4</v>
          </cell>
          <cell r="E303">
            <v>0</v>
          </cell>
          <cell r="G303">
            <v>0</v>
          </cell>
          <cell r="J303">
            <v>0</v>
          </cell>
          <cell r="K303">
            <v>0</v>
          </cell>
        </row>
        <row r="304">
          <cell r="A304" t="str">
            <v>9002</v>
          </cell>
          <cell r="B304" t="str">
            <v>SOI LA Gln 4pk</v>
          </cell>
          <cell r="C304">
            <v>400</v>
          </cell>
          <cell r="D304">
            <v>4</v>
          </cell>
          <cell r="E304">
            <v>1600</v>
          </cell>
          <cell r="G304">
            <v>256</v>
          </cell>
          <cell r="J304">
            <v>109</v>
          </cell>
          <cell r="K304">
            <v>436</v>
          </cell>
        </row>
        <row r="305">
          <cell r="A305" t="str">
            <v>9006</v>
          </cell>
          <cell r="B305" t="str">
            <v>Markon LA Gln 4pk</v>
          </cell>
          <cell r="C305">
            <v>509</v>
          </cell>
          <cell r="D305">
            <v>4</v>
          </cell>
          <cell r="E305">
            <v>2036</v>
          </cell>
          <cell r="G305">
            <v>325.76</v>
          </cell>
          <cell r="J305">
            <v>-121</v>
          </cell>
          <cell r="K305">
            <v>-484</v>
          </cell>
        </row>
        <row r="306">
          <cell r="A306" t="str">
            <v>9014</v>
          </cell>
          <cell r="B306" t="str">
            <v>Sir Real LA 24pk 12oz</v>
          </cell>
          <cell r="C306">
            <v>0</v>
          </cell>
          <cell r="D306">
            <v>2.25</v>
          </cell>
          <cell r="E306">
            <v>0</v>
          </cell>
          <cell r="G306">
            <v>0</v>
          </cell>
          <cell r="J306">
            <v>0</v>
          </cell>
          <cell r="K306">
            <v>0</v>
          </cell>
        </row>
        <row r="307">
          <cell r="A307" t="str">
            <v>9015</v>
          </cell>
          <cell r="B307" t="str">
            <v>SOI LA HGln 6k</v>
          </cell>
          <cell r="C307">
            <v>0</v>
          </cell>
          <cell r="D307">
            <v>3</v>
          </cell>
          <cell r="E307">
            <v>0</v>
          </cell>
          <cell r="G307">
            <v>0</v>
          </cell>
          <cell r="J307">
            <v>0</v>
          </cell>
          <cell r="K307">
            <v>0</v>
          </cell>
        </row>
        <row r="308">
          <cell r="A308" t="str">
            <v>9016</v>
          </cell>
          <cell r="B308" t="str">
            <v>SOI LA 32oz 6pk RTS</v>
          </cell>
          <cell r="C308">
            <v>0</v>
          </cell>
          <cell r="D308">
            <v>1.5</v>
          </cell>
          <cell r="E308">
            <v>0</v>
          </cell>
          <cell r="G308">
            <v>0</v>
          </cell>
          <cell r="J308">
            <v>0</v>
          </cell>
          <cell r="K308">
            <v>0</v>
          </cell>
        </row>
        <row r="309">
          <cell r="A309" t="str">
            <v>9019</v>
          </cell>
          <cell r="B309" t="str">
            <v>SOI LA Pint 12pk</v>
          </cell>
          <cell r="C309">
            <v>0</v>
          </cell>
          <cell r="D309">
            <v>1.5</v>
          </cell>
          <cell r="E309">
            <v>0</v>
          </cell>
          <cell r="G309">
            <v>0</v>
          </cell>
          <cell r="J309">
            <v>0</v>
          </cell>
          <cell r="K309">
            <v>0</v>
          </cell>
        </row>
        <row r="310">
          <cell r="A310" t="str">
            <v>9037</v>
          </cell>
          <cell r="B310" t="str">
            <v>Panera LAPint 12pk</v>
          </cell>
          <cell r="C310">
            <v>0</v>
          </cell>
          <cell r="D310">
            <v>1.5</v>
          </cell>
          <cell r="E310">
            <v>0</v>
          </cell>
          <cell r="G310">
            <v>0</v>
          </cell>
          <cell r="J310">
            <v>0</v>
          </cell>
          <cell r="K310">
            <v>0</v>
          </cell>
        </row>
        <row r="311">
          <cell r="A311" t="str">
            <v>9035</v>
          </cell>
          <cell r="B311" t="str">
            <v>Panera LA Pint 25pk</v>
          </cell>
          <cell r="C311">
            <v>0</v>
          </cell>
          <cell r="D311">
            <v>3.125</v>
          </cell>
          <cell r="E311">
            <v>0</v>
          </cell>
          <cell r="G311">
            <v>0</v>
          </cell>
          <cell r="J311">
            <v>0</v>
          </cell>
          <cell r="K311">
            <v>0</v>
          </cell>
        </row>
        <row r="312">
          <cell r="A312" t="str">
            <v>9031</v>
          </cell>
          <cell r="B312" t="str">
            <v>SOI LA 12oz 24pk</v>
          </cell>
          <cell r="C312">
            <v>0</v>
          </cell>
          <cell r="D312">
            <v>2.25</v>
          </cell>
          <cell r="E312">
            <v>0</v>
          </cell>
          <cell r="G312">
            <v>0</v>
          </cell>
          <cell r="J312">
            <v>0</v>
          </cell>
          <cell r="K312">
            <v>0</v>
          </cell>
        </row>
        <row r="313">
          <cell r="A313" t="str">
            <v>9038</v>
          </cell>
          <cell r="B313" t="str">
            <v>Panera Agave LA Pint 12pk</v>
          </cell>
          <cell r="C313">
            <v>0</v>
          </cell>
          <cell r="D313">
            <v>1.125</v>
          </cell>
          <cell r="E313">
            <v>0</v>
          </cell>
          <cell r="G313">
            <v>0</v>
          </cell>
          <cell r="J313">
            <v>0</v>
          </cell>
          <cell r="K313">
            <v>0</v>
          </cell>
        </row>
        <row r="314">
          <cell r="A314" t="str">
            <v>9050</v>
          </cell>
          <cell r="B314" t="str">
            <v>Noble ZING Lemonade 8/12oz</v>
          </cell>
          <cell r="C314">
            <v>0</v>
          </cell>
          <cell r="D314">
            <v>0.75</v>
          </cell>
          <cell r="E314">
            <v>0</v>
          </cell>
          <cell r="J314">
            <v>0</v>
          </cell>
          <cell r="K314">
            <v>0</v>
          </cell>
        </row>
        <row r="315">
          <cell r="A315" t="str">
            <v>9051</v>
          </cell>
          <cell r="B315" t="str">
            <v>Seminole Lemonade 8/12oz</v>
          </cell>
          <cell r="C315">
            <v>0</v>
          </cell>
          <cell r="D315">
            <v>0.75</v>
          </cell>
          <cell r="E315">
            <v>0</v>
          </cell>
          <cell r="J315">
            <v>0</v>
          </cell>
          <cell r="K315">
            <v>0</v>
          </cell>
        </row>
        <row r="316">
          <cell r="A316" t="str">
            <v>9064</v>
          </cell>
          <cell r="B316" t="str">
            <v>Sir Real LA HGln 6pk</v>
          </cell>
          <cell r="C316">
            <v>0</v>
          </cell>
          <cell r="D316">
            <v>3</v>
          </cell>
          <cell r="E316">
            <v>0</v>
          </cell>
          <cell r="G316">
            <v>0</v>
          </cell>
          <cell r="J316">
            <v>0</v>
          </cell>
          <cell r="K316">
            <v>0</v>
          </cell>
        </row>
        <row r="317">
          <cell r="A317" t="str">
            <v>9091</v>
          </cell>
          <cell r="B317" t="str">
            <v>SYSCO LA Gln 4pk</v>
          </cell>
          <cell r="C317">
            <v>1755</v>
          </cell>
          <cell r="D317">
            <v>4</v>
          </cell>
          <cell r="E317">
            <v>7020</v>
          </cell>
          <cell r="G317">
            <v>1123.2</v>
          </cell>
          <cell r="J317">
            <v>812</v>
          </cell>
          <cell r="K317">
            <v>3248</v>
          </cell>
        </row>
        <row r="318">
          <cell r="A318" t="str">
            <v>9105</v>
          </cell>
          <cell r="B318" t="str">
            <v>Captaian D's 4+1 LA FZN 6pk Hgln</v>
          </cell>
          <cell r="C318">
            <v>0</v>
          </cell>
          <cell r="D318">
            <v>4</v>
          </cell>
          <cell r="E318">
            <v>0</v>
          </cell>
          <cell r="F318">
            <v>0</v>
          </cell>
          <cell r="G318">
            <v>0</v>
          </cell>
          <cell r="J318">
            <v>0</v>
          </cell>
          <cell r="K318">
            <v>0</v>
          </cell>
        </row>
        <row r="319">
          <cell r="A319" t="str">
            <v>9112</v>
          </cell>
          <cell r="B319" t="str">
            <v>Sweet and Sour Lemon 6pk Hgln</v>
          </cell>
          <cell r="C319">
            <v>0</v>
          </cell>
          <cell r="D319">
            <v>3</v>
          </cell>
          <cell r="E319">
            <v>0</v>
          </cell>
          <cell r="G319">
            <v>0</v>
          </cell>
          <cell r="J319">
            <v>0</v>
          </cell>
          <cell r="K319">
            <v>0</v>
          </cell>
        </row>
        <row r="320">
          <cell r="A320" t="str">
            <v>9115</v>
          </cell>
          <cell r="B320" t="str">
            <v>Captain D's 4+1 No Pulp LA FZN 6pk Hgln</v>
          </cell>
          <cell r="C320">
            <v>0</v>
          </cell>
          <cell r="D320">
            <v>3</v>
          </cell>
          <cell r="E320">
            <v>0</v>
          </cell>
          <cell r="F320">
            <v>0</v>
          </cell>
          <cell r="G320">
            <v>0</v>
          </cell>
          <cell r="J320">
            <v>0</v>
          </cell>
          <cell r="K320">
            <v>0</v>
          </cell>
        </row>
        <row r="321">
          <cell r="A321" t="str">
            <v>9124</v>
          </cell>
          <cell r="B321" t="str">
            <v>Charleys LA Cond 4+1 Gln 4pk</v>
          </cell>
          <cell r="C321">
            <v>0</v>
          </cell>
          <cell r="D321">
            <v>4</v>
          </cell>
          <cell r="E321">
            <v>0</v>
          </cell>
          <cell r="G321">
            <v>0</v>
          </cell>
          <cell r="J321">
            <v>0</v>
          </cell>
          <cell r="K321">
            <v>0</v>
          </cell>
        </row>
        <row r="322">
          <cell r="A322" t="str">
            <v>9121</v>
          </cell>
          <cell r="B322" t="str">
            <v>Charleys LA Cond 4+1 Gln 4pk</v>
          </cell>
          <cell r="C322">
            <v>0</v>
          </cell>
          <cell r="D322">
            <v>4</v>
          </cell>
          <cell r="E322">
            <v>0</v>
          </cell>
          <cell r="G322">
            <v>0</v>
          </cell>
          <cell r="J322">
            <v>0</v>
          </cell>
          <cell r="K322">
            <v>0</v>
          </cell>
        </row>
        <row r="323">
          <cell r="A323" t="str">
            <v>9123</v>
          </cell>
          <cell r="B323" t="str">
            <v>Charleys FZN La Cond 4+1 Gln 4pk</v>
          </cell>
          <cell r="C323">
            <v>9339</v>
          </cell>
          <cell r="D323">
            <v>4</v>
          </cell>
          <cell r="E323">
            <v>37356</v>
          </cell>
          <cell r="F323">
            <v>37356</v>
          </cell>
          <cell r="G323">
            <v>26149.199999999997</v>
          </cell>
          <cell r="J323">
            <v>3674</v>
          </cell>
          <cell r="K323">
            <v>14696</v>
          </cell>
        </row>
        <row r="324">
          <cell r="A324" t="str">
            <v>9131</v>
          </cell>
          <cell r="B324" t="str">
            <v>Old Fashioned Lemonade Mix</v>
          </cell>
          <cell r="C324">
            <v>1976</v>
          </cell>
          <cell r="D324">
            <v>3</v>
          </cell>
          <cell r="E324">
            <v>5928</v>
          </cell>
          <cell r="F324">
            <v>5928</v>
          </cell>
          <cell r="G324">
            <v>1185.6000000000001</v>
          </cell>
          <cell r="J324">
            <v>1150</v>
          </cell>
          <cell r="K324">
            <v>3450</v>
          </cell>
        </row>
        <row r="325">
          <cell r="A325" t="str">
            <v>9132</v>
          </cell>
          <cell r="B325" t="str">
            <v>FAT Brands LA Cond 4+1 Fzn Gln 4pk</v>
          </cell>
          <cell r="C325">
            <v>0</v>
          </cell>
          <cell r="D325">
            <v>4</v>
          </cell>
          <cell r="E325">
            <v>0</v>
          </cell>
          <cell r="F325">
            <v>0</v>
          </cell>
          <cell r="G325">
            <v>0</v>
          </cell>
          <cell r="J325">
            <v>0</v>
          </cell>
          <cell r="K325">
            <v>0</v>
          </cell>
        </row>
        <row r="326">
          <cell r="A326" t="str">
            <v>9133F</v>
          </cell>
          <cell r="B326" t="str">
            <v>Fatburger LA Cond 4+1 Fzn Gln 4pk</v>
          </cell>
          <cell r="C326">
            <v>0</v>
          </cell>
          <cell r="D326">
            <v>4</v>
          </cell>
          <cell r="E326">
            <v>0</v>
          </cell>
          <cell r="F326">
            <v>0</v>
          </cell>
          <cell r="G326">
            <v>0</v>
          </cell>
          <cell r="J326">
            <v>0</v>
          </cell>
          <cell r="K326">
            <v>0</v>
          </cell>
        </row>
        <row r="327">
          <cell r="A327" t="str">
            <v>9134</v>
          </cell>
          <cell r="B327" t="str">
            <v>SOI LA Cond 6+1 Fzn HGln 6pk</v>
          </cell>
          <cell r="C327">
            <v>0</v>
          </cell>
          <cell r="D327">
            <v>3</v>
          </cell>
          <cell r="E327">
            <v>0</v>
          </cell>
          <cell r="F327">
            <v>0</v>
          </cell>
          <cell r="G327">
            <v>0</v>
          </cell>
          <cell r="J327">
            <v>0</v>
          </cell>
          <cell r="K327">
            <v>0</v>
          </cell>
        </row>
        <row r="328">
          <cell r="A328" t="str">
            <v>9142</v>
          </cell>
          <cell r="B328" t="str">
            <v>Panera LA Cond 5+1 Fzn HGln 6pk</v>
          </cell>
          <cell r="C328">
            <v>0</v>
          </cell>
          <cell r="D328">
            <v>3</v>
          </cell>
          <cell r="E328">
            <v>0</v>
          </cell>
          <cell r="F328">
            <v>0</v>
          </cell>
          <cell r="G328">
            <v>0</v>
          </cell>
          <cell r="J328">
            <v>0</v>
          </cell>
          <cell r="K328">
            <v>0</v>
          </cell>
        </row>
        <row r="329">
          <cell r="A329" t="str">
            <v>9143</v>
          </cell>
          <cell r="B329" t="str">
            <v>Panera 4+1 Agave Lemonade FZN 61.5 oz</v>
          </cell>
          <cell r="C329">
            <v>0</v>
          </cell>
          <cell r="D329">
            <v>3</v>
          </cell>
          <cell r="E329">
            <v>0</v>
          </cell>
          <cell r="F329">
            <v>0</v>
          </cell>
          <cell r="G329">
            <v>0</v>
          </cell>
          <cell r="J329">
            <v>0</v>
          </cell>
          <cell r="K329">
            <v>0</v>
          </cell>
        </row>
        <row r="330">
          <cell r="A330" t="str">
            <v>9144</v>
          </cell>
          <cell r="B330" t="str">
            <v>Panera 5+1 Agave Lemonade FZN 64 oz</v>
          </cell>
          <cell r="C330">
            <v>0</v>
          </cell>
          <cell r="D330">
            <v>3.25</v>
          </cell>
          <cell r="E330">
            <v>0</v>
          </cell>
          <cell r="F330">
            <v>0</v>
          </cell>
          <cell r="J330">
            <v>0</v>
          </cell>
          <cell r="K330">
            <v>0</v>
          </cell>
        </row>
        <row r="331">
          <cell r="A331" t="str">
            <v>9145</v>
          </cell>
          <cell r="B331" t="str">
            <v>Panera 3+1 Blood Orange Carrot LA FZN 61.5 oz</v>
          </cell>
          <cell r="C331">
            <v>0</v>
          </cell>
          <cell r="D331">
            <v>3</v>
          </cell>
          <cell r="E331">
            <v>0</v>
          </cell>
          <cell r="F331">
            <v>0</v>
          </cell>
          <cell r="J331">
            <v>0</v>
          </cell>
          <cell r="K331">
            <v>0</v>
          </cell>
        </row>
        <row r="332">
          <cell r="A332" t="str">
            <v>9146</v>
          </cell>
          <cell r="B332" t="str">
            <v>SOI LA Cond 6+1 Fzn HGln 6pk</v>
          </cell>
          <cell r="C332">
            <v>0</v>
          </cell>
          <cell r="D332">
            <v>3</v>
          </cell>
          <cell r="E332">
            <v>0</v>
          </cell>
          <cell r="F332">
            <v>0</v>
          </cell>
          <cell r="G332">
            <v>0</v>
          </cell>
          <cell r="J332">
            <v>0</v>
          </cell>
          <cell r="K332">
            <v>0</v>
          </cell>
        </row>
        <row r="333">
          <cell r="A333" t="str">
            <v>9150</v>
          </cell>
          <cell r="B333" t="str">
            <v>J&amp;J LA Cond 4+1 Fzn HGln 6pk</v>
          </cell>
          <cell r="C333">
            <v>0</v>
          </cell>
          <cell r="D333">
            <v>3</v>
          </cell>
          <cell r="E333">
            <v>0</v>
          </cell>
          <cell r="F333">
            <v>0</v>
          </cell>
          <cell r="G333">
            <v>0</v>
          </cell>
          <cell r="J333">
            <v>0</v>
          </cell>
          <cell r="K333">
            <v>0</v>
          </cell>
        </row>
        <row r="334">
          <cell r="A334" t="str">
            <v>9163</v>
          </cell>
          <cell r="B334" t="str">
            <v>Panera 5+1 Agave Lemonade FZN 64 oz 6pk V3</v>
          </cell>
          <cell r="C334">
            <v>0</v>
          </cell>
          <cell r="D334">
            <v>3</v>
          </cell>
          <cell r="E334">
            <v>0</v>
          </cell>
          <cell r="F334">
            <v>0</v>
          </cell>
          <cell r="G334">
            <v>0</v>
          </cell>
          <cell r="J334">
            <v>0</v>
          </cell>
          <cell r="K334">
            <v>0</v>
          </cell>
        </row>
        <row r="335">
          <cell r="A335" t="str">
            <v>9164</v>
          </cell>
          <cell r="B335" t="str">
            <v>Panera 5+1 Agave Lemonade FZN 64 oz 6pk</v>
          </cell>
          <cell r="C335">
            <v>0</v>
          </cell>
          <cell r="D335">
            <v>3</v>
          </cell>
          <cell r="E335">
            <v>0</v>
          </cell>
          <cell r="F335">
            <v>0</v>
          </cell>
          <cell r="G335">
            <v>0</v>
          </cell>
          <cell r="J335">
            <v>0</v>
          </cell>
          <cell r="K335">
            <v>0</v>
          </cell>
        </row>
        <row r="336">
          <cell r="A336" t="str">
            <v>9165</v>
          </cell>
          <cell r="B336" t="str">
            <v>Panera 3+1 Blood Orange Carrot LA FZN 61.5 oz 6pk</v>
          </cell>
          <cell r="C336">
            <v>0</v>
          </cell>
          <cell r="D336">
            <v>2.88</v>
          </cell>
          <cell r="E336">
            <v>0</v>
          </cell>
          <cell r="F336">
            <v>0</v>
          </cell>
          <cell r="G336">
            <v>0</v>
          </cell>
          <cell r="J336">
            <v>0</v>
          </cell>
          <cell r="K336">
            <v>0</v>
          </cell>
        </row>
        <row r="337">
          <cell r="A337" t="str">
            <v>9166</v>
          </cell>
          <cell r="B337" t="str">
            <v>Panera 5+1 Agave Lemonade with Concentrate FZN 64 oz 6pk</v>
          </cell>
          <cell r="C337">
            <v>5086</v>
          </cell>
          <cell r="D337">
            <v>3</v>
          </cell>
          <cell r="E337">
            <v>15258</v>
          </cell>
          <cell r="F337">
            <v>15258</v>
          </cell>
          <cell r="G337">
            <v>10680.599999999999</v>
          </cell>
          <cell r="J337">
            <v>-1127</v>
          </cell>
          <cell r="K337">
            <v>-3381</v>
          </cell>
        </row>
        <row r="338">
          <cell r="A338" t="str">
            <v>9168</v>
          </cell>
          <cell r="B338" t="str">
            <v>Panera RTD Blood Orange Carrot LA Pint 12pk</v>
          </cell>
          <cell r="C338">
            <v>0</v>
          </cell>
          <cell r="D338">
            <v>1.125</v>
          </cell>
          <cell r="E338">
            <v>0</v>
          </cell>
          <cell r="F338">
            <v>0</v>
          </cell>
          <cell r="G338">
            <v>0</v>
          </cell>
          <cell r="J338">
            <v>0</v>
          </cell>
          <cell r="K338">
            <v>0</v>
          </cell>
        </row>
        <row r="339">
          <cell r="A339" t="str">
            <v>9170</v>
          </cell>
          <cell r="B339" t="str">
            <v>SOI 3+1 Mint LA Fzn 6pk HGln</v>
          </cell>
          <cell r="C339">
            <v>0</v>
          </cell>
          <cell r="D339">
            <v>1</v>
          </cell>
          <cell r="E339">
            <v>0</v>
          </cell>
          <cell r="F339">
            <v>0</v>
          </cell>
          <cell r="G339">
            <v>0</v>
          </cell>
          <cell r="J339">
            <v>0</v>
          </cell>
          <cell r="K339">
            <v>0</v>
          </cell>
        </row>
        <row r="340">
          <cell r="A340" t="str">
            <v>9710</v>
          </cell>
          <cell r="B340" t="str">
            <v>SOI LA 2+1 4pk Gln</v>
          </cell>
          <cell r="C340">
            <v>0</v>
          </cell>
          <cell r="D340">
            <v>4</v>
          </cell>
          <cell r="E340">
            <v>0</v>
          </cell>
          <cell r="F340">
            <v>0</v>
          </cell>
          <cell r="G340">
            <v>0</v>
          </cell>
          <cell r="J340">
            <v>0</v>
          </cell>
          <cell r="K340">
            <v>0</v>
          </cell>
        </row>
        <row r="341">
          <cell r="A341" t="str">
            <v>9225</v>
          </cell>
          <cell r="B341" t="str">
            <v>Jamba LA 1+1 Fzn HGln 9pk</v>
          </cell>
          <cell r="C341">
            <v>0</v>
          </cell>
          <cell r="D341">
            <v>4.3239999999999998</v>
          </cell>
          <cell r="E341">
            <v>0</v>
          </cell>
          <cell r="F341">
            <v>0</v>
          </cell>
          <cell r="G341">
            <v>0</v>
          </cell>
          <cell r="J341">
            <v>0</v>
          </cell>
          <cell r="K341">
            <v>0</v>
          </cell>
        </row>
        <row r="342">
          <cell r="A342" t="str">
            <v>9226</v>
          </cell>
          <cell r="B342" t="str">
            <v>Jamba LA 2.5+1 FZN HGln 9pk</v>
          </cell>
          <cell r="C342">
            <v>0</v>
          </cell>
          <cell r="D342">
            <v>4.3239999999999998</v>
          </cell>
          <cell r="E342">
            <v>0</v>
          </cell>
          <cell r="F342">
            <v>0</v>
          </cell>
          <cell r="G342">
            <v>0</v>
          </cell>
          <cell r="J342">
            <v>0</v>
          </cell>
          <cell r="K342">
            <v>0</v>
          </cell>
        </row>
        <row r="343">
          <cell r="A343" t="str">
            <v>9334</v>
          </cell>
          <cell r="B343" t="str">
            <v>Rykoff Sexton Prickly Pear Lemonade 64 oz 6 pk</v>
          </cell>
          <cell r="C343">
            <v>0</v>
          </cell>
          <cell r="D343">
            <v>4.3239999999999998</v>
          </cell>
          <cell r="E343">
            <v>0</v>
          </cell>
          <cell r="J343">
            <v>0</v>
          </cell>
          <cell r="K343">
            <v>0</v>
          </cell>
        </row>
        <row r="344">
          <cell r="A344" t="str">
            <v>9516</v>
          </cell>
          <cell r="B344" t="str">
            <v>SOI LA Strw 32oz 6pk RTS</v>
          </cell>
          <cell r="C344">
            <v>0</v>
          </cell>
          <cell r="D344">
            <v>1.5</v>
          </cell>
          <cell r="E344">
            <v>0</v>
          </cell>
          <cell r="J344">
            <v>0</v>
          </cell>
          <cell r="K344">
            <v>0</v>
          </cell>
        </row>
        <row r="345">
          <cell r="A345" t="str">
            <v>9834</v>
          </cell>
          <cell r="B345" t="str">
            <v>Diet LA 2+1 6pk Hgln FZN</v>
          </cell>
          <cell r="C345">
            <v>0</v>
          </cell>
          <cell r="D345">
            <v>3</v>
          </cell>
          <cell r="E345">
            <v>0</v>
          </cell>
          <cell r="F345">
            <v>0</v>
          </cell>
          <cell r="G345">
            <v>0</v>
          </cell>
          <cell r="J345">
            <v>0</v>
          </cell>
          <cell r="K345">
            <v>0</v>
          </cell>
        </row>
        <row r="346">
          <cell r="A346" t="str">
            <v>9564</v>
          </cell>
          <cell r="B346" t="str">
            <v>Seminole LA Pint 25pk</v>
          </cell>
          <cell r="C346">
            <v>0</v>
          </cell>
          <cell r="D346">
            <v>3</v>
          </cell>
          <cell r="E346">
            <v>0</v>
          </cell>
          <cell r="F346">
            <v>0</v>
          </cell>
          <cell r="G346">
            <v>0</v>
          </cell>
          <cell r="J346">
            <v>0</v>
          </cell>
          <cell r="K346">
            <v>0</v>
          </cell>
        </row>
        <row r="347">
          <cell r="A347" t="str">
            <v>9314</v>
          </cell>
          <cell r="B347" t="str">
            <v>Meyer LA 6pk Hgln</v>
          </cell>
          <cell r="C347">
            <v>1261</v>
          </cell>
          <cell r="D347">
            <v>3</v>
          </cell>
          <cell r="E347">
            <v>0</v>
          </cell>
          <cell r="F347">
            <v>0</v>
          </cell>
          <cell r="G347">
            <v>0</v>
          </cell>
          <cell r="J347">
            <v>63</v>
          </cell>
          <cell r="K347">
            <v>189</v>
          </cell>
        </row>
        <row r="348">
          <cell r="A348" t="str">
            <v>9315</v>
          </cell>
          <cell r="B348" t="str">
            <v>OSSI LA Cond 4+1 Fzn HGln 6pk</v>
          </cell>
          <cell r="C348">
            <v>0</v>
          </cell>
          <cell r="D348">
            <v>2.88</v>
          </cell>
          <cell r="E348">
            <v>0</v>
          </cell>
          <cell r="F348">
            <v>0</v>
          </cell>
          <cell r="G348">
            <v>0</v>
          </cell>
          <cell r="J348">
            <v>0</v>
          </cell>
          <cell r="K348">
            <v>0</v>
          </cell>
        </row>
        <row r="349">
          <cell r="A349" t="str">
            <v>9324</v>
          </cell>
          <cell r="B349" t="str">
            <v>Meyer Strw LA 6pk Hgln</v>
          </cell>
          <cell r="C349">
            <v>0</v>
          </cell>
          <cell r="D349">
            <v>3</v>
          </cell>
          <cell r="E349">
            <v>0</v>
          </cell>
          <cell r="F349">
            <v>0</v>
          </cell>
          <cell r="G349">
            <v>0</v>
          </cell>
          <cell r="J349">
            <v>0</v>
          </cell>
          <cell r="K349">
            <v>0</v>
          </cell>
        </row>
        <row r="350">
          <cell r="A350" t="str">
            <v>9515</v>
          </cell>
          <cell r="B350" t="str">
            <v>SOI LA Strw HGln 6pk</v>
          </cell>
          <cell r="C350">
            <v>0</v>
          </cell>
          <cell r="D350">
            <v>3</v>
          </cell>
          <cell r="E350">
            <v>0</v>
          </cell>
          <cell r="F350">
            <v>0</v>
          </cell>
          <cell r="G350">
            <v>0</v>
          </cell>
          <cell r="J350">
            <v>0</v>
          </cell>
          <cell r="K350">
            <v>0</v>
          </cell>
        </row>
        <row r="351">
          <cell r="A351" t="str">
            <v>9517</v>
          </cell>
          <cell r="B351" t="str">
            <v>Panera Stw La Mix RTU HGln 6pk</v>
          </cell>
          <cell r="C351">
            <v>0</v>
          </cell>
          <cell r="D351">
            <v>3</v>
          </cell>
          <cell r="E351">
            <v>0</v>
          </cell>
          <cell r="F351">
            <v>0</v>
          </cell>
          <cell r="G351">
            <v>0</v>
          </cell>
          <cell r="J351">
            <v>0</v>
          </cell>
          <cell r="K351">
            <v>0</v>
          </cell>
        </row>
        <row r="352">
          <cell r="A352" t="str">
            <v>9670</v>
          </cell>
          <cell r="B352" t="str">
            <v>SO 4+1 Mint LA FZN 6pk Hgln</v>
          </cell>
          <cell r="C352">
            <v>0</v>
          </cell>
          <cell r="D352">
            <v>3</v>
          </cell>
          <cell r="E352">
            <v>0</v>
          </cell>
          <cell r="F352">
            <v>0</v>
          </cell>
          <cell r="G352">
            <v>0</v>
          </cell>
          <cell r="J352">
            <v>0</v>
          </cell>
          <cell r="K352">
            <v>0</v>
          </cell>
        </row>
        <row r="353">
          <cell r="A353" t="str">
            <v>9822</v>
          </cell>
          <cell r="B353" t="str">
            <v>SOI LA 3+1 Fzn HGln 6pk</v>
          </cell>
          <cell r="C353">
            <v>0</v>
          </cell>
          <cell r="D353">
            <v>3</v>
          </cell>
          <cell r="E353">
            <v>0</v>
          </cell>
          <cell r="F353">
            <v>0</v>
          </cell>
          <cell r="G353">
            <v>0</v>
          </cell>
          <cell r="J353">
            <v>0</v>
          </cell>
          <cell r="K353">
            <v>0</v>
          </cell>
        </row>
        <row r="354">
          <cell r="A354" t="str">
            <v>9823</v>
          </cell>
          <cell r="B354" t="str">
            <v>Wendy's LA 3+1 Fzn HGln 6pk</v>
          </cell>
          <cell r="C354">
            <v>1181</v>
          </cell>
          <cell r="D354">
            <v>3</v>
          </cell>
          <cell r="E354">
            <v>3543</v>
          </cell>
          <cell r="F354">
            <v>3543</v>
          </cell>
          <cell r="G354">
            <v>1806.93</v>
          </cell>
          <cell r="J354">
            <v>-480</v>
          </cell>
          <cell r="K354">
            <v>-1440</v>
          </cell>
        </row>
        <row r="355">
          <cell r="A355" t="str">
            <v>9824</v>
          </cell>
          <cell r="B355" t="str">
            <v>LA 2+1 6pk Hgln FZN</v>
          </cell>
          <cell r="C355">
            <v>0</v>
          </cell>
          <cell r="D355">
            <v>3</v>
          </cell>
          <cell r="E355">
            <v>0</v>
          </cell>
          <cell r="F355">
            <v>0</v>
          </cell>
          <cell r="G355">
            <v>0</v>
          </cell>
          <cell r="J355">
            <v>0</v>
          </cell>
          <cell r="K355">
            <v>0</v>
          </cell>
        </row>
        <row r="356">
          <cell r="A356" t="str">
            <v>9454</v>
          </cell>
          <cell r="B356" t="str">
            <v>SOI LA Strw Cond 3+1 Gln 4pk</v>
          </cell>
          <cell r="C356">
            <v>0</v>
          </cell>
          <cell r="D356">
            <v>3</v>
          </cell>
          <cell r="E356">
            <v>0</v>
          </cell>
          <cell r="F356">
            <v>0</v>
          </cell>
          <cell r="G356">
            <v>0</v>
          </cell>
          <cell r="J356">
            <v>0</v>
          </cell>
          <cell r="K356">
            <v>0</v>
          </cell>
        </row>
        <row r="357">
          <cell r="A357" t="str">
            <v>9630</v>
          </cell>
          <cell r="B357" t="str">
            <v>All Natural Lemon Sour 12pk qt</v>
          </cell>
          <cell r="C357">
            <v>2549</v>
          </cell>
          <cell r="D357">
            <v>3</v>
          </cell>
          <cell r="E357">
            <v>7647</v>
          </cell>
          <cell r="F357">
            <v>7647</v>
          </cell>
          <cell r="G357">
            <v>3899.9700000000003</v>
          </cell>
          <cell r="J357">
            <v>1339</v>
          </cell>
          <cell r="K357">
            <v>4017</v>
          </cell>
        </row>
        <row r="358">
          <cell r="A358" t="str">
            <v>9660</v>
          </cell>
          <cell r="B358" t="str">
            <v>SOI LA Cond 3+1 Fzn HGln 6pk</v>
          </cell>
          <cell r="C358">
            <v>2101</v>
          </cell>
          <cell r="D358">
            <v>3</v>
          </cell>
          <cell r="E358">
            <v>6303</v>
          </cell>
          <cell r="F358">
            <v>6303</v>
          </cell>
          <cell r="G358">
            <v>3214.53</v>
          </cell>
          <cell r="J358">
            <v>910</v>
          </cell>
          <cell r="K358">
            <v>2730</v>
          </cell>
        </row>
        <row r="359">
          <cell r="A359" t="str">
            <v>9662</v>
          </cell>
          <cell r="B359" t="str">
            <v>Mr Hero Lemonade 6pk hgln FZN</v>
          </cell>
          <cell r="C359">
            <v>0</v>
          </cell>
          <cell r="D359">
            <v>3</v>
          </cell>
          <cell r="E359">
            <v>0</v>
          </cell>
          <cell r="F359">
            <v>0</v>
          </cell>
          <cell r="G359">
            <v>0</v>
          </cell>
          <cell r="J359">
            <v>0</v>
          </cell>
          <cell r="K359">
            <v>0</v>
          </cell>
        </row>
        <row r="360">
          <cell r="A360" t="str">
            <v>9664</v>
          </cell>
          <cell r="B360" t="str">
            <v>Homestyle LA Mix FZN HGln 6pk</v>
          </cell>
          <cell r="C360">
            <v>0</v>
          </cell>
          <cell r="D360">
            <v>3</v>
          </cell>
          <cell r="E360">
            <v>0</v>
          </cell>
          <cell r="F360">
            <v>0</v>
          </cell>
          <cell r="G360">
            <v>0</v>
          </cell>
          <cell r="J360">
            <v>0</v>
          </cell>
          <cell r="K360">
            <v>0</v>
          </cell>
        </row>
        <row r="361">
          <cell r="A361" t="str">
            <v>9709</v>
          </cell>
          <cell r="B361" t="str">
            <v>Applebees LA Cond 2+1 Gln 4pk</v>
          </cell>
          <cell r="C361">
            <v>0</v>
          </cell>
          <cell r="D361">
            <v>4</v>
          </cell>
          <cell r="E361">
            <v>0</v>
          </cell>
          <cell r="F361">
            <v>0</v>
          </cell>
          <cell r="G361">
            <v>0</v>
          </cell>
          <cell r="J361">
            <v>0</v>
          </cell>
          <cell r="K361">
            <v>0</v>
          </cell>
        </row>
        <row r="362">
          <cell r="A362">
            <v>9802</v>
          </cell>
          <cell r="B362" t="str">
            <v>Backyard Burger LA 2+1 Cond Fzn Gln 4pk</v>
          </cell>
          <cell r="C362">
            <v>0</v>
          </cell>
          <cell r="D362">
            <v>3.8437999999999999</v>
          </cell>
          <cell r="E362">
            <v>0</v>
          </cell>
          <cell r="F362">
            <v>0</v>
          </cell>
          <cell r="G362">
            <v>0</v>
          </cell>
          <cell r="J362">
            <v>0</v>
          </cell>
          <cell r="K362">
            <v>0</v>
          </cell>
        </row>
        <row r="363">
          <cell r="A363" t="str">
            <v>9814</v>
          </cell>
          <cell r="B363" t="str">
            <v>SOI 3+1 Sweet LA Mix Fzn HGln 9pk</v>
          </cell>
          <cell r="C363">
            <v>6555</v>
          </cell>
          <cell r="D363">
            <v>4.5</v>
          </cell>
          <cell r="E363">
            <v>29497.5</v>
          </cell>
          <cell r="F363">
            <v>29497.5</v>
          </cell>
          <cell r="G363">
            <v>17256.037499999999</v>
          </cell>
          <cell r="J363">
            <v>2591</v>
          </cell>
          <cell r="K363">
            <v>11659.5</v>
          </cell>
        </row>
        <row r="364">
          <cell r="A364" t="str">
            <v>9455</v>
          </cell>
          <cell r="B364" t="str">
            <v>SOI 3+1 Strw LA FZN 9pk HGln 61.5oz</v>
          </cell>
          <cell r="C364">
            <v>0</v>
          </cell>
          <cell r="D364">
            <v>4.5</v>
          </cell>
          <cell r="E364">
            <v>0</v>
          </cell>
          <cell r="F364">
            <v>0</v>
          </cell>
          <cell r="G364">
            <v>0</v>
          </cell>
          <cell r="J364">
            <v>0</v>
          </cell>
          <cell r="K364">
            <v>0</v>
          </cell>
        </row>
        <row r="365">
          <cell r="A365" t="str">
            <v>9456</v>
          </cell>
          <cell r="B365" t="str">
            <v>3+1 Sweet Strw LA FZN 9pk HGln 61.5oz</v>
          </cell>
          <cell r="C365">
            <v>482</v>
          </cell>
          <cell r="D365">
            <v>4.5</v>
          </cell>
          <cell r="E365">
            <v>2169</v>
          </cell>
          <cell r="F365">
            <v>2169</v>
          </cell>
          <cell r="G365">
            <v>1268.865</v>
          </cell>
          <cell r="J365">
            <v>-237</v>
          </cell>
          <cell r="K365">
            <v>-1066.5</v>
          </cell>
        </row>
        <row r="366">
          <cell r="A366" t="str">
            <v>9820</v>
          </cell>
          <cell r="B366" t="str">
            <v>Auntie Annes LA Cond 3+1 Fzn HGln 6pk</v>
          </cell>
          <cell r="C366">
            <v>2995</v>
          </cell>
          <cell r="D366">
            <v>3</v>
          </cell>
          <cell r="E366">
            <v>8985</v>
          </cell>
          <cell r="F366">
            <v>8985</v>
          </cell>
          <cell r="G366">
            <v>5256.2249999999995</v>
          </cell>
          <cell r="J366">
            <v>167</v>
          </cell>
          <cell r="K366">
            <v>501</v>
          </cell>
        </row>
        <row r="367">
          <cell r="A367" t="str">
            <v>9901</v>
          </cell>
          <cell r="B367" t="str">
            <v>ACME Organic Lemonade 8/12oz</v>
          </cell>
          <cell r="C367">
            <v>0</v>
          </cell>
          <cell r="D367">
            <v>0.75</v>
          </cell>
          <cell r="E367">
            <v>0</v>
          </cell>
          <cell r="G367">
            <v>0</v>
          </cell>
          <cell r="J367">
            <v>0</v>
          </cell>
          <cell r="K367">
            <v>0</v>
          </cell>
        </row>
        <row r="368">
          <cell r="A368" t="str">
            <v>9902</v>
          </cell>
          <cell r="B368" t="str">
            <v>Noble Organic Mint Lemonade 8/12oz</v>
          </cell>
          <cell r="C368">
            <v>0</v>
          </cell>
          <cell r="D368">
            <v>0.75</v>
          </cell>
          <cell r="E368">
            <v>0</v>
          </cell>
          <cell r="G368">
            <v>0</v>
          </cell>
          <cell r="J368">
            <v>0</v>
          </cell>
          <cell r="K368">
            <v>0</v>
          </cell>
        </row>
        <row r="369">
          <cell r="A369" t="str">
            <v>9903</v>
          </cell>
          <cell r="B369" t="str">
            <v>Noble Organic Lemonade 8/12oz</v>
          </cell>
          <cell r="C369">
            <v>0</v>
          </cell>
          <cell r="D369">
            <v>0.75</v>
          </cell>
          <cell r="E369">
            <v>0</v>
          </cell>
          <cell r="F369">
            <v>0</v>
          </cell>
          <cell r="G369">
            <v>0</v>
          </cell>
          <cell r="J369">
            <v>0</v>
          </cell>
          <cell r="K369">
            <v>0</v>
          </cell>
        </row>
        <row r="370">
          <cell r="A370" t="str">
            <v>9910</v>
          </cell>
          <cell r="B370" t="str">
            <v>Starbucks Lemonade 2X 50.7oz 6pk</v>
          </cell>
          <cell r="C370">
            <v>38910</v>
          </cell>
          <cell r="D370">
            <v>2.3765625000000004</v>
          </cell>
          <cell r="E370">
            <v>92472.046875000015</v>
          </cell>
          <cell r="F370">
            <v>0</v>
          </cell>
          <cell r="G370">
            <v>54096.147421875008</v>
          </cell>
          <cell r="J370">
            <v>31400</v>
          </cell>
          <cell r="K370">
            <v>74624.062500000015</v>
          </cell>
        </row>
        <row r="372">
          <cell r="E372">
            <v>502822.53596349998</v>
          </cell>
          <cell r="F372">
            <v>228852.98731250002</v>
          </cell>
        </row>
        <row r="373">
          <cell r="E373" t="str">
            <v>IN BOUND FREIGHT</v>
          </cell>
        </row>
        <row r="374">
          <cell r="B374" t="str">
            <v>Total Cases</v>
          </cell>
          <cell r="C374">
            <v>185752.47</v>
          </cell>
          <cell r="I374" t="str">
            <v>Variance</v>
          </cell>
        </row>
        <row r="375">
          <cell r="B375" t="str">
            <v>Total Gallons</v>
          </cell>
          <cell r="C375">
            <v>410350.48908849998</v>
          </cell>
          <cell r="E375" t="str">
            <v>Prickly pear</v>
          </cell>
          <cell r="F375">
            <v>0</v>
          </cell>
          <cell r="G375">
            <v>140171.07656249998</v>
          </cell>
          <cell r="H375">
            <v>95580.098675000001</v>
          </cell>
          <cell r="I375">
            <v>34017.864000000001</v>
          </cell>
          <cell r="J375" t="str">
            <v>Equiv gln 06/30/2025</v>
          </cell>
        </row>
        <row r="376">
          <cell r="B376" t="str">
            <v>Labor &amp; Overhead Per Gallon</v>
          </cell>
          <cell r="C376">
            <v>1.24405058563681</v>
          </cell>
          <cell r="E376" t="str">
            <v>Mango</v>
          </cell>
          <cell r="F376">
            <v>85492.608444576006</v>
          </cell>
          <cell r="G376">
            <v>126362.89131250003</v>
          </cell>
          <cell r="H376">
            <v>86581.227425000005</v>
          </cell>
          <cell r="I376">
            <v>43874.127999999997</v>
          </cell>
          <cell r="J376" t="str">
            <v>Equiv gln 05/31/2025</v>
          </cell>
        </row>
        <row r="377">
          <cell r="B377" t="str">
            <v>Total Labor &amp; Overhead</v>
          </cell>
          <cell r="C377">
            <v>510496.76626689982</v>
          </cell>
          <cell r="E377" t="str">
            <v>CON003</v>
          </cell>
          <cell r="F377">
            <v>5409.2518319999999</v>
          </cell>
          <cell r="G377">
            <v>13808.185249999951</v>
          </cell>
          <cell r="H377">
            <v>8998.8712499999965</v>
          </cell>
          <cell r="I377">
            <v>-9856.2639999999956</v>
          </cell>
          <cell r="J377" t="str">
            <v xml:space="preserve"> Diff +(-)</v>
          </cell>
        </row>
        <row r="378">
          <cell r="C378">
            <v>463461.17709843698</v>
          </cell>
          <cell r="E378" t="str">
            <v>Apple</v>
          </cell>
          <cell r="F378">
            <v>30795.111359999999</v>
          </cell>
        </row>
        <row r="379">
          <cell r="B379" t="str">
            <v>Variance</v>
          </cell>
          <cell r="C379">
            <v>47035.589168462844</v>
          </cell>
        </row>
        <row r="380">
          <cell r="B380" t="str">
            <v>Freezer Cost Per Gallon (2 months + handling + freezing + unloading)</v>
          </cell>
          <cell r="C380">
            <v>0.40015000000000001</v>
          </cell>
          <cell r="E380" t="str">
            <v>Prickly pear</v>
          </cell>
          <cell r="F380">
            <v>0</v>
          </cell>
          <cell r="G380">
            <v>7.5031399053257217E-2</v>
          </cell>
          <cell r="H380">
            <v>0</v>
          </cell>
          <cell r="I380">
            <v>0.89791692802051559</v>
          </cell>
          <cell r="J380" t="str">
            <v xml:space="preserve"> Frt cost/ equiv gln</v>
          </cell>
        </row>
        <row r="381">
          <cell r="B381">
            <v>45808</v>
          </cell>
          <cell r="C381">
            <v>69621.785782774998</v>
          </cell>
          <cell r="E381" t="str">
            <v>Mango</v>
          </cell>
          <cell r="F381">
            <v>0</v>
          </cell>
        </row>
        <row r="382">
          <cell r="B382">
            <v>45838</v>
          </cell>
          <cell r="C382">
            <v>91575.522873096881</v>
          </cell>
          <cell r="E382" t="str">
            <v>CON003</v>
          </cell>
          <cell r="F382">
            <v>1.59</v>
          </cell>
        </row>
        <row r="383">
          <cell r="B383" t="str">
            <v>Variance</v>
          </cell>
          <cell r="C383">
            <v>21953.737090321883</v>
          </cell>
          <cell r="E383" t="str">
            <v>Apple</v>
          </cell>
          <cell r="F383">
            <v>3.5484798875162975E-2</v>
          </cell>
        </row>
        <row r="384">
          <cell r="A384" t="str">
            <v xml:space="preserve"> </v>
          </cell>
          <cell r="F384">
            <v>9693.4687458278459</v>
          </cell>
          <cell r="G384">
            <v>10517.231981285606</v>
          </cell>
          <cell r="H384">
            <v>0</v>
          </cell>
          <cell r="I384">
            <v>30545.215940699691</v>
          </cell>
          <cell r="J384">
            <v>50755.916667813144</v>
          </cell>
          <cell r="K384">
            <v>45838</v>
          </cell>
        </row>
        <row r="385">
          <cell r="F385">
            <v>6252.9738055200005</v>
          </cell>
          <cell r="G385">
            <v>0</v>
          </cell>
          <cell r="H385">
            <v>0</v>
          </cell>
          <cell r="I385">
            <v>39440.625119275923</v>
          </cell>
          <cell r="J385">
            <v>45693.598924795922</v>
          </cell>
          <cell r="K385">
            <v>45808</v>
          </cell>
        </row>
        <row r="386">
          <cell r="B386" t="str">
            <v>FG storage for not frozen FG</v>
          </cell>
          <cell r="F386">
            <v>3440.4949403078454</v>
          </cell>
          <cell r="G386">
            <v>10517.231981285606</v>
          </cell>
          <cell r="H386">
            <v>0</v>
          </cell>
          <cell r="I386">
            <v>-8895.4091785762321</v>
          </cell>
          <cell r="J386">
            <v>5062.3177430172182</v>
          </cell>
          <cell r="K386" t="str">
            <v xml:space="preserve"> Diff +(-)</v>
          </cell>
        </row>
        <row r="387">
          <cell r="B387" t="str">
            <v>Gln not frozen (not including SBUX)</v>
          </cell>
          <cell r="C387">
            <v>181497.50177599996</v>
          </cell>
        </row>
        <row r="388">
          <cell r="B388" t="str">
            <v>Rate per gallon. Based on Lineage charges, 50% efficient</v>
          </cell>
          <cell r="C388">
            <v>9.9749999999999991E-2</v>
          </cell>
          <cell r="G388">
            <v>9.5000000000000001E-2</v>
          </cell>
          <cell r="H388">
            <v>0.33377777777777778</v>
          </cell>
          <cell r="I388">
            <v>0.15833333333333333</v>
          </cell>
          <cell r="J388" t="str">
            <v xml:space="preserve"> Freezer cost/ equiv gln</v>
          </cell>
        </row>
        <row r="389">
          <cell r="B389" t="str">
            <v>SBUX gallons</v>
          </cell>
          <cell r="C389">
            <v>92472.046875000015</v>
          </cell>
          <cell r="G389">
            <v>13316.252273437498</v>
          </cell>
          <cell r="H389">
            <v>31902.512935522223</v>
          </cell>
          <cell r="I389">
            <v>5386.1617999999999</v>
          </cell>
          <cell r="J389" t="str">
            <v>Freezer value on FG ingredients</v>
          </cell>
        </row>
        <row r="390">
          <cell r="B390" t="str">
            <v>WDS recurring storage rate per gallon</v>
          </cell>
          <cell r="C390">
            <v>5.2596975673898747E-2</v>
          </cell>
          <cell r="F390">
            <v>45808</v>
          </cell>
          <cell r="G390">
            <v>12004.474674687503</v>
          </cell>
          <cell r="H390">
            <v>28898.88968718889</v>
          </cell>
          <cell r="I390">
            <v>6946.7369333333327</v>
          </cell>
        </row>
        <row r="391">
          <cell r="B391" t="str">
            <v>Ref storage value</v>
          </cell>
          <cell r="C391">
            <v>22968.125802155995</v>
          </cell>
          <cell r="F391" t="str">
            <v>Variance</v>
          </cell>
          <cell r="G391">
            <v>1311.7775987499954</v>
          </cell>
          <cell r="H391">
            <v>3003.6232483333333</v>
          </cell>
          <cell r="I391">
            <v>-1560.5751333333328</v>
          </cell>
        </row>
        <row r="392">
          <cell r="B392">
            <v>45808</v>
          </cell>
          <cell r="C392">
            <v>20744.396675780001</v>
          </cell>
        </row>
        <row r="393">
          <cell r="B393" t="str">
            <v>Variance</v>
          </cell>
          <cell r="C393">
            <v>2223.7291263759944</v>
          </cell>
        </row>
        <row r="394">
          <cell r="H394" t="str">
            <v>MS: ADD LITTLE BOTTLE SKUS IN APRIL</v>
          </cell>
        </row>
        <row r="395">
          <cell r="I395" t="str">
            <v>FREEZER CAP RATE IS AUTOMATIC</v>
          </cell>
        </row>
      </sheetData>
      <sheetData sheetId="9">
        <row r="1">
          <cell r="A1" t="str">
            <v>Sun Orchard, LLC - TX Divisions</v>
          </cell>
        </row>
        <row r="2">
          <cell r="A2" t="str">
            <v>Calculation of Labor &amp; Overhead - Finished Product</v>
          </cell>
        </row>
        <row r="3">
          <cell r="A3" t="str">
            <v>As of June 30th 2025</v>
          </cell>
        </row>
        <row r="5">
          <cell r="A5" t="str">
            <v>Item</v>
          </cell>
          <cell r="D5" t="str">
            <v>Gallons Per</v>
          </cell>
          <cell r="E5" t="str">
            <v>Total</v>
          </cell>
          <cell r="F5" t="str">
            <v>Total</v>
          </cell>
        </row>
        <row r="6">
          <cell r="A6" t="str">
            <v>Number</v>
          </cell>
          <cell r="B6" t="str">
            <v>Description</v>
          </cell>
          <cell r="C6" t="str">
            <v>Cases</v>
          </cell>
          <cell r="D6" t="str">
            <v>Case</v>
          </cell>
          <cell r="E6" t="str">
            <v>Gallons</v>
          </cell>
          <cell r="F6" t="str">
            <v>Frozen</v>
          </cell>
        </row>
        <row r="7">
          <cell r="A7">
            <v>4101</v>
          </cell>
          <cell r="B7" t="str">
            <v>Natural Brands Orange Juice Gln 4pk</v>
          </cell>
          <cell r="C7">
            <v>1450</v>
          </cell>
          <cell r="D7">
            <v>4</v>
          </cell>
          <cell r="E7">
            <v>5800</v>
          </cell>
          <cell r="F7">
            <v>0</v>
          </cell>
        </row>
        <row r="8">
          <cell r="A8">
            <v>4102</v>
          </cell>
          <cell r="B8" t="str">
            <v>Natural Brands Orange Juice HGln 9pk</v>
          </cell>
          <cell r="C8">
            <v>8</v>
          </cell>
          <cell r="D8">
            <v>4.5</v>
          </cell>
          <cell r="E8">
            <v>36</v>
          </cell>
          <cell r="F8">
            <v>0</v>
          </cell>
        </row>
        <row r="9">
          <cell r="A9">
            <v>4103</v>
          </cell>
          <cell r="B9" t="str">
            <v>Natural Brands Orange Juice Qt 12pk</v>
          </cell>
          <cell r="C9">
            <v>6</v>
          </cell>
          <cell r="D9">
            <v>3</v>
          </cell>
          <cell r="E9">
            <v>18</v>
          </cell>
          <cell r="F9">
            <v>0</v>
          </cell>
        </row>
        <row r="10">
          <cell r="A10">
            <v>4104</v>
          </cell>
          <cell r="B10" t="str">
            <v>Natural Brands Orange Juice Pt 12pk</v>
          </cell>
          <cell r="C10">
            <v>47</v>
          </cell>
          <cell r="D10">
            <v>1.5</v>
          </cell>
          <cell r="E10">
            <v>70.5</v>
          </cell>
          <cell r="F10">
            <v>0</v>
          </cell>
        </row>
        <row r="11">
          <cell r="A11">
            <v>4113</v>
          </cell>
          <cell r="B11" t="str">
            <v>Natural Brands Grapefruit Juice Qt 12pk</v>
          </cell>
          <cell r="C11">
            <v>210</v>
          </cell>
          <cell r="D11">
            <v>3</v>
          </cell>
          <cell r="E11">
            <v>630</v>
          </cell>
          <cell r="F11">
            <v>0</v>
          </cell>
        </row>
        <row r="12">
          <cell r="A12">
            <v>4114</v>
          </cell>
          <cell r="B12" t="str">
            <v>Natural Brands Grapefruit Juice Pt 12pk</v>
          </cell>
          <cell r="C12">
            <v>2</v>
          </cell>
          <cell r="D12">
            <v>1.5</v>
          </cell>
          <cell r="E12">
            <v>3</v>
          </cell>
          <cell r="F12">
            <v>0</v>
          </cell>
        </row>
        <row r="13">
          <cell r="A13">
            <v>4121</v>
          </cell>
          <cell r="B13" t="str">
            <v>Louisburg Cider Mill Old Fashioned Apple Cider Gln 4pk</v>
          </cell>
          <cell r="C13">
            <v>1334</v>
          </cell>
          <cell r="D13">
            <v>4</v>
          </cell>
          <cell r="E13">
            <v>5336</v>
          </cell>
          <cell r="F13">
            <v>0</v>
          </cell>
        </row>
        <row r="14">
          <cell r="A14">
            <v>4132</v>
          </cell>
          <cell r="B14" t="str">
            <v>Natural Brands Lemonade HGln 9pk</v>
          </cell>
          <cell r="C14">
            <v>114</v>
          </cell>
          <cell r="D14">
            <v>4.5</v>
          </cell>
          <cell r="E14">
            <v>513</v>
          </cell>
          <cell r="F14">
            <v>0</v>
          </cell>
        </row>
        <row r="15">
          <cell r="A15">
            <v>4134</v>
          </cell>
          <cell r="B15" t="str">
            <v>Natural Brands Lemonade Pt 12pk</v>
          </cell>
          <cell r="C15">
            <v>41</v>
          </cell>
          <cell r="D15">
            <v>1.5</v>
          </cell>
          <cell r="E15">
            <v>61.5</v>
          </cell>
          <cell r="F15">
            <v>0</v>
          </cell>
        </row>
        <row r="16">
          <cell r="A16">
            <v>4141</v>
          </cell>
          <cell r="B16" t="str">
            <v>Natural Brands Lemon Juice Gln 4pk</v>
          </cell>
          <cell r="C16">
            <v>1272</v>
          </cell>
          <cell r="D16">
            <v>4</v>
          </cell>
          <cell r="E16">
            <v>5088</v>
          </cell>
          <cell r="F16">
            <v>0</v>
          </cell>
        </row>
        <row r="17">
          <cell r="A17">
            <v>4142</v>
          </cell>
          <cell r="B17" t="str">
            <v>Natural Brands Lemon Juice HGln 9pk</v>
          </cell>
          <cell r="C17">
            <v>1806</v>
          </cell>
          <cell r="D17">
            <v>4.5</v>
          </cell>
          <cell r="E17">
            <v>8127</v>
          </cell>
          <cell r="F17">
            <v>0</v>
          </cell>
        </row>
        <row r="18">
          <cell r="A18">
            <v>4143</v>
          </cell>
          <cell r="B18" t="str">
            <v>Natural Brands Lemon Juice Qt 12pk</v>
          </cell>
          <cell r="C18">
            <v>975</v>
          </cell>
          <cell r="D18">
            <v>3</v>
          </cell>
          <cell r="E18">
            <v>2925</v>
          </cell>
          <cell r="F18">
            <v>0</v>
          </cell>
        </row>
        <row r="19">
          <cell r="A19">
            <v>4147</v>
          </cell>
          <cell r="B19" t="str">
            <v>Natural Brands Lemon Juice Qt 6pk</v>
          </cell>
          <cell r="C19">
            <v>328</v>
          </cell>
          <cell r="D19">
            <v>1.5</v>
          </cell>
          <cell r="E19">
            <v>492</v>
          </cell>
          <cell r="F19">
            <v>0</v>
          </cell>
        </row>
        <row r="20">
          <cell r="A20">
            <v>4151</v>
          </cell>
          <cell r="B20" t="str">
            <v>Natural Brands Lime Juice Gln 4pk</v>
          </cell>
          <cell r="C20">
            <v>1014</v>
          </cell>
          <cell r="D20">
            <v>4</v>
          </cell>
          <cell r="E20">
            <v>4056</v>
          </cell>
          <cell r="F20">
            <v>0</v>
          </cell>
        </row>
        <row r="21">
          <cell r="A21">
            <v>4152</v>
          </cell>
          <cell r="B21" t="str">
            <v>Natural Brands Lime Juice HGln 9pk</v>
          </cell>
          <cell r="C21">
            <v>4402</v>
          </cell>
          <cell r="D21">
            <v>4.5</v>
          </cell>
          <cell r="E21">
            <v>19809</v>
          </cell>
          <cell r="F21">
            <v>0</v>
          </cell>
        </row>
        <row r="22">
          <cell r="A22">
            <v>4153</v>
          </cell>
          <cell r="B22" t="str">
            <v>Natural Brands Lime Juice Qt 12pk</v>
          </cell>
          <cell r="C22">
            <v>3917</v>
          </cell>
          <cell r="D22">
            <v>3</v>
          </cell>
          <cell r="E22">
            <v>11751</v>
          </cell>
          <cell r="F22">
            <v>0</v>
          </cell>
        </row>
        <row r="23">
          <cell r="A23">
            <v>4157</v>
          </cell>
          <cell r="B23" t="str">
            <v>Natural Brands Lime Juice Qt 6pk</v>
          </cell>
          <cell r="C23">
            <v>508</v>
          </cell>
          <cell r="D23">
            <v>1.5</v>
          </cell>
          <cell r="E23">
            <v>762</v>
          </cell>
          <cell r="F23">
            <v>0</v>
          </cell>
        </row>
        <row r="24">
          <cell r="A24">
            <v>4161</v>
          </cell>
          <cell r="B24" t="str">
            <v>Natural Brands Margarita Lime Sour Gln 4pk</v>
          </cell>
          <cell r="C24">
            <v>774</v>
          </cell>
          <cell r="D24">
            <v>4</v>
          </cell>
          <cell r="E24">
            <v>3096</v>
          </cell>
          <cell r="F24">
            <v>0</v>
          </cell>
        </row>
        <row r="25">
          <cell r="A25">
            <v>4175</v>
          </cell>
          <cell r="B25" t="str">
            <v>Natural Brands 3+1 Lemonade Base HGln 9pk</v>
          </cell>
          <cell r="C25">
            <v>693</v>
          </cell>
          <cell r="D25">
            <v>4.5</v>
          </cell>
          <cell r="E25">
            <v>3118.5</v>
          </cell>
          <cell r="F25">
            <v>0</v>
          </cell>
        </row>
        <row r="26">
          <cell r="A26">
            <v>4177</v>
          </cell>
          <cell r="B26" t="str">
            <v>Natural Brands "Brewhouse" 2.5+1 Lemonade Base Gln 4pk</v>
          </cell>
          <cell r="C26">
            <v>1924</v>
          </cell>
          <cell r="D26">
            <v>4</v>
          </cell>
          <cell r="E26">
            <v>7696</v>
          </cell>
          <cell r="F26">
            <v>0</v>
          </cell>
        </row>
        <row r="27">
          <cell r="A27">
            <v>5170</v>
          </cell>
          <cell r="B27" t="str">
            <v>Natural Brands 3+1 Lemonade Base &amp; Sour Mix Gln 4pk</v>
          </cell>
          <cell r="C27">
            <v>5582</v>
          </cell>
          <cell r="D27">
            <v>4</v>
          </cell>
          <cell r="E27">
            <v>22328</v>
          </cell>
          <cell r="F27">
            <v>0</v>
          </cell>
        </row>
        <row r="28">
          <cell r="A28">
            <v>6105</v>
          </cell>
          <cell r="B28" t="str">
            <v>Kennesaw Orange Juice 8oz 50pk</v>
          </cell>
          <cell r="C28">
            <v>0</v>
          </cell>
          <cell r="D28">
            <v>3.125</v>
          </cell>
          <cell r="E28">
            <v>0</v>
          </cell>
          <cell r="F28">
            <v>0</v>
          </cell>
        </row>
        <row r="29">
          <cell r="A29">
            <v>6196</v>
          </cell>
          <cell r="B29" t="str">
            <v>Kennesaw Orange Strawberry Juice Pt 12pk</v>
          </cell>
          <cell r="C29">
            <v>0</v>
          </cell>
          <cell r="D29">
            <v>1.5</v>
          </cell>
          <cell r="E29">
            <v>0</v>
          </cell>
          <cell r="F29">
            <v>0</v>
          </cell>
        </row>
        <row r="30">
          <cell r="A30" t="str">
            <v>4177T</v>
          </cell>
          <cell r="B30" t="str">
            <v>Natural Brands "Brewhouse" 2.5+1 Lemonade Base 270Gln Tote</v>
          </cell>
          <cell r="C30">
            <v>0</v>
          </cell>
          <cell r="D30">
            <v>270</v>
          </cell>
          <cell r="E30">
            <v>0</v>
          </cell>
          <cell r="F30">
            <v>0</v>
          </cell>
        </row>
        <row r="31">
          <cell r="A31" t="str">
            <v>4173B</v>
          </cell>
          <cell r="B31" t="str">
            <v>Natural Brands Lemon Sour Ade Base &amp; Sour Qt 6pk</v>
          </cell>
          <cell r="C31">
            <v>4987</v>
          </cell>
          <cell r="D31">
            <v>1.5</v>
          </cell>
          <cell r="E31">
            <v>7480.5</v>
          </cell>
          <cell r="F31">
            <v>0</v>
          </cell>
        </row>
        <row r="33">
          <cell r="B33" t="str">
            <v>Total Cases</v>
          </cell>
          <cell r="C33">
            <v>31394</v>
          </cell>
        </row>
        <row r="34">
          <cell r="B34" t="str">
            <v>Total Gallons</v>
          </cell>
          <cell r="C34" t="str">
            <v xml:space="preserve"> </v>
          </cell>
          <cell r="E34">
            <v>109197</v>
          </cell>
          <cell r="F34">
            <v>0</v>
          </cell>
        </row>
        <row r="36">
          <cell r="B36" t="str">
            <v>Labor &amp; Overhead Per Gallon - AZ</v>
          </cell>
          <cell r="E36">
            <v>1.6517687712885343</v>
          </cell>
          <cell r="F36" t="str">
            <v xml:space="preserve"> </v>
          </cell>
        </row>
        <row r="37">
          <cell r="B37" t="str">
            <v>Labor &amp; Overhead Per Gallon - FL</v>
          </cell>
          <cell r="E37">
            <v>1.24405058563681</v>
          </cell>
        </row>
        <row r="38">
          <cell r="B38" t="str">
            <v>Total Labor &amp; Overhead Before Freight</v>
          </cell>
          <cell r="E38">
            <v>101349.80422298766</v>
          </cell>
        </row>
        <row r="39">
          <cell r="E39">
            <v>123336.48681095854</v>
          </cell>
        </row>
        <row r="40">
          <cell r="E40">
            <v>-21986.682587970878</v>
          </cell>
        </row>
        <row r="42">
          <cell r="A42" t="str">
            <v>WIP Inbound Freight Cap for FG</v>
          </cell>
          <cell r="C42" t="str">
            <v>Total Gln</v>
          </cell>
          <cell r="D42" t="str">
            <v>Amt Per Gln</v>
          </cell>
          <cell r="E42">
            <v>45808</v>
          </cell>
          <cell r="F42">
            <v>45838</v>
          </cell>
        </row>
        <row r="43">
          <cell r="A43" t="str">
            <v>Inbound Freight Costs to Inv Rev - OJ</v>
          </cell>
          <cell r="C43">
            <v>5924.5</v>
          </cell>
          <cell r="D43">
            <v>0</v>
          </cell>
          <cell r="E43">
            <v>0</v>
          </cell>
          <cell r="F43">
            <v>0</v>
          </cell>
        </row>
        <row r="44">
          <cell r="A44" t="str">
            <v>Inbound Freight Costs to Inv Rev - Lemon</v>
          </cell>
          <cell r="C44">
            <v>50349</v>
          </cell>
          <cell r="D44">
            <v>0</v>
          </cell>
          <cell r="E44">
            <v>0</v>
          </cell>
          <cell r="F44">
            <v>0</v>
          </cell>
        </row>
        <row r="45">
          <cell r="A45" t="str">
            <v>Inbound Freight Costs to Inv Rev - Lime</v>
          </cell>
          <cell r="C45">
            <v>46954.5</v>
          </cell>
          <cell r="D45">
            <v>0</v>
          </cell>
          <cell r="E45">
            <v>0</v>
          </cell>
          <cell r="F45">
            <v>0</v>
          </cell>
        </row>
        <row r="46">
          <cell r="A46" t="str">
            <v>Inbound Freight Costs to Inv Rev - Grapefruit</v>
          </cell>
          <cell r="C46">
            <v>633</v>
          </cell>
          <cell r="D46">
            <v>0</v>
          </cell>
          <cell r="E46">
            <v>0</v>
          </cell>
          <cell r="F46">
            <v>0</v>
          </cell>
        </row>
        <row r="47">
          <cell r="A47" t="str">
            <v>Inbound Freight Costs to Inv Rev - Apple</v>
          </cell>
          <cell r="C47">
            <v>5336</v>
          </cell>
          <cell r="D47">
            <v>0</v>
          </cell>
          <cell r="E47">
            <v>0</v>
          </cell>
          <cell r="F47">
            <v>0</v>
          </cell>
        </row>
        <row r="48">
          <cell r="B48" t="str">
            <v>Total Inbound Freight</v>
          </cell>
          <cell r="C48">
            <v>109197</v>
          </cell>
          <cell r="E48">
            <v>0</v>
          </cell>
          <cell r="F48">
            <v>0</v>
          </cell>
        </row>
        <row r="51">
          <cell r="A51" t="str">
            <v>WIP Freezer Cap for FG</v>
          </cell>
          <cell r="C51" t="str">
            <v>Total Gln</v>
          </cell>
          <cell r="D51" t="str">
            <v>Amt Per Gln</v>
          </cell>
          <cell r="E51">
            <v>45808</v>
          </cell>
          <cell r="F51">
            <v>45838</v>
          </cell>
        </row>
        <row r="52">
          <cell r="A52" t="str">
            <v>Freezer Costs to Inv Rev - OJ</v>
          </cell>
          <cell r="C52">
            <v>5924.5</v>
          </cell>
          <cell r="D52">
            <v>0</v>
          </cell>
          <cell r="E52">
            <v>0</v>
          </cell>
          <cell r="F52">
            <v>0</v>
          </cell>
        </row>
        <row r="53">
          <cell r="A53" t="str">
            <v>Freezer Costs to Inv Rev - Lemon</v>
          </cell>
          <cell r="C53">
            <v>50349</v>
          </cell>
          <cell r="D53">
            <v>0</v>
          </cell>
          <cell r="E53">
            <v>0</v>
          </cell>
          <cell r="F53">
            <v>0</v>
          </cell>
        </row>
        <row r="54">
          <cell r="A54" t="str">
            <v>Freezer Costs to Inv Rev - Lime</v>
          </cell>
          <cell r="C54">
            <v>46954.5</v>
          </cell>
          <cell r="D54">
            <v>0</v>
          </cell>
          <cell r="E54">
            <v>0</v>
          </cell>
          <cell r="F54">
            <v>0</v>
          </cell>
        </row>
        <row r="55">
          <cell r="A55" t="str">
            <v>Freezer Costs to Inv Rev - Grapefruit</v>
          </cell>
          <cell r="C55">
            <v>633</v>
          </cell>
          <cell r="D55">
            <v>0</v>
          </cell>
          <cell r="E55">
            <v>0</v>
          </cell>
          <cell r="F55">
            <v>0</v>
          </cell>
        </row>
        <row r="56">
          <cell r="A56" t="str">
            <v>Freezer Costs to Inv Rev - Apple</v>
          </cell>
          <cell r="C56">
            <v>5336</v>
          </cell>
          <cell r="D56">
            <v>0</v>
          </cell>
          <cell r="E56">
            <v>0</v>
          </cell>
          <cell r="F56">
            <v>0</v>
          </cell>
        </row>
        <row r="57">
          <cell r="B57" t="str">
            <v>Total Freezer</v>
          </cell>
          <cell r="C57">
            <v>109197</v>
          </cell>
          <cell r="E57">
            <v>0</v>
          </cell>
          <cell r="F57">
            <v>0</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Alameda Capitalization"/>
      <sheetName val="FY24 TRF TO 11"/>
      <sheetName val="FY23 REC INTO 11"/>
      <sheetName val="Tables"/>
      <sheetName val="9.30.24 Inventory"/>
    </sheetNames>
    <sheetDataSet>
      <sheetData sheetId="0"/>
      <sheetData sheetId="1">
        <row r="1">
          <cell r="A1" t="str">
            <v>Total cost in budget</v>
          </cell>
          <cell r="B1">
            <v>1002207</v>
          </cell>
          <cell r="C1"/>
        </row>
        <row r="2">
          <cell r="A2" t="str">
            <v>Total cost here</v>
          </cell>
          <cell r="B2">
            <v>1002207.0000000008</v>
          </cell>
          <cell r="C2"/>
          <cell r="G2" t="str">
            <v>DETERMINATION OF THE COST OF STORING 1 PALLET FOR 1 WEEK</v>
          </cell>
          <cell r="H2"/>
          <cell r="I2"/>
          <cell r="J2"/>
          <cell r="K2"/>
          <cell r="L2"/>
        </row>
        <row r="3">
          <cell r="A3" t="str">
            <v>Difference</v>
          </cell>
          <cell r="B3">
            <v>0</v>
          </cell>
          <cell r="C3"/>
        </row>
        <row r="4">
          <cell r="A4" t="str">
            <v>Difference %</v>
          </cell>
          <cell r="B4">
            <v>0</v>
          </cell>
          <cell r="C4"/>
          <cell r="G4" t="str">
            <v>FORMULA ADDS TOGETHER ALL TRF AND REC TRANSACTIONS INTO 11 FOR EACH ITEM</v>
          </cell>
        </row>
        <row r="5">
          <cell r="G5" t="str">
            <v>^</v>
          </cell>
          <cell r="M5" t="str">
            <v>↓ This is the cap rate per unit to plug into the cap model</v>
          </cell>
        </row>
        <row r="6">
          <cell r="A6" t="str">
            <v>SKU</v>
          </cell>
          <cell r="B6" t="str">
            <v>Description</v>
          </cell>
          <cell r="C6" t="str">
            <v>FG prod line</v>
          </cell>
          <cell r="D6" t="str">
            <v>Shelf Life</v>
          </cell>
          <cell r="E6" t="str">
            <v>Item Type</v>
          </cell>
          <cell r="F6" t="str">
            <v>UM</v>
          </cell>
          <cell r="G6" t="str">
            <v>Stored Units</v>
          </cell>
          <cell r="H6" t="str">
            <v>Units/PAL</v>
          </cell>
          <cell r="I6" t="str">
            <v>Stored pallets</v>
          </cell>
          <cell r="J6" t="str">
            <v># weeks of storage</v>
          </cell>
          <cell r="K6" t="str">
            <v># of pallets.week used</v>
          </cell>
          <cell r="L6" t="str">
            <v>Cost per pallet per week</v>
          </cell>
          <cell r="M6" t="str">
            <v>Unit Cost</v>
          </cell>
        </row>
        <row r="7">
          <cell r="A7">
            <v>197</v>
          </cell>
          <cell r="B7" t="str">
            <v>SO Limeade FZN 6pk 30.5oz Samples</v>
          </cell>
          <cell r="D7">
            <v>547</v>
          </cell>
          <cell r="E7" t="str">
            <v>FG Frozen</v>
          </cell>
          <cell r="F7" t="str">
            <v>CS</v>
          </cell>
          <cell r="G7">
            <v>240</v>
          </cell>
          <cell r="H7">
            <v>120</v>
          </cell>
          <cell r="I7">
            <v>2</v>
          </cell>
          <cell r="J7">
            <v>10</v>
          </cell>
          <cell r="K7">
            <v>20</v>
          </cell>
          <cell r="L7">
            <v>2.60876254305624</v>
          </cell>
          <cell r="M7">
            <v>0.21739687858802001</v>
          </cell>
        </row>
        <row r="8">
          <cell r="A8">
            <v>198</v>
          </cell>
          <cell r="B8" t="str">
            <v>SO Limeade FZN 3+1 6pk 32oz Samples</v>
          </cell>
          <cell r="D8">
            <v>547</v>
          </cell>
          <cell r="E8" t="str">
            <v>FG Frozen</v>
          </cell>
          <cell r="F8" t="str">
            <v>CS</v>
          </cell>
          <cell r="G8">
            <v>240</v>
          </cell>
          <cell r="H8">
            <v>120</v>
          </cell>
          <cell r="I8">
            <v>2</v>
          </cell>
          <cell r="J8">
            <v>10</v>
          </cell>
          <cell r="K8">
            <v>20</v>
          </cell>
          <cell r="L8">
            <v>2.60876254305624</v>
          </cell>
          <cell r="M8">
            <v>0.21739687858802001</v>
          </cell>
        </row>
        <row r="9">
          <cell r="A9">
            <v>1390</v>
          </cell>
          <cell r="B9" t="str">
            <v>6+1 Blueberry Lavender Black Tea with Lemon FZN 48 GAL Drum</v>
          </cell>
          <cell r="D9">
            <v>547</v>
          </cell>
          <cell r="E9" t="str">
            <v>FG Frozen</v>
          </cell>
          <cell r="F9" t="str">
            <v>CS</v>
          </cell>
          <cell r="G9">
            <v>101</v>
          </cell>
          <cell r="H9">
            <v>4</v>
          </cell>
          <cell r="I9">
            <v>25.25</v>
          </cell>
          <cell r="J9">
            <v>52</v>
          </cell>
          <cell r="K9">
            <v>1313</v>
          </cell>
          <cell r="L9">
            <v>2.60876254305624</v>
          </cell>
          <cell r="M9">
            <v>33.913913059731122</v>
          </cell>
        </row>
        <row r="10">
          <cell r="A10">
            <v>1391</v>
          </cell>
          <cell r="B10" t="str">
            <v>6+1 Peach Honey Chamomile Tea with Lemon FZN 48 GAL Drum</v>
          </cell>
          <cell r="D10">
            <v>547</v>
          </cell>
          <cell r="E10" t="str">
            <v>FG Frozen</v>
          </cell>
          <cell r="F10" t="str">
            <v>CS</v>
          </cell>
          <cell r="G10">
            <v>199</v>
          </cell>
          <cell r="H10">
            <v>4</v>
          </cell>
          <cell r="I10">
            <v>49.75</v>
          </cell>
          <cell r="J10">
            <v>52</v>
          </cell>
          <cell r="K10">
            <v>2587</v>
          </cell>
          <cell r="L10">
            <v>2.60876254305624</v>
          </cell>
          <cell r="M10">
            <v>33.913913059731122</v>
          </cell>
        </row>
        <row r="11">
          <cell r="A11">
            <v>1701</v>
          </cell>
          <cell r="B11" t="str">
            <v>Cava Blueberry Lavender Puree FZN 6pk 30.5oz</v>
          </cell>
          <cell r="D11">
            <v>547</v>
          </cell>
          <cell r="E11" t="str">
            <v>FG Frozen</v>
          </cell>
          <cell r="F11" t="str">
            <v>CS</v>
          </cell>
          <cell r="G11">
            <v>15240</v>
          </cell>
          <cell r="H11">
            <v>75</v>
          </cell>
          <cell r="I11">
            <v>203.2</v>
          </cell>
          <cell r="J11">
            <v>10</v>
          </cell>
          <cell r="K11">
            <v>2032</v>
          </cell>
          <cell r="L11">
            <v>2.60876254305624</v>
          </cell>
          <cell r="M11">
            <v>0.34783500574083204</v>
          </cell>
        </row>
        <row r="12">
          <cell r="A12">
            <v>1953</v>
          </cell>
          <cell r="B12" t="str">
            <v>Panera 5+1 Prickly Pear,Hib,Lime Agua Fresca NSA 61.5oz 6pk FZN [1953]</v>
          </cell>
          <cell r="D12">
            <v>365</v>
          </cell>
          <cell r="E12" t="str">
            <v>FG Frozen</v>
          </cell>
          <cell r="F12" t="str">
            <v>CS</v>
          </cell>
          <cell r="G12">
            <v>0</v>
          </cell>
          <cell r="H12">
            <v>75</v>
          </cell>
          <cell r="I12">
            <v>0</v>
          </cell>
          <cell r="J12">
            <v>10</v>
          </cell>
          <cell r="K12">
            <v>0</v>
          </cell>
          <cell r="L12">
            <v>2.60876254305624</v>
          </cell>
          <cell r="M12">
            <v>0.34783500574083204</v>
          </cell>
        </row>
        <row r="13">
          <cell r="A13">
            <v>2520</v>
          </cell>
          <cell r="B13" t="str">
            <v>SO Mixed Berry Omija 6+1 FZN HGln 6pk</v>
          </cell>
          <cell r="D13">
            <v>547</v>
          </cell>
          <cell r="E13" t="str">
            <v>FG Frozen</v>
          </cell>
          <cell r="F13" t="str">
            <v>CS</v>
          </cell>
          <cell r="G13">
            <v>240</v>
          </cell>
          <cell r="H13">
            <v>60</v>
          </cell>
          <cell r="I13">
            <v>4</v>
          </cell>
          <cell r="J13">
            <v>10</v>
          </cell>
          <cell r="K13">
            <v>40</v>
          </cell>
          <cell r="L13">
            <v>2.60876254305624</v>
          </cell>
          <cell r="M13">
            <v>0.43479375717604002</v>
          </cell>
        </row>
        <row r="14">
          <cell r="A14">
            <v>2752</v>
          </cell>
          <cell r="B14" t="str">
            <v>Panera Mango Fruit Base No Refined Sugar Added FZN [2752]</v>
          </cell>
          <cell r="D14">
            <v>365</v>
          </cell>
          <cell r="E14" t="str">
            <v>FG Frozen</v>
          </cell>
          <cell r="F14" t="str">
            <v>CS</v>
          </cell>
          <cell r="G14">
            <v>7056</v>
          </cell>
          <cell r="H14">
            <v>75</v>
          </cell>
          <cell r="I14">
            <v>94.08</v>
          </cell>
          <cell r="J14">
            <v>10</v>
          </cell>
          <cell r="K14">
            <v>940.8</v>
          </cell>
          <cell r="L14">
            <v>2.60876254305624</v>
          </cell>
          <cell r="M14">
            <v>0.34783500574083204</v>
          </cell>
        </row>
        <row r="15">
          <cell r="A15">
            <v>2753</v>
          </cell>
          <cell r="B15" t="str">
            <v>Panera Strawberry Fruit Base No Refined Sugar Added FZN [2753]</v>
          </cell>
          <cell r="D15">
            <v>365</v>
          </cell>
          <cell r="E15" t="str">
            <v>FG Frozen</v>
          </cell>
          <cell r="F15" t="str">
            <v>CS</v>
          </cell>
          <cell r="G15">
            <v>11613</v>
          </cell>
          <cell r="H15">
            <v>75</v>
          </cell>
          <cell r="I15">
            <v>154.84</v>
          </cell>
          <cell r="J15">
            <v>10</v>
          </cell>
          <cell r="K15">
            <v>1548.4</v>
          </cell>
          <cell r="L15">
            <v>2.60876254305624</v>
          </cell>
          <cell r="M15">
            <v>0.34783500574083204</v>
          </cell>
        </row>
        <row r="16">
          <cell r="A16">
            <v>2762</v>
          </cell>
          <cell r="B16" t="str">
            <v>Panera Peach Mango Base Fzn 61.5 oz 6pk [2762]</v>
          </cell>
          <cell r="D16">
            <v>365</v>
          </cell>
          <cell r="E16" t="str">
            <v>FG Frozen</v>
          </cell>
          <cell r="F16" t="str">
            <v>CS</v>
          </cell>
          <cell r="G16">
            <v>4817</v>
          </cell>
          <cell r="H16">
            <v>75</v>
          </cell>
          <cell r="I16">
            <v>64.226666666666674</v>
          </cell>
          <cell r="J16">
            <v>10</v>
          </cell>
          <cell r="K16">
            <v>642.26666666666677</v>
          </cell>
          <cell r="L16">
            <v>2.60876254305624</v>
          </cell>
          <cell r="M16">
            <v>0.34783500574083204</v>
          </cell>
        </row>
        <row r="17">
          <cell r="A17">
            <v>3390</v>
          </cell>
          <cell r="B17" t="str">
            <v>Blueberry Lavender Tea RTS 6pk HGln</v>
          </cell>
          <cell r="E17" t="str">
            <v>FG Refrigerated 40</v>
          </cell>
          <cell r="F17" t="str">
            <v>CS</v>
          </cell>
          <cell r="G17">
            <v>2315</v>
          </cell>
          <cell r="H17">
            <v>75</v>
          </cell>
          <cell r="I17">
            <v>30.866666666666667</v>
          </cell>
          <cell r="J17">
            <v>1</v>
          </cell>
          <cell r="K17">
            <v>30.866666666666667</v>
          </cell>
          <cell r="L17">
            <v>2.60876254305624</v>
          </cell>
          <cell r="M17">
            <v>3.47835005740832E-2</v>
          </cell>
        </row>
        <row r="18">
          <cell r="A18">
            <v>3391</v>
          </cell>
          <cell r="B18" t="str">
            <v>Peach Honey Chamomile Tea RTS 6pk HGln</v>
          </cell>
          <cell r="E18" t="str">
            <v>FG Refrigerated 40</v>
          </cell>
          <cell r="F18" t="str">
            <v>CS</v>
          </cell>
          <cell r="G18">
            <v>2337</v>
          </cell>
          <cell r="H18">
            <v>75</v>
          </cell>
          <cell r="I18">
            <v>31.16</v>
          </cell>
          <cell r="J18">
            <v>1</v>
          </cell>
          <cell r="K18">
            <v>31.16</v>
          </cell>
          <cell r="L18">
            <v>2.60876254305624</v>
          </cell>
          <cell r="M18">
            <v>3.47835005740832E-2</v>
          </cell>
        </row>
        <row r="19">
          <cell r="A19">
            <v>4152</v>
          </cell>
          <cell r="B19" t="str">
            <v>Natural Brands Lime Juice HGln 9pk</v>
          </cell>
          <cell r="C19" t="str">
            <v>Lime Juice</v>
          </cell>
          <cell r="D19">
            <v>54</v>
          </cell>
          <cell r="E19" t="str">
            <v>FG Refrigerated 40</v>
          </cell>
          <cell r="F19" t="str">
            <v>CS</v>
          </cell>
          <cell r="G19">
            <v>45320</v>
          </cell>
          <cell r="H19">
            <v>48</v>
          </cell>
          <cell r="I19">
            <v>944.16666666666663</v>
          </cell>
          <cell r="J19">
            <v>1</v>
          </cell>
          <cell r="K19">
            <v>944.16666666666663</v>
          </cell>
          <cell r="L19">
            <v>2.60876254305624</v>
          </cell>
          <cell r="M19">
            <v>5.4349219647005002E-2</v>
          </cell>
        </row>
        <row r="20">
          <cell r="A20">
            <v>4202</v>
          </cell>
          <cell r="B20" t="str">
            <v>SOI Lemon Juice FZN HGln 6pk [4202]</v>
          </cell>
          <cell r="C20" t="str">
            <v>Lemon Juice</v>
          </cell>
          <cell r="D20">
            <v>547</v>
          </cell>
          <cell r="E20" t="str">
            <v>FG Frozen</v>
          </cell>
          <cell r="F20" t="str">
            <v>CS</v>
          </cell>
          <cell r="G20">
            <v>931</v>
          </cell>
          <cell r="H20">
            <v>60</v>
          </cell>
          <cell r="I20">
            <v>15.516666666666667</v>
          </cell>
          <cell r="J20">
            <v>10</v>
          </cell>
          <cell r="K20">
            <v>155.16666666666669</v>
          </cell>
          <cell r="L20">
            <v>2.60876254305624</v>
          </cell>
          <cell r="M20">
            <v>0.43479375717604002</v>
          </cell>
        </row>
        <row r="21">
          <cell r="A21">
            <v>4225</v>
          </cell>
          <cell r="B21" t="str">
            <v>SOI Lemon Juice FZN Qt 6pk [4225]</v>
          </cell>
          <cell r="C21" t="str">
            <v>Lemon Juice</v>
          </cell>
          <cell r="D21">
            <v>547</v>
          </cell>
          <cell r="E21" t="str">
            <v>FG Frozen</v>
          </cell>
          <cell r="F21" t="str">
            <v>CS</v>
          </cell>
          <cell r="G21">
            <v>1204</v>
          </cell>
          <cell r="H21">
            <v>120</v>
          </cell>
          <cell r="I21">
            <v>10.033333333333333</v>
          </cell>
          <cell r="J21">
            <v>10</v>
          </cell>
          <cell r="K21">
            <v>100.33333333333333</v>
          </cell>
          <cell r="L21">
            <v>2.60876254305624</v>
          </cell>
          <cell r="M21">
            <v>0.21739687858802001</v>
          </cell>
        </row>
        <row r="22">
          <cell r="A22">
            <v>4402</v>
          </cell>
          <cell r="B22" t="str">
            <v>High-Acid Lemon Juice with Concentrate Gln 4pk RTS</v>
          </cell>
          <cell r="C22" t="str">
            <v>Lemon Juice</v>
          </cell>
          <cell r="D22">
            <v>60</v>
          </cell>
          <cell r="E22" t="str">
            <v>FG Refrigerated 60</v>
          </cell>
          <cell r="F22" t="str">
            <v>CS</v>
          </cell>
          <cell r="G22">
            <v>13015</v>
          </cell>
          <cell r="H22">
            <v>60</v>
          </cell>
          <cell r="I22">
            <v>216.91666666666666</v>
          </cell>
          <cell r="J22">
            <v>2</v>
          </cell>
          <cell r="K22">
            <v>433.83333333333331</v>
          </cell>
          <cell r="L22">
            <v>2.60876254305624</v>
          </cell>
          <cell r="M22">
            <v>8.6958751435207995E-2</v>
          </cell>
        </row>
        <row r="23">
          <cell r="A23">
            <v>4502</v>
          </cell>
          <cell r="B23" t="str">
            <v>SOI Lemon Juice Gln 4pk [4502]</v>
          </cell>
          <cell r="C23" t="str">
            <v>Lemon Juice</v>
          </cell>
          <cell r="D23">
            <v>60</v>
          </cell>
          <cell r="E23" t="str">
            <v>FG Refrigerated 60</v>
          </cell>
          <cell r="F23" t="str">
            <v>CS</v>
          </cell>
          <cell r="G23">
            <v>99499</v>
          </cell>
          <cell r="H23">
            <v>60</v>
          </cell>
          <cell r="I23">
            <v>1658.3166666666666</v>
          </cell>
          <cell r="J23">
            <v>2</v>
          </cell>
          <cell r="K23">
            <v>3316.6333333333332</v>
          </cell>
          <cell r="L23">
            <v>2.60876254305624</v>
          </cell>
          <cell r="M23">
            <v>8.6958751435207995E-2</v>
          </cell>
        </row>
        <row r="24">
          <cell r="A24">
            <v>4506</v>
          </cell>
          <cell r="B24" t="str">
            <v>Markon Lemon Juice HGln 6pk [4506]</v>
          </cell>
          <cell r="C24" t="str">
            <v>Lemon Juice</v>
          </cell>
          <cell r="D24">
            <v>60</v>
          </cell>
          <cell r="E24" t="str">
            <v>FG Refrigerated 60</v>
          </cell>
          <cell r="F24" t="str">
            <v>CS</v>
          </cell>
          <cell r="G24">
            <v>64440</v>
          </cell>
          <cell r="H24">
            <v>75</v>
          </cell>
          <cell r="I24">
            <v>859.2</v>
          </cell>
          <cell r="J24">
            <v>2</v>
          </cell>
          <cell r="K24">
            <v>1718.4</v>
          </cell>
          <cell r="L24">
            <v>2.60876254305624</v>
          </cell>
          <cell r="M24">
            <v>6.9567001148166399E-2</v>
          </cell>
        </row>
        <row r="25">
          <cell r="A25">
            <v>4508</v>
          </cell>
          <cell r="B25" t="str">
            <v>Markon Lemon Juice Gln 4pk [4508]</v>
          </cell>
          <cell r="C25" t="str">
            <v>Lemon Juice</v>
          </cell>
          <cell r="D25">
            <v>60</v>
          </cell>
          <cell r="E25" t="str">
            <v>FG Refrigerated 60</v>
          </cell>
          <cell r="F25" t="str">
            <v>CS</v>
          </cell>
          <cell r="G25">
            <v>29481</v>
          </cell>
          <cell r="H25">
            <v>60</v>
          </cell>
          <cell r="I25">
            <v>491.35</v>
          </cell>
          <cell r="J25">
            <v>2</v>
          </cell>
          <cell r="K25">
            <v>982.7</v>
          </cell>
          <cell r="L25">
            <v>2.60876254305624</v>
          </cell>
          <cell r="M25">
            <v>8.6958751435207995E-2</v>
          </cell>
        </row>
        <row r="26">
          <cell r="A26">
            <v>4510</v>
          </cell>
          <cell r="B26" t="str">
            <v>Markon Lemon Juice Qt 16pk [4510]</v>
          </cell>
          <cell r="C26" t="str">
            <v>Lemon Juice</v>
          </cell>
          <cell r="D26">
            <v>60</v>
          </cell>
          <cell r="E26" t="str">
            <v>FG Refrigerated 60</v>
          </cell>
          <cell r="F26" t="str">
            <v>CS</v>
          </cell>
          <cell r="G26">
            <v>0</v>
          </cell>
          <cell r="H26">
            <v>60</v>
          </cell>
          <cell r="I26">
            <v>0</v>
          </cell>
          <cell r="J26">
            <v>2</v>
          </cell>
          <cell r="K26">
            <v>0</v>
          </cell>
          <cell r="L26">
            <v>2.60876254305624</v>
          </cell>
          <cell r="M26">
            <v>8.6958751435207995E-2</v>
          </cell>
        </row>
        <row r="27">
          <cell r="A27">
            <v>4513</v>
          </cell>
          <cell r="B27" t="str">
            <v>SOI Lemon Juice HGln 6pk [4513]</v>
          </cell>
          <cell r="C27" t="str">
            <v>Lemon Juice</v>
          </cell>
          <cell r="D27">
            <v>60</v>
          </cell>
          <cell r="E27" t="str">
            <v>FG Refrigerated 60</v>
          </cell>
          <cell r="F27" t="str">
            <v>CS</v>
          </cell>
          <cell r="G27">
            <v>22752</v>
          </cell>
          <cell r="H27">
            <v>75</v>
          </cell>
          <cell r="I27">
            <v>303.36</v>
          </cell>
          <cell r="J27">
            <v>2</v>
          </cell>
          <cell r="K27">
            <v>606.72</v>
          </cell>
          <cell r="L27">
            <v>2.60876254305624</v>
          </cell>
          <cell r="M27">
            <v>6.9567001148166399E-2</v>
          </cell>
        </row>
        <row r="28">
          <cell r="A28">
            <v>4514</v>
          </cell>
          <cell r="B28" t="str">
            <v>SYSCO Lemon Juice HGln 6pk [4514]</v>
          </cell>
          <cell r="C28" t="str">
            <v>Lemon Juice</v>
          </cell>
          <cell r="D28">
            <v>60</v>
          </cell>
          <cell r="E28" t="str">
            <v>FG Refrigerated 60</v>
          </cell>
          <cell r="F28" t="str">
            <v>CS</v>
          </cell>
          <cell r="G28">
            <v>47829</v>
          </cell>
          <cell r="H28">
            <v>75</v>
          </cell>
          <cell r="I28">
            <v>637.72</v>
          </cell>
          <cell r="J28">
            <v>2</v>
          </cell>
          <cell r="K28">
            <v>1275.44</v>
          </cell>
          <cell r="L28">
            <v>2.60876254305624</v>
          </cell>
          <cell r="M28">
            <v>6.9567001148166399E-2</v>
          </cell>
        </row>
        <row r="29">
          <cell r="A29">
            <v>4516</v>
          </cell>
          <cell r="B29" t="str">
            <v>SOI Lemon Juice Qt 6pk [4516]</v>
          </cell>
          <cell r="C29" t="str">
            <v>Lemon Juice</v>
          </cell>
          <cell r="D29">
            <v>60</v>
          </cell>
          <cell r="E29" t="str">
            <v>FG Refrigerated 60</v>
          </cell>
          <cell r="F29" t="str">
            <v>CS</v>
          </cell>
          <cell r="G29">
            <v>37540</v>
          </cell>
          <cell r="H29">
            <v>120</v>
          </cell>
          <cell r="I29">
            <v>312.83333333333331</v>
          </cell>
          <cell r="J29">
            <v>2</v>
          </cell>
          <cell r="K29">
            <v>625.66666666666663</v>
          </cell>
          <cell r="L29">
            <v>2.60876254305624</v>
          </cell>
          <cell r="M29">
            <v>4.3479375717603998E-2</v>
          </cell>
        </row>
        <row r="30">
          <cell r="A30">
            <v>4591</v>
          </cell>
          <cell r="B30" t="str">
            <v>SYSCO Lemon Juice Gln 4pk [4591]</v>
          </cell>
          <cell r="C30" t="str">
            <v>Lemon Juice</v>
          </cell>
          <cell r="D30">
            <v>60</v>
          </cell>
          <cell r="E30" t="str">
            <v>FG Refrigerated 60</v>
          </cell>
          <cell r="F30" t="str">
            <v>CS</v>
          </cell>
          <cell r="G30">
            <v>63237</v>
          </cell>
          <cell r="H30">
            <v>60</v>
          </cell>
          <cell r="I30">
            <v>1053.95</v>
          </cell>
          <cell r="J30">
            <v>2</v>
          </cell>
          <cell r="K30">
            <v>2107.9</v>
          </cell>
          <cell r="L30">
            <v>2.60876254305624</v>
          </cell>
          <cell r="M30">
            <v>8.6958751435207995E-2</v>
          </cell>
        </row>
        <row r="31">
          <cell r="A31">
            <v>4617</v>
          </cell>
          <cell r="B31" t="str">
            <v>Meyer Lemon Juice Blend 12pk Qt Rykoff Sexton [4617]</v>
          </cell>
          <cell r="C31" t="str">
            <v>Meyer Lemon Juice</v>
          </cell>
          <cell r="D31">
            <v>50</v>
          </cell>
          <cell r="E31" t="str">
            <v>FG Refrigerated 50</v>
          </cell>
          <cell r="F31" t="str">
            <v>CS</v>
          </cell>
          <cell r="G31">
            <v>7858</v>
          </cell>
          <cell r="H31">
            <v>75</v>
          </cell>
          <cell r="I31">
            <v>104.77333333333333</v>
          </cell>
          <cell r="J31">
            <v>1.5</v>
          </cell>
          <cell r="K31">
            <v>157.16</v>
          </cell>
          <cell r="L31">
            <v>2.60876254305624</v>
          </cell>
          <cell r="M31">
            <v>5.2175250861124796E-2</v>
          </cell>
        </row>
        <row r="32">
          <cell r="A32">
            <v>4800</v>
          </cell>
          <cell r="B32" t="str">
            <v>SOI CP Lemon Oil Drum [4800]</v>
          </cell>
          <cell r="D32">
            <v>730</v>
          </cell>
          <cell r="E32" t="str">
            <v>Oil</v>
          </cell>
          <cell r="F32" t="str">
            <v>LB</v>
          </cell>
          <cell r="G32">
            <v>48800</v>
          </cell>
          <cell r="H32">
            <v>1600</v>
          </cell>
          <cell r="I32">
            <v>30.5</v>
          </cell>
          <cell r="J32">
            <v>4</v>
          </cell>
          <cell r="K32">
            <v>122</v>
          </cell>
          <cell r="L32">
            <v>2.60876254305624</v>
          </cell>
          <cell r="M32">
            <v>6.5219063576406004E-3</v>
          </cell>
        </row>
        <row r="33">
          <cell r="A33">
            <v>4845</v>
          </cell>
          <cell r="B33" t="str">
            <v>SOI CP Meyer Lemon Oil Drum</v>
          </cell>
          <cell r="D33">
            <v>730</v>
          </cell>
          <cell r="E33" t="str">
            <v>Oil</v>
          </cell>
          <cell r="F33" t="str">
            <v>LB</v>
          </cell>
          <cell r="G33">
            <v>2352</v>
          </cell>
          <cell r="H33">
            <v>4</v>
          </cell>
          <cell r="I33">
            <v>588</v>
          </cell>
          <cell r="J33">
            <v>4</v>
          </cell>
          <cell r="K33">
            <v>2352</v>
          </cell>
          <cell r="L33">
            <v>2.60876254305624</v>
          </cell>
          <cell r="M33">
            <v>2.60876254305624</v>
          </cell>
        </row>
        <row r="34">
          <cell r="A34">
            <v>4951</v>
          </cell>
          <cell r="B34" t="str">
            <v>Past Lemon Juice Drum FZN</v>
          </cell>
          <cell r="C34" t="str">
            <v>Lemon Juice</v>
          </cell>
          <cell r="D34">
            <v>547</v>
          </cell>
          <cell r="E34" t="str">
            <v>FG Frozen</v>
          </cell>
          <cell r="F34" t="str">
            <v>DR</v>
          </cell>
          <cell r="G34">
            <v>12</v>
          </cell>
          <cell r="H34">
            <v>4</v>
          </cell>
          <cell r="I34">
            <v>3</v>
          </cell>
          <cell r="J34">
            <v>10</v>
          </cell>
          <cell r="K34">
            <v>30</v>
          </cell>
          <cell r="L34">
            <v>2.60876254305624</v>
          </cell>
          <cell r="M34">
            <v>6.5219063576406002</v>
          </cell>
        </row>
        <row r="35">
          <cell r="A35">
            <v>4955</v>
          </cell>
          <cell r="B35" t="str">
            <v>High-Acid Lemon Juice with Concentrate Drum REF</v>
          </cell>
          <cell r="C35" t="str">
            <v>Lemon Juice</v>
          </cell>
          <cell r="D35">
            <v>50</v>
          </cell>
          <cell r="E35" t="str">
            <v>FG Refrigerated 50</v>
          </cell>
          <cell r="F35" t="str">
            <v>DR</v>
          </cell>
          <cell r="G35">
            <v>1896</v>
          </cell>
          <cell r="H35">
            <v>4</v>
          </cell>
          <cell r="I35">
            <v>474</v>
          </cell>
          <cell r="J35">
            <v>1.5</v>
          </cell>
          <cell r="K35">
            <v>711</v>
          </cell>
          <cell r="L35">
            <v>2.60876254305624</v>
          </cell>
          <cell r="M35">
            <v>0.97828595364608995</v>
          </cell>
        </row>
        <row r="36">
          <cell r="A36">
            <v>5002</v>
          </cell>
          <cell r="B36" t="str">
            <v>SOI Marg Mix Gln 4pk [5002]</v>
          </cell>
          <cell r="C36" t="str">
            <v>Marg mix</v>
          </cell>
          <cell r="D36">
            <v>50</v>
          </cell>
          <cell r="E36" t="str">
            <v>FG Refrigerated 50</v>
          </cell>
          <cell r="F36" t="str">
            <v>CS</v>
          </cell>
          <cell r="G36">
            <v>15368</v>
          </cell>
          <cell r="H36">
            <v>60</v>
          </cell>
          <cell r="I36">
            <v>256.13333333333333</v>
          </cell>
          <cell r="J36">
            <v>1.5</v>
          </cell>
          <cell r="K36">
            <v>384.2</v>
          </cell>
          <cell r="L36">
            <v>2.60876254305624</v>
          </cell>
          <cell r="M36">
            <v>6.5219063576406E-2</v>
          </cell>
        </row>
        <row r="37">
          <cell r="A37">
            <v>5006</v>
          </cell>
          <cell r="B37" t="str">
            <v>Markon Marg Mix Gln 4pk [5006]</v>
          </cell>
          <cell r="C37" t="str">
            <v>Marg mix</v>
          </cell>
          <cell r="D37">
            <v>50</v>
          </cell>
          <cell r="E37" t="str">
            <v>FG Refrigerated 50</v>
          </cell>
          <cell r="F37" t="str">
            <v>CS</v>
          </cell>
          <cell r="G37">
            <v>24031</v>
          </cell>
          <cell r="H37">
            <v>60</v>
          </cell>
          <cell r="I37">
            <v>400.51666666666665</v>
          </cell>
          <cell r="J37">
            <v>1.5</v>
          </cell>
          <cell r="K37">
            <v>600.77499999999998</v>
          </cell>
          <cell r="L37">
            <v>2.60876254305624</v>
          </cell>
          <cell r="M37">
            <v>6.5219063576406E-2</v>
          </cell>
        </row>
        <row r="38">
          <cell r="A38">
            <v>5014</v>
          </cell>
          <cell r="B38" t="str">
            <v>Margarita Mix 6pk HGln Rykoff Sexton [5014]</v>
          </cell>
          <cell r="C38" t="str">
            <v>Marg mix</v>
          </cell>
          <cell r="D38">
            <v>50</v>
          </cell>
          <cell r="E38" t="str">
            <v>FG Refrigerated 50</v>
          </cell>
          <cell r="F38" t="str">
            <v>CS</v>
          </cell>
          <cell r="G38">
            <v>17058</v>
          </cell>
          <cell r="H38">
            <v>75</v>
          </cell>
          <cell r="I38">
            <v>227.44</v>
          </cell>
          <cell r="J38">
            <v>1.5</v>
          </cell>
          <cell r="K38">
            <v>341.15999999999997</v>
          </cell>
          <cell r="L38">
            <v>2.60876254305624</v>
          </cell>
          <cell r="M38">
            <v>5.2175250861124796E-2</v>
          </cell>
        </row>
        <row r="39">
          <cell r="A39">
            <v>5024</v>
          </cell>
          <cell r="B39" t="str">
            <v>Mango Margarita Mix FZN 6pk 61.5oz Rykoff Sexton</v>
          </cell>
          <cell r="C39" t="str">
            <v>Marg mix</v>
          </cell>
          <cell r="D39">
            <v>365</v>
          </cell>
          <cell r="E39" t="str">
            <v>FG Frozen</v>
          </cell>
          <cell r="F39" t="str">
            <v>CS</v>
          </cell>
          <cell r="G39">
            <v>0</v>
          </cell>
          <cell r="H39">
            <v>75</v>
          </cell>
          <cell r="I39">
            <v>0</v>
          </cell>
          <cell r="J39">
            <v>10</v>
          </cell>
          <cell r="K39">
            <v>0</v>
          </cell>
          <cell r="L39">
            <v>2.60876254305624</v>
          </cell>
          <cell r="M39">
            <v>0.34783500574083204</v>
          </cell>
        </row>
        <row r="40">
          <cell r="A40">
            <v>5142</v>
          </cell>
          <cell r="B40" t="str">
            <v>SOI Marg Mix Cond 3+1 HGln 9pk [5142]</v>
          </cell>
          <cell r="C40" t="str">
            <v>Marg mix</v>
          </cell>
          <cell r="D40">
            <v>60</v>
          </cell>
          <cell r="E40" t="str">
            <v>FG Refrigerated 60</v>
          </cell>
          <cell r="F40" t="str">
            <v>CS</v>
          </cell>
          <cell r="G40">
            <v>5646</v>
          </cell>
          <cell r="H40">
            <v>48</v>
          </cell>
          <cell r="I40">
            <v>117.625</v>
          </cell>
          <cell r="J40">
            <v>2</v>
          </cell>
          <cell r="K40">
            <v>235.25</v>
          </cell>
          <cell r="L40">
            <v>2.60876254305624</v>
          </cell>
          <cell r="M40">
            <v>0.10869843929401</v>
          </cell>
        </row>
        <row r="41">
          <cell r="A41">
            <v>5170</v>
          </cell>
          <cell r="B41" t="str">
            <v>Natural Brands 3+1 Lemonade Base &amp; Sour Mix Gln 4pk</v>
          </cell>
          <cell r="C41" t="str">
            <v>Lemon Juice</v>
          </cell>
          <cell r="D41">
            <v>120</v>
          </cell>
          <cell r="E41" t="str">
            <v>FG Refrigerated 40</v>
          </cell>
          <cell r="F41" t="str">
            <v>CS</v>
          </cell>
          <cell r="G41">
            <v>7992</v>
          </cell>
          <cell r="H41">
            <v>48</v>
          </cell>
          <cell r="I41">
            <v>166.5</v>
          </cell>
          <cell r="J41">
            <v>1</v>
          </cell>
          <cell r="K41">
            <v>166.5</v>
          </cell>
          <cell r="L41">
            <v>2.60876254305624</v>
          </cell>
          <cell r="M41">
            <v>5.4349219647005002E-2</v>
          </cell>
        </row>
        <row r="42">
          <cell r="A42">
            <v>5204</v>
          </cell>
          <cell r="B42" t="str">
            <v>SOI Sweet &amp; Sour Mix 3+1 FZN [5204]</v>
          </cell>
          <cell r="C42" t="str">
            <v>Marg mix</v>
          </cell>
          <cell r="D42">
            <v>547</v>
          </cell>
          <cell r="E42" t="str">
            <v>FG Frozen</v>
          </cell>
          <cell r="F42" t="str">
            <v>CS</v>
          </cell>
          <cell r="G42">
            <v>611</v>
          </cell>
          <cell r="H42">
            <v>60</v>
          </cell>
          <cell r="I42">
            <v>10.183333333333334</v>
          </cell>
          <cell r="J42">
            <v>10</v>
          </cell>
          <cell r="K42">
            <v>101.83333333333334</v>
          </cell>
          <cell r="L42">
            <v>2.60876254305624</v>
          </cell>
          <cell r="M42">
            <v>0.43479375717604002</v>
          </cell>
        </row>
        <row r="43">
          <cell r="A43">
            <v>5314</v>
          </cell>
          <cell r="B43" t="str">
            <v>Bloody Mary Mix 6pk Hgln Rykoff Sexton [5314]</v>
          </cell>
          <cell r="C43" t="str">
            <v>Marg mix</v>
          </cell>
          <cell r="D43">
            <v>70</v>
          </cell>
          <cell r="E43" t="str">
            <v>FG Refrigerated 70</v>
          </cell>
          <cell r="F43" t="str">
            <v>CS</v>
          </cell>
          <cell r="G43">
            <v>8973</v>
          </cell>
          <cell r="H43">
            <v>75</v>
          </cell>
          <cell r="I43">
            <v>119.64</v>
          </cell>
          <cell r="J43">
            <v>3</v>
          </cell>
          <cell r="K43">
            <v>358.92</v>
          </cell>
          <cell r="L43">
            <v>2.60876254305624</v>
          </cell>
          <cell r="M43">
            <v>0.10435050172224959</v>
          </cell>
        </row>
        <row r="44">
          <cell r="A44">
            <v>5315</v>
          </cell>
          <cell r="B44" t="str">
            <v>SO Bloody Mary Mix 6pk Hgln</v>
          </cell>
          <cell r="C44" t="str">
            <v>Marg mix</v>
          </cell>
          <cell r="D44">
            <v>70</v>
          </cell>
          <cell r="E44" t="str">
            <v>FG Refrigerated 70</v>
          </cell>
          <cell r="F44" t="str">
            <v>CS</v>
          </cell>
          <cell r="G44">
            <v>3131</v>
          </cell>
          <cell r="H44">
            <v>75</v>
          </cell>
          <cell r="I44">
            <v>41.74666666666667</v>
          </cell>
          <cell r="J44">
            <v>3</v>
          </cell>
          <cell r="K44">
            <v>125.24000000000001</v>
          </cell>
          <cell r="L44">
            <v>2.60876254305624</v>
          </cell>
          <cell r="M44">
            <v>0.10435050172224959</v>
          </cell>
        </row>
        <row r="45">
          <cell r="A45">
            <v>5806</v>
          </cell>
          <cell r="B45" t="str">
            <v>Premium Lime Lemon 4pk Gln [5806]</v>
          </cell>
          <cell r="C45" t="str">
            <v>Marg mix</v>
          </cell>
          <cell r="D45">
            <v>50</v>
          </cell>
          <cell r="E45" t="str">
            <v>FG Refrigerated 50</v>
          </cell>
          <cell r="F45" t="str">
            <v>CS</v>
          </cell>
          <cell r="G45">
            <v>193904</v>
          </cell>
          <cell r="H45">
            <v>60</v>
          </cell>
          <cell r="I45">
            <v>3231.7333333333331</v>
          </cell>
          <cell r="J45">
            <v>1.5</v>
          </cell>
          <cell r="K45">
            <v>4847.5999999999995</v>
          </cell>
          <cell r="L45">
            <v>2.60876254305624</v>
          </cell>
          <cell r="M45">
            <v>6.5219063576406E-2</v>
          </cell>
        </row>
        <row r="46">
          <cell r="A46">
            <v>5815</v>
          </cell>
          <cell r="B46" t="str">
            <v>SOI 50/50 Lemon Lime Juice HGln 6pk [5815]</v>
          </cell>
          <cell r="C46" t="str">
            <v>Marg mix</v>
          </cell>
          <cell r="D46">
            <v>50</v>
          </cell>
          <cell r="E46" t="str">
            <v>FG Refrigerated 50</v>
          </cell>
          <cell r="F46" t="str">
            <v>CS</v>
          </cell>
          <cell r="G46">
            <v>0</v>
          </cell>
          <cell r="H46">
            <v>75</v>
          </cell>
          <cell r="I46">
            <v>0</v>
          </cell>
          <cell r="J46">
            <v>1.5</v>
          </cell>
          <cell r="K46">
            <v>0</v>
          </cell>
          <cell r="L46">
            <v>2.60876254305624</v>
          </cell>
          <cell r="M46">
            <v>5.2175250861124796E-2</v>
          </cell>
        </row>
        <row r="47">
          <cell r="A47">
            <v>6225</v>
          </cell>
          <cell r="B47" t="str">
            <v>SOI Lime Juice FZN Qt 6pk [6225]</v>
          </cell>
          <cell r="C47" t="str">
            <v>Lime Juice</v>
          </cell>
          <cell r="D47">
            <v>547</v>
          </cell>
          <cell r="E47" t="str">
            <v>FG Frozen</v>
          </cell>
          <cell r="F47" t="str">
            <v>CS</v>
          </cell>
          <cell r="G47">
            <v>13205</v>
          </cell>
          <cell r="H47">
            <v>120</v>
          </cell>
          <cell r="I47">
            <v>110.04166666666667</v>
          </cell>
          <cell r="J47">
            <v>10</v>
          </cell>
          <cell r="K47">
            <v>1100.4166666666667</v>
          </cell>
          <cell r="L47">
            <v>2.60876254305624</v>
          </cell>
          <cell r="M47">
            <v>0.21739687858802001</v>
          </cell>
        </row>
        <row r="48">
          <cell r="A48">
            <v>6227</v>
          </cell>
          <cell r="B48" t="str">
            <v>SOI Lime Juice FZN Qt 16pk [6227]</v>
          </cell>
          <cell r="C48" t="str">
            <v>Lime Juice</v>
          </cell>
          <cell r="D48">
            <v>547</v>
          </cell>
          <cell r="E48" t="str">
            <v>FG Frozen</v>
          </cell>
          <cell r="F48" t="str">
            <v>CS</v>
          </cell>
          <cell r="G48">
            <v>1078</v>
          </cell>
          <cell r="H48">
            <v>60</v>
          </cell>
          <cell r="I48">
            <v>17.966666666666665</v>
          </cell>
          <cell r="J48">
            <v>10</v>
          </cell>
          <cell r="K48">
            <v>179.66666666666666</v>
          </cell>
          <cell r="L48">
            <v>2.60876254305624</v>
          </cell>
          <cell r="M48">
            <v>0.43479375717604002</v>
          </cell>
        </row>
        <row r="49">
          <cell r="A49">
            <v>6501</v>
          </cell>
          <cell r="B49" t="str">
            <v>Qdoba Lime Juice Gln 4pk [6501]</v>
          </cell>
          <cell r="C49" t="str">
            <v>Lime Juice</v>
          </cell>
          <cell r="D49">
            <v>54</v>
          </cell>
          <cell r="E49" t="str">
            <v>FG Refrigerated 50</v>
          </cell>
          <cell r="F49" t="str">
            <v>CS</v>
          </cell>
          <cell r="G49">
            <v>33538</v>
          </cell>
          <cell r="H49">
            <v>60</v>
          </cell>
          <cell r="I49">
            <v>558.9666666666667</v>
          </cell>
          <cell r="J49">
            <v>1.5</v>
          </cell>
          <cell r="K49">
            <v>838.45</v>
          </cell>
          <cell r="L49">
            <v>2.60876254305624</v>
          </cell>
          <cell r="M49">
            <v>6.5219063576406E-2</v>
          </cell>
        </row>
        <row r="50">
          <cell r="A50">
            <v>6502</v>
          </cell>
          <cell r="B50" t="str">
            <v>SOI Lime Juice Gln 4pk [6502]</v>
          </cell>
          <cell r="C50" t="str">
            <v>Lime Juice</v>
          </cell>
          <cell r="D50">
            <v>54</v>
          </cell>
          <cell r="E50" t="str">
            <v>FG Refrigerated 50</v>
          </cell>
          <cell r="F50" t="str">
            <v>CS</v>
          </cell>
          <cell r="G50">
            <v>85329</v>
          </cell>
          <cell r="H50">
            <v>60</v>
          </cell>
          <cell r="I50">
            <v>1422.15</v>
          </cell>
          <cell r="J50">
            <v>1.5</v>
          </cell>
          <cell r="K50">
            <v>2133.2250000000004</v>
          </cell>
          <cell r="L50">
            <v>2.60876254305624</v>
          </cell>
          <cell r="M50">
            <v>6.5219063576406E-2</v>
          </cell>
        </row>
        <row r="51">
          <cell r="A51">
            <v>6506</v>
          </cell>
          <cell r="B51" t="str">
            <v>Markon Lime Juice HGln 6pk [6506]</v>
          </cell>
          <cell r="C51" t="str">
            <v>Lime Juice</v>
          </cell>
          <cell r="D51">
            <v>54</v>
          </cell>
          <cell r="E51" t="str">
            <v>FG Refrigerated 50</v>
          </cell>
          <cell r="F51" t="str">
            <v>CS</v>
          </cell>
          <cell r="G51">
            <v>86335</v>
          </cell>
          <cell r="H51">
            <v>75</v>
          </cell>
          <cell r="I51">
            <v>1151.1333333333334</v>
          </cell>
          <cell r="J51">
            <v>1.5</v>
          </cell>
          <cell r="K51">
            <v>1726.7000000000003</v>
          </cell>
          <cell r="L51">
            <v>2.60876254305624</v>
          </cell>
          <cell r="M51">
            <v>5.2175250861124796E-2</v>
          </cell>
        </row>
        <row r="52">
          <cell r="A52">
            <v>6508</v>
          </cell>
          <cell r="B52" t="str">
            <v>Markon Lime Juice Gln 4pk [6508]</v>
          </cell>
          <cell r="C52" t="str">
            <v>Lime Juice</v>
          </cell>
          <cell r="D52">
            <v>54</v>
          </cell>
          <cell r="E52" t="str">
            <v>FG Refrigerated 50</v>
          </cell>
          <cell r="F52" t="str">
            <v>CS</v>
          </cell>
          <cell r="G52">
            <v>54451</v>
          </cell>
          <cell r="H52">
            <v>60</v>
          </cell>
          <cell r="I52">
            <v>907.51666666666665</v>
          </cell>
          <cell r="J52">
            <v>1.5</v>
          </cell>
          <cell r="K52">
            <v>1361.2750000000001</v>
          </cell>
          <cell r="L52">
            <v>2.60876254305624</v>
          </cell>
          <cell r="M52">
            <v>6.5219063576406E-2</v>
          </cell>
        </row>
        <row r="53">
          <cell r="A53">
            <v>6510</v>
          </cell>
          <cell r="B53" t="str">
            <v>Markon Lime Juice Qt 16pk [6510]</v>
          </cell>
          <cell r="C53" t="str">
            <v>Lime Juice</v>
          </cell>
          <cell r="D53">
            <v>54</v>
          </cell>
          <cell r="E53" t="str">
            <v>FG Refrigerated 50</v>
          </cell>
          <cell r="F53" t="str">
            <v>CS</v>
          </cell>
          <cell r="G53">
            <v>0</v>
          </cell>
          <cell r="H53">
            <v>60</v>
          </cell>
          <cell r="I53">
            <v>0</v>
          </cell>
          <cell r="J53">
            <v>1.5</v>
          </cell>
          <cell r="K53">
            <v>0</v>
          </cell>
          <cell r="L53">
            <v>2.60876254305624</v>
          </cell>
          <cell r="M53">
            <v>6.5219063576406E-2</v>
          </cell>
        </row>
        <row r="54">
          <cell r="A54">
            <v>6513</v>
          </cell>
          <cell r="B54" t="str">
            <v>SOI Lime Juice HGln 6pk [6513]</v>
          </cell>
          <cell r="C54" t="str">
            <v>Lime Juice</v>
          </cell>
          <cell r="D54">
            <v>54</v>
          </cell>
          <cell r="E54" t="str">
            <v>FG Refrigerated 50</v>
          </cell>
          <cell r="F54" t="str">
            <v>CS</v>
          </cell>
          <cell r="G54">
            <v>22695</v>
          </cell>
          <cell r="H54">
            <v>75</v>
          </cell>
          <cell r="I54">
            <v>302.60000000000002</v>
          </cell>
          <cell r="J54">
            <v>1.5</v>
          </cell>
          <cell r="K54">
            <v>453.90000000000003</v>
          </cell>
          <cell r="L54">
            <v>2.60876254305624</v>
          </cell>
          <cell r="M54">
            <v>5.2175250861124796E-2</v>
          </cell>
        </row>
        <row r="55">
          <cell r="A55">
            <v>6516</v>
          </cell>
          <cell r="B55" t="str">
            <v>SOI Lime Juice Qt 6pk [6516]</v>
          </cell>
          <cell r="C55" t="str">
            <v>Lime Juice</v>
          </cell>
          <cell r="D55">
            <v>54</v>
          </cell>
          <cell r="E55" t="str">
            <v>FG Refrigerated 50</v>
          </cell>
          <cell r="F55" t="str">
            <v>CS</v>
          </cell>
          <cell r="G55">
            <v>73390</v>
          </cell>
          <cell r="H55">
            <v>120</v>
          </cell>
          <cell r="I55">
            <v>611.58333333333337</v>
          </cell>
          <cell r="J55">
            <v>1.5</v>
          </cell>
          <cell r="K55">
            <v>917.375</v>
          </cell>
          <cell r="L55">
            <v>2.60876254305624</v>
          </cell>
          <cell r="M55">
            <v>3.2609531788203E-2</v>
          </cell>
        </row>
        <row r="56">
          <cell r="A56">
            <v>6590</v>
          </cell>
          <cell r="B56" t="str">
            <v>SOI Limeade 3+1 FZN HGln 6pk [6590]</v>
          </cell>
          <cell r="C56" t="str">
            <v>Lime Juice</v>
          </cell>
          <cell r="D56">
            <v>547</v>
          </cell>
          <cell r="E56" t="str">
            <v>FG Frozen</v>
          </cell>
          <cell r="F56" t="str">
            <v>CS</v>
          </cell>
          <cell r="G56">
            <v>375</v>
          </cell>
          <cell r="H56">
            <v>60</v>
          </cell>
          <cell r="I56">
            <v>6.25</v>
          </cell>
          <cell r="J56">
            <v>10</v>
          </cell>
          <cell r="K56">
            <v>62.5</v>
          </cell>
          <cell r="L56">
            <v>2.60876254305624</v>
          </cell>
          <cell r="M56">
            <v>0.43479375717604002</v>
          </cell>
        </row>
        <row r="57">
          <cell r="A57">
            <v>6591</v>
          </cell>
          <cell r="B57" t="str">
            <v>SYSCO Lime Juice Gln 4pk [6591]</v>
          </cell>
          <cell r="C57" t="str">
            <v>Lime Juice</v>
          </cell>
          <cell r="D57">
            <v>54</v>
          </cell>
          <cell r="E57" t="str">
            <v>FG Refrigerated 50</v>
          </cell>
          <cell r="F57" t="str">
            <v>CS</v>
          </cell>
          <cell r="G57">
            <v>69677</v>
          </cell>
          <cell r="H57">
            <v>60</v>
          </cell>
          <cell r="I57">
            <v>1161.2833333333333</v>
          </cell>
          <cell r="J57">
            <v>1.5</v>
          </cell>
          <cell r="K57">
            <v>1741.925</v>
          </cell>
          <cell r="L57">
            <v>2.60876254305624</v>
          </cell>
          <cell r="M57">
            <v>6.5219063576406E-2</v>
          </cell>
        </row>
        <row r="58">
          <cell r="A58">
            <v>6593</v>
          </cell>
          <cell r="B58" t="str">
            <v>SYSCO Lime Juice Qt 6pk [6593]</v>
          </cell>
          <cell r="C58" t="str">
            <v>Lime Juice</v>
          </cell>
          <cell r="D58">
            <v>54</v>
          </cell>
          <cell r="E58" t="str">
            <v>FG Refrigerated 50</v>
          </cell>
          <cell r="F58" t="str">
            <v>CS</v>
          </cell>
          <cell r="G58">
            <v>80054</v>
          </cell>
          <cell r="H58">
            <v>120</v>
          </cell>
          <cell r="I58">
            <v>667.11666666666667</v>
          </cell>
          <cell r="J58">
            <v>1.5</v>
          </cell>
          <cell r="K58">
            <v>1000.675</v>
          </cell>
          <cell r="L58">
            <v>2.60876254305624</v>
          </cell>
          <cell r="M58">
            <v>3.2609531788203E-2</v>
          </cell>
        </row>
        <row r="59">
          <cell r="A59">
            <v>6617</v>
          </cell>
          <cell r="B59" t="str">
            <v>Key Lime Juice 12pk Qt Rykoff Sexton [6617]</v>
          </cell>
          <cell r="C59" t="str">
            <v>Lime Juice</v>
          </cell>
          <cell r="D59">
            <v>50</v>
          </cell>
          <cell r="E59" t="str">
            <v>FG Refrigerated 50</v>
          </cell>
          <cell r="F59" t="str">
            <v>CS</v>
          </cell>
          <cell r="G59">
            <v>9962</v>
          </cell>
          <cell r="H59">
            <v>75</v>
          </cell>
          <cell r="I59">
            <v>132.82666666666665</v>
          </cell>
          <cell r="J59">
            <v>1.5</v>
          </cell>
          <cell r="K59">
            <v>199.23999999999998</v>
          </cell>
          <cell r="L59">
            <v>2.60876254305624</v>
          </cell>
          <cell r="M59">
            <v>5.2175250861124796E-2</v>
          </cell>
        </row>
        <row r="60">
          <cell r="A60">
            <v>6951</v>
          </cell>
          <cell r="B60" t="str">
            <v>Past Lime Juice Drum FZN</v>
          </cell>
          <cell r="C60" t="str">
            <v>Lime Juice</v>
          </cell>
          <cell r="D60">
            <v>547</v>
          </cell>
          <cell r="E60" t="str">
            <v>FG Frozen</v>
          </cell>
          <cell r="F60" t="str">
            <v>DR</v>
          </cell>
          <cell r="G60">
            <v>0</v>
          </cell>
          <cell r="H60">
            <v>192</v>
          </cell>
          <cell r="I60">
            <v>0</v>
          </cell>
          <cell r="J60">
            <v>10</v>
          </cell>
          <cell r="K60">
            <v>0</v>
          </cell>
          <cell r="L60">
            <v>2.60876254305624</v>
          </cell>
          <cell r="M60">
            <v>0.1358730491175125</v>
          </cell>
        </row>
        <row r="61">
          <cell r="A61">
            <v>6952</v>
          </cell>
          <cell r="B61" t="str">
            <v>Past Lime Juice Drum REF [6952]</v>
          </cell>
          <cell r="C61" t="str">
            <v>Lime Juice</v>
          </cell>
          <cell r="D61">
            <v>50</v>
          </cell>
          <cell r="E61" t="str">
            <v>FG Refrigerated 50</v>
          </cell>
          <cell r="F61" t="str">
            <v>DR</v>
          </cell>
          <cell r="G61">
            <v>0</v>
          </cell>
          <cell r="H61">
            <v>192</v>
          </cell>
          <cell r="I61">
            <v>0</v>
          </cell>
          <cell r="J61">
            <v>1.5</v>
          </cell>
          <cell r="K61">
            <v>0</v>
          </cell>
          <cell r="L61">
            <v>2.60876254305624</v>
          </cell>
          <cell r="M61">
            <v>2.0380957367626875E-2</v>
          </cell>
        </row>
        <row r="62">
          <cell r="A62">
            <v>7415</v>
          </cell>
          <cell r="B62" t="str">
            <v>SO 100% Valencia Orange Juice HGln 6pk</v>
          </cell>
          <cell r="C62" t="str">
            <v>OJ</v>
          </cell>
          <cell r="D62">
            <v>50</v>
          </cell>
          <cell r="E62" t="str">
            <v>FG Refrigerated 40</v>
          </cell>
          <cell r="F62" t="str">
            <v>CS</v>
          </cell>
          <cell r="G62">
            <v>0</v>
          </cell>
          <cell r="H62">
            <v>75</v>
          </cell>
          <cell r="I62">
            <v>0</v>
          </cell>
          <cell r="J62">
            <v>1</v>
          </cell>
          <cell r="K62">
            <v>0</v>
          </cell>
          <cell r="L62">
            <v>2.60876254305624</v>
          </cell>
          <cell r="M62">
            <v>3.47835005740832E-2</v>
          </cell>
        </row>
        <row r="63">
          <cell r="A63">
            <v>7416</v>
          </cell>
          <cell r="B63" t="str">
            <v>Sun Orchard Orange Juice Qt 6pk [7416]</v>
          </cell>
          <cell r="C63" t="str">
            <v>OJ</v>
          </cell>
          <cell r="D63">
            <v>50</v>
          </cell>
          <cell r="E63" t="str">
            <v>FG Refrigerated 50</v>
          </cell>
          <cell r="F63" t="str">
            <v>CS</v>
          </cell>
          <cell r="G63">
            <v>6888</v>
          </cell>
          <cell r="H63">
            <v>120</v>
          </cell>
          <cell r="I63">
            <v>57.4</v>
          </cell>
          <cell r="J63">
            <v>1.5</v>
          </cell>
          <cell r="K63">
            <v>86.1</v>
          </cell>
          <cell r="L63">
            <v>2.60876254305624</v>
          </cell>
          <cell r="M63">
            <v>3.2609531788203E-2</v>
          </cell>
        </row>
        <row r="64">
          <cell r="A64">
            <v>7442</v>
          </cell>
          <cell r="B64" t="str">
            <v>SO NP Valencia Orange Juice FZN 61.5oz 6pk</v>
          </cell>
          <cell r="C64" t="str">
            <v>OJ</v>
          </cell>
          <cell r="D64">
            <v>547</v>
          </cell>
          <cell r="E64" t="str">
            <v>FG Frozen</v>
          </cell>
          <cell r="F64" t="str">
            <v>CS</v>
          </cell>
          <cell r="G64">
            <v>0</v>
          </cell>
          <cell r="H64">
            <v>120</v>
          </cell>
          <cell r="I64">
            <v>0</v>
          </cell>
          <cell r="J64">
            <v>10</v>
          </cell>
          <cell r="K64">
            <v>0</v>
          </cell>
          <cell r="L64">
            <v>2.60876254305624</v>
          </cell>
          <cell r="M64">
            <v>0.21739687858802001</v>
          </cell>
        </row>
        <row r="65">
          <cell r="A65">
            <v>7502</v>
          </cell>
          <cell r="B65" t="str">
            <v>SOI Orange Juice Gln 4pk [7502]</v>
          </cell>
          <cell r="C65" t="str">
            <v>OJ</v>
          </cell>
          <cell r="D65">
            <v>50</v>
          </cell>
          <cell r="E65" t="str">
            <v>FG Refrigerated 50</v>
          </cell>
          <cell r="F65" t="str">
            <v>CS</v>
          </cell>
          <cell r="G65">
            <v>110490</v>
          </cell>
          <cell r="H65">
            <v>60</v>
          </cell>
          <cell r="I65">
            <v>1841.5</v>
          </cell>
          <cell r="J65">
            <v>1.5</v>
          </cell>
          <cell r="K65">
            <v>2762.25</v>
          </cell>
          <cell r="L65">
            <v>2.60876254305624</v>
          </cell>
          <cell r="M65">
            <v>6.5219063576406E-2</v>
          </cell>
        </row>
        <row r="66">
          <cell r="A66">
            <v>7504</v>
          </cell>
          <cell r="B66" t="str">
            <v>Panera Premium Orange Juice 6pk 64oz [7504]</v>
          </cell>
          <cell r="C66" t="str">
            <v>OJ</v>
          </cell>
          <cell r="D66">
            <v>50</v>
          </cell>
          <cell r="E66" t="str">
            <v>FG Refrigerated 50</v>
          </cell>
          <cell r="F66" t="str">
            <v>CS</v>
          </cell>
          <cell r="G66">
            <v>0</v>
          </cell>
          <cell r="H66">
            <v>75</v>
          </cell>
          <cell r="I66">
            <v>0</v>
          </cell>
          <cell r="J66">
            <v>1.5</v>
          </cell>
          <cell r="K66">
            <v>0</v>
          </cell>
          <cell r="L66">
            <v>2.60876254305624</v>
          </cell>
          <cell r="M66">
            <v>5.2175250861124796E-2</v>
          </cell>
        </row>
        <row r="67">
          <cell r="A67">
            <v>7506</v>
          </cell>
          <cell r="B67" t="str">
            <v>Markon Orange Juice Gln 4pk [7506]</v>
          </cell>
          <cell r="C67" t="str">
            <v>OJ</v>
          </cell>
          <cell r="D67">
            <v>50</v>
          </cell>
          <cell r="E67" t="str">
            <v>FG Refrigerated 50</v>
          </cell>
          <cell r="F67" t="str">
            <v>CS</v>
          </cell>
          <cell r="G67">
            <v>172287</v>
          </cell>
          <cell r="H67">
            <v>60</v>
          </cell>
          <cell r="I67">
            <v>2871.45</v>
          </cell>
          <cell r="J67">
            <v>1.5</v>
          </cell>
          <cell r="K67">
            <v>4307.1749999999993</v>
          </cell>
          <cell r="L67">
            <v>2.60876254305624</v>
          </cell>
          <cell r="M67">
            <v>6.5219063576406E-2</v>
          </cell>
        </row>
        <row r="68">
          <cell r="A68">
            <v>7515</v>
          </cell>
          <cell r="B68" t="str">
            <v>SOI Orange Juice HGln 6pk [7515]</v>
          </cell>
          <cell r="C68" t="str">
            <v>OJ</v>
          </cell>
          <cell r="D68">
            <v>50</v>
          </cell>
          <cell r="E68" t="str">
            <v>FG Refrigerated 50</v>
          </cell>
          <cell r="F68" t="str">
            <v>CS</v>
          </cell>
          <cell r="G68">
            <v>0</v>
          </cell>
          <cell r="H68">
            <v>75</v>
          </cell>
          <cell r="I68">
            <v>0</v>
          </cell>
          <cell r="J68">
            <v>1.5</v>
          </cell>
          <cell r="K68">
            <v>0</v>
          </cell>
          <cell r="L68">
            <v>2.60876254305624</v>
          </cell>
          <cell r="M68">
            <v>5.2175250861124796E-2</v>
          </cell>
        </row>
        <row r="69">
          <cell r="A69">
            <v>7519</v>
          </cell>
          <cell r="B69" t="str">
            <v>Panera OJ 24pk 11.5 oz RTS [7519]</v>
          </cell>
          <cell r="C69" t="str">
            <v>OJ</v>
          </cell>
          <cell r="D69">
            <v>50</v>
          </cell>
          <cell r="E69" t="str">
            <v>FG Refrigerated 50</v>
          </cell>
          <cell r="F69" t="str">
            <v>CS</v>
          </cell>
          <cell r="G69">
            <v>0</v>
          </cell>
          <cell r="H69">
            <v>96</v>
          </cell>
          <cell r="I69">
            <v>0</v>
          </cell>
          <cell r="J69">
            <v>1.5</v>
          </cell>
          <cell r="K69">
            <v>0</v>
          </cell>
          <cell r="L69">
            <v>2.60876254305624</v>
          </cell>
          <cell r="M69">
            <v>4.076191473525375E-2</v>
          </cell>
        </row>
        <row r="70">
          <cell r="A70">
            <v>7534</v>
          </cell>
          <cell r="B70" t="str">
            <v>SOI Orange Juice 12oz 24pk [7534]</v>
          </cell>
          <cell r="C70" t="str">
            <v>OJ</v>
          </cell>
          <cell r="D70">
            <v>50</v>
          </cell>
          <cell r="E70" t="str">
            <v>FG Refrigerated 50</v>
          </cell>
          <cell r="F70" t="str">
            <v>CS</v>
          </cell>
          <cell r="G70">
            <v>0</v>
          </cell>
          <cell r="H70">
            <v>96</v>
          </cell>
          <cell r="I70">
            <v>0</v>
          </cell>
          <cell r="J70">
            <v>1.5</v>
          </cell>
          <cell r="K70">
            <v>0</v>
          </cell>
          <cell r="L70">
            <v>2.60876254305624</v>
          </cell>
          <cell r="M70">
            <v>4.076191473525375E-2</v>
          </cell>
        </row>
        <row r="71">
          <cell r="A71">
            <v>7540</v>
          </cell>
          <cell r="B71" t="str">
            <v>SOI Orange Juice NP Gln 4pk [7540]</v>
          </cell>
          <cell r="C71" t="str">
            <v>OJ</v>
          </cell>
          <cell r="D71">
            <v>50</v>
          </cell>
          <cell r="E71" t="str">
            <v>FG Refrigerated 50</v>
          </cell>
          <cell r="F71" t="str">
            <v>CS</v>
          </cell>
          <cell r="G71">
            <v>22615</v>
          </cell>
          <cell r="H71">
            <v>60</v>
          </cell>
          <cell r="I71">
            <v>376.91666666666669</v>
          </cell>
          <cell r="J71">
            <v>1.5</v>
          </cell>
          <cell r="K71">
            <v>565.375</v>
          </cell>
          <cell r="L71">
            <v>2.60876254305624</v>
          </cell>
          <cell r="M71">
            <v>6.5219063576406E-2</v>
          </cell>
        </row>
        <row r="72">
          <cell r="A72">
            <v>7542</v>
          </cell>
          <cell r="B72" t="str">
            <v>SOI NP Orange Juice FZN 61.5oz 6pk [7542]</v>
          </cell>
          <cell r="C72" t="str">
            <v>OJ</v>
          </cell>
          <cell r="D72">
            <v>547</v>
          </cell>
          <cell r="E72" t="str">
            <v>FG Frozen</v>
          </cell>
          <cell r="F72" t="str">
            <v>CS</v>
          </cell>
          <cell r="G72">
            <v>1206</v>
          </cell>
          <cell r="H72">
            <v>75</v>
          </cell>
          <cell r="I72">
            <v>16.079999999999998</v>
          </cell>
          <cell r="J72">
            <v>10</v>
          </cell>
          <cell r="K72">
            <v>160.79999999999998</v>
          </cell>
          <cell r="L72">
            <v>2.60876254305624</v>
          </cell>
          <cell r="M72">
            <v>0.34783500574083204</v>
          </cell>
        </row>
        <row r="73">
          <cell r="A73">
            <v>7554</v>
          </cell>
          <cell r="B73" t="str">
            <v>Cal Val OJ 6pk Hgln Rykoff Sexton [7554]</v>
          </cell>
          <cell r="C73" t="str">
            <v>OJ</v>
          </cell>
          <cell r="D73">
            <v>50</v>
          </cell>
          <cell r="E73" t="str">
            <v>FG Refrigerated 50</v>
          </cell>
          <cell r="F73" t="str">
            <v>CS</v>
          </cell>
          <cell r="G73">
            <v>61738</v>
          </cell>
          <cell r="H73">
            <v>75</v>
          </cell>
          <cell r="I73">
            <v>823.17333333333329</v>
          </cell>
          <cell r="J73">
            <v>1.5</v>
          </cell>
          <cell r="K73">
            <v>1234.76</v>
          </cell>
          <cell r="L73">
            <v>2.60876254305624</v>
          </cell>
          <cell r="M73">
            <v>5.2175250861124796E-2</v>
          </cell>
        </row>
        <row r="74">
          <cell r="A74">
            <v>7591</v>
          </cell>
          <cell r="B74" t="str">
            <v>SYSCO Orange Juice Gln 4pk [7591]</v>
          </cell>
          <cell r="C74" t="str">
            <v>OJ</v>
          </cell>
          <cell r="D74">
            <v>50</v>
          </cell>
          <cell r="E74" t="str">
            <v>FG Refrigerated 50</v>
          </cell>
          <cell r="F74" t="str">
            <v>CS</v>
          </cell>
          <cell r="G74">
            <v>187657</v>
          </cell>
          <cell r="H74">
            <v>60</v>
          </cell>
          <cell r="I74">
            <v>3127.6166666666668</v>
          </cell>
          <cell r="J74">
            <v>1.5</v>
          </cell>
          <cell r="K74">
            <v>4691.4250000000002</v>
          </cell>
          <cell r="L74">
            <v>2.60876254305624</v>
          </cell>
          <cell r="M74">
            <v>6.5219063576406E-2</v>
          </cell>
        </row>
        <row r="75">
          <cell r="A75">
            <v>7593</v>
          </cell>
          <cell r="B75" t="str">
            <v>SYSCO Orange Juice NP Gln 4pk [7593]</v>
          </cell>
          <cell r="C75" t="str">
            <v>OJ</v>
          </cell>
          <cell r="D75">
            <v>50</v>
          </cell>
          <cell r="E75" t="str">
            <v>FG Refrigerated 50</v>
          </cell>
          <cell r="F75" t="str">
            <v>CS</v>
          </cell>
          <cell r="G75">
            <v>78166</v>
          </cell>
          <cell r="H75">
            <v>60</v>
          </cell>
          <cell r="I75">
            <v>1302.7666666666667</v>
          </cell>
          <cell r="J75">
            <v>1.5</v>
          </cell>
          <cell r="K75">
            <v>1954.15</v>
          </cell>
          <cell r="L75">
            <v>2.60876254305624</v>
          </cell>
          <cell r="M75">
            <v>6.5219063576406E-2</v>
          </cell>
        </row>
        <row r="76">
          <cell r="A76">
            <v>7602</v>
          </cell>
          <cell r="B76" t="str">
            <v>Snooze Orange Juice Gln 4pk</v>
          </cell>
          <cell r="C76" t="str">
            <v>OJ</v>
          </cell>
          <cell r="D76">
            <v>50</v>
          </cell>
          <cell r="E76" t="str">
            <v>FG Refrigerated 40</v>
          </cell>
          <cell r="F76" t="str">
            <v>CS</v>
          </cell>
          <cell r="G76">
            <v>8823</v>
          </cell>
          <cell r="H76">
            <v>60</v>
          </cell>
          <cell r="I76">
            <v>147.05000000000001</v>
          </cell>
          <cell r="J76">
            <v>1</v>
          </cell>
          <cell r="K76">
            <v>147.05000000000001</v>
          </cell>
          <cell r="L76">
            <v>2.60876254305624</v>
          </cell>
          <cell r="M76">
            <v>4.3479375717603998E-2</v>
          </cell>
        </row>
        <row r="77">
          <cell r="A77">
            <v>7900</v>
          </cell>
          <cell r="B77" t="str">
            <v>SOI Valencia Oil Drum [7900]</v>
          </cell>
          <cell r="C77" t="str">
            <v>OJ</v>
          </cell>
          <cell r="D77">
            <v>730</v>
          </cell>
          <cell r="E77" t="str">
            <v>Oil</v>
          </cell>
          <cell r="F77" t="str">
            <v>LB</v>
          </cell>
          <cell r="G77">
            <v>19692</v>
          </cell>
          <cell r="H77">
            <v>1600</v>
          </cell>
          <cell r="I77">
            <v>12.307499999999999</v>
          </cell>
          <cell r="J77">
            <v>4</v>
          </cell>
          <cell r="K77">
            <v>49.23</v>
          </cell>
          <cell r="L77">
            <v>2.60876254305624</v>
          </cell>
          <cell r="M77">
            <v>6.5219063576406004E-3</v>
          </cell>
        </row>
        <row r="78">
          <cell r="A78">
            <v>7940</v>
          </cell>
          <cell r="B78" t="str">
            <v>Past No Pulp Orange Juice Drums REF</v>
          </cell>
          <cell r="C78" t="str">
            <v>OJ</v>
          </cell>
          <cell r="D78">
            <v>547</v>
          </cell>
          <cell r="E78" t="str">
            <v>FG Frozen</v>
          </cell>
          <cell r="F78" t="str">
            <v>DR</v>
          </cell>
          <cell r="G78">
            <v>1</v>
          </cell>
          <cell r="H78">
            <v>4</v>
          </cell>
          <cell r="I78">
            <v>0.25</v>
          </cell>
          <cell r="J78">
            <v>10</v>
          </cell>
          <cell r="K78">
            <v>2.5</v>
          </cell>
          <cell r="L78">
            <v>2.60876254305624</v>
          </cell>
          <cell r="M78">
            <v>6.5219063576406002</v>
          </cell>
        </row>
        <row r="79">
          <cell r="A79">
            <v>7961</v>
          </cell>
          <cell r="B79" t="str">
            <v>100% CA Valencia OJ Drums FZN 48GL</v>
          </cell>
          <cell r="C79" t="str">
            <v>OJ</v>
          </cell>
          <cell r="D79">
            <v>547</v>
          </cell>
          <cell r="E79" t="str">
            <v>FG Frozen</v>
          </cell>
          <cell r="F79" t="str">
            <v>CS</v>
          </cell>
          <cell r="G79">
            <v>0</v>
          </cell>
          <cell r="H79">
            <v>60</v>
          </cell>
          <cell r="I79">
            <v>0</v>
          </cell>
          <cell r="J79">
            <v>10</v>
          </cell>
          <cell r="K79">
            <v>0</v>
          </cell>
          <cell r="L79">
            <v>2.60876254305624</v>
          </cell>
          <cell r="M79">
            <v>0.43479375717604002</v>
          </cell>
        </row>
        <row r="80">
          <cell r="A80">
            <v>8225</v>
          </cell>
          <cell r="B80" t="str">
            <v>SOI Grapefruit Juice 30.5oz 6pk FZN [8225]</v>
          </cell>
          <cell r="D80">
            <v>548</v>
          </cell>
          <cell r="E80" t="str">
            <v>FG Frozen</v>
          </cell>
          <cell r="F80" t="str">
            <v>CS</v>
          </cell>
          <cell r="G80">
            <v>240</v>
          </cell>
          <cell r="H80">
            <v>120</v>
          </cell>
          <cell r="I80">
            <v>2</v>
          </cell>
          <cell r="J80">
            <v>10</v>
          </cell>
          <cell r="K80">
            <v>20</v>
          </cell>
          <cell r="L80">
            <v>2.60876254305624</v>
          </cell>
          <cell r="M80">
            <v>0.21739687858802001</v>
          </cell>
        </row>
        <row r="81">
          <cell r="A81">
            <v>8506</v>
          </cell>
          <cell r="B81" t="str">
            <v>Markon GFT Juice HGln 6pk [8506]</v>
          </cell>
          <cell r="D81">
            <v>50</v>
          </cell>
          <cell r="E81" t="str">
            <v>FG Refrigerated 50</v>
          </cell>
          <cell r="F81" t="str">
            <v>CS</v>
          </cell>
          <cell r="G81">
            <v>0</v>
          </cell>
          <cell r="H81">
            <v>75</v>
          </cell>
          <cell r="I81">
            <v>0</v>
          </cell>
          <cell r="J81">
            <v>1.5</v>
          </cell>
          <cell r="K81">
            <v>0</v>
          </cell>
          <cell r="L81">
            <v>2.60876254305624</v>
          </cell>
          <cell r="M81">
            <v>5.2175250861124796E-2</v>
          </cell>
        </row>
        <row r="82">
          <cell r="A82">
            <v>8513</v>
          </cell>
          <cell r="B82" t="str">
            <v>SOI Gft Juice HGln 6pk [8513]</v>
          </cell>
          <cell r="D82">
            <v>50</v>
          </cell>
          <cell r="E82" t="str">
            <v>FG Refrigerated 50</v>
          </cell>
          <cell r="F82" t="str">
            <v>CS</v>
          </cell>
          <cell r="G82">
            <v>37550</v>
          </cell>
          <cell r="H82">
            <v>75</v>
          </cell>
          <cell r="I82">
            <v>500.66666666666669</v>
          </cell>
          <cell r="J82">
            <v>1.5</v>
          </cell>
          <cell r="K82">
            <v>751</v>
          </cell>
          <cell r="L82">
            <v>2.60876254305624</v>
          </cell>
          <cell r="M82">
            <v>5.2175250861124796E-2</v>
          </cell>
        </row>
        <row r="83">
          <cell r="A83">
            <v>8592</v>
          </cell>
          <cell r="B83" t="str">
            <v>SYSCO Gft Juice HGln 6pk [8592]</v>
          </cell>
          <cell r="D83">
            <v>50</v>
          </cell>
          <cell r="E83" t="str">
            <v>FG Refrigerated 50</v>
          </cell>
          <cell r="F83" t="str">
            <v>CS</v>
          </cell>
          <cell r="G83">
            <v>0</v>
          </cell>
          <cell r="H83">
            <v>75</v>
          </cell>
          <cell r="I83">
            <v>0</v>
          </cell>
          <cell r="J83">
            <v>1.5</v>
          </cell>
          <cell r="K83">
            <v>0</v>
          </cell>
          <cell r="L83">
            <v>2.60876254305624</v>
          </cell>
          <cell r="M83">
            <v>5.2175250861124796E-2</v>
          </cell>
        </row>
        <row r="84">
          <cell r="A84">
            <v>8951</v>
          </cell>
          <cell r="B84" t="str">
            <v>Past Grapefruit Juice Drums FZN [8951]</v>
          </cell>
          <cell r="D84">
            <v>547</v>
          </cell>
          <cell r="E84" t="str">
            <v>FG Frozen</v>
          </cell>
          <cell r="F84" t="str">
            <v>DR</v>
          </cell>
          <cell r="G84">
            <v>0</v>
          </cell>
          <cell r="H84">
            <v>4</v>
          </cell>
          <cell r="I84">
            <v>0</v>
          </cell>
          <cell r="J84">
            <v>10</v>
          </cell>
          <cell r="K84">
            <v>0</v>
          </cell>
          <cell r="L84">
            <v>2.60876254305624</v>
          </cell>
          <cell r="M84">
            <v>6.5219063576406002</v>
          </cell>
        </row>
        <row r="85">
          <cell r="A85">
            <v>8952</v>
          </cell>
          <cell r="B85" t="str">
            <v>Past Grapefruit Juice Drums REF [8952]</v>
          </cell>
          <cell r="D85">
            <v>50</v>
          </cell>
          <cell r="E85" t="str">
            <v>FG Refrigerated 50</v>
          </cell>
          <cell r="F85" t="str">
            <v>DR</v>
          </cell>
          <cell r="G85">
            <v>1</v>
          </cell>
          <cell r="H85">
            <v>4</v>
          </cell>
          <cell r="I85">
            <v>0.25</v>
          </cell>
          <cell r="J85">
            <v>1.5</v>
          </cell>
          <cell r="K85">
            <v>0.375</v>
          </cell>
          <cell r="L85">
            <v>2.60876254305624</v>
          </cell>
          <cell r="M85">
            <v>0.97828595364608995</v>
          </cell>
        </row>
        <row r="86">
          <cell r="A86">
            <v>9002</v>
          </cell>
          <cell r="B86" t="str">
            <v>SOI LA Gln 4pk [9002]</v>
          </cell>
          <cell r="C86" t="str">
            <v>Lemon Juice</v>
          </cell>
          <cell r="D86">
            <v>50</v>
          </cell>
          <cell r="E86" t="str">
            <v>FG Refrigerated 50</v>
          </cell>
          <cell r="F86" t="str">
            <v>CS</v>
          </cell>
          <cell r="G86">
            <v>16941</v>
          </cell>
          <cell r="H86">
            <v>60</v>
          </cell>
          <cell r="I86">
            <v>282.35000000000002</v>
          </cell>
          <cell r="J86">
            <v>1.5</v>
          </cell>
          <cell r="K86">
            <v>423.52500000000003</v>
          </cell>
          <cell r="L86">
            <v>2.60876254305624</v>
          </cell>
          <cell r="M86">
            <v>6.5219063576406E-2</v>
          </cell>
        </row>
        <row r="87">
          <cell r="A87">
            <v>9006</v>
          </cell>
          <cell r="B87" t="str">
            <v>Markon LA Gln 4pk [9006]</v>
          </cell>
          <cell r="C87" t="str">
            <v>Lemon Juice</v>
          </cell>
          <cell r="D87">
            <v>50</v>
          </cell>
          <cell r="E87" t="str">
            <v>FG Refrigerated 50</v>
          </cell>
          <cell r="F87" t="str">
            <v>CS</v>
          </cell>
          <cell r="G87">
            <v>45670</v>
          </cell>
          <cell r="H87">
            <v>60</v>
          </cell>
          <cell r="I87">
            <v>761.16666666666663</v>
          </cell>
          <cell r="J87">
            <v>1.5</v>
          </cell>
          <cell r="K87">
            <v>1141.75</v>
          </cell>
          <cell r="L87">
            <v>2.60876254305624</v>
          </cell>
          <cell r="M87">
            <v>6.5219063576406E-2</v>
          </cell>
        </row>
        <row r="88">
          <cell r="A88">
            <v>9091</v>
          </cell>
          <cell r="B88" t="str">
            <v>SYSCO LA Gln 4pk [9091]</v>
          </cell>
          <cell r="C88" t="str">
            <v>Lemon Juice</v>
          </cell>
          <cell r="D88">
            <v>50</v>
          </cell>
          <cell r="E88" t="str">
            <v>FG Refrigerated 50</v>
          </cell>
          <cell r="F88" t="str">
            <v>CS</v>
          </cell>
          <cell r="G88">
            <v>55630</v>
          </cell>
          <cell r="H88">
            <v>60</v>
          </cell>
          <cell r="I88">
            <v>927.16666666666663</v>
          </cell>
          <cell r="J88">
            <v>1.5</v>
          </cell>
          <cell r="K88">
            <v>1390.75</v>
          </cell>
          <cell r="L88">
            <v>2.60876254305624</v>
          </cell>
          <cell r="M88">
            <v>6.5219063576406E-2</v>
          </cell>
        </row>
        <row r="89">
          <cell r="A89">
            <v>9102</v>
          </cell>
          <cell r="B89" t="str">
            <v>SOI LA Cond 4+1 Gln 4pk [9102]</v>
          </cell>
          <cell r="C89" t="str">
            <v>Lemon Juice</v>
          </cell>
          <cell r="D89">
            <v>60</v>
          </cell>
          <cell r="E89" t="str">
            <v>FG Refrigerated 60</v>
          </cell>
          <cell r="F89" t="str">
            <v>CS</v>
          </cell>
          <cell r="G89">
            <v>35853</v>
          </cell>
          <cell r="H89">
            <v>60</v>
          </cell>
          <cell r="I89">
            <v>597.54999999999995</v>
          </cell>
          <cell r="J89">
            <v>2</v>
          </cell>
          <cell r="K89">
            <v>1195.0999999999999</v>
          </cell>
          <cell r="L89">
            <v>2.60876254305624</v>
          </cell>
          <cell r="M89">
            <v>8.6958751435207995E-2</v>
          </cell>
        </row>
        <row r="90">
          <cell r="A90">
            <v>9123</v>
          </cell>
          <cell r="B90" t="str">
            <v>Charleys LA Cond FZN 4+1 Gln 4pk [9123]</v>
          </cell>
          <cell r="C90" t="str">
            <v>Lemon Juice</v>
          </cell>
          <cell r="D90">
            <v>547</v>
          </cell>
          <cell r="E90" t="str">
            <v>FG Frozen</v>
          </cell>
          <cell r="F90" t="str">
            <v>CS</v>
          </cell>
          <cell r="G90">
            <v>34577</v>
          </cell>
          <cell r="H90">
            <v>60</v>
          </cell>
          <cell r="I90">
            <v>576.2833333333333</v>
          </cell>
          <cell r="J90">
            <v>10</v>
          </cell>
          <cell r="K90">
            <v>5762.833333333333</v>
          </cell>
          <cell r="L90">
            <v>2.60876254305624</v>
          </cell>
          <cell r="M90">
            <v>0.43479375717604002</v>
          </cell>
        </row>
        <row r="91">
          <cell r="A91">
            <v>9131</v>
          </cell>
          <cell r="B91" t="str">
            <v>SOI Old Fashioned 4+1 Lemonade Mix FZN [9131]</v>
          </cell>
          <cell r="C91" t="str">
            <v>Lemon Juice</v>
          </cell>
          <cell r="D91">
            <v>547</v>
          </cell>
          <cell r="E91" t="str">
            <v>FG Frozen</v>
          </cell>
          <cell r="F91" t="str">
            <v>CS</v>
          </cell>
          <cell r="G91">
            <v>2535</v>
          </cell>
          <cell r="H91">
            <v>60</v>
          </cell>
          <cell r="I91">
            <v>42.25</v>
          </cell>
          <cell r="J91">
            <v>10</v>
          </cell>
          <cell r="K91">
            <v>422.5</v>
          </cell>
          <cell r="L91">
            <v>2.60876254305624</v>
          </cell>
          <cell r="M91">
            <v>0.43479375717604002</v>
          </cell>
        </row>
        <row r="92">
          <cell r="A92">
            <v>9132</v>
          </cell>
          <cell r="B92" t="str">
            <v>FAT Brands LA Cond 4+1 Fzn Gln 4pk</v>
          </cell>
          <cell r="C92" t="str">
            <v>Lemon Juice</v>
          </cell>
          <cell r="D92">
            <v>547</v>
          </cell>
          <cell r="E92" t="str">
            <v>FG Frozen</v>
          </cell>
          <cell r="F92" t="str">
            <v>CS</v>
          </cell>
          <cell r="G92">
            <v>0</v>
          </cell>
          <cell r="H92">
            <v>60</v>
          </cell>
          <cell r="I92">
            <v>0</v>
          </cell>
          <cell r="J92">
            <v>10</v>
          </cell>
          <cell r="K92">
            <v>0</v>
          </cell>
          <cell r="L92">
            <v>2.60876254305624</v>
          </cell>
          <cell r="M92">
            <v>0.43479375717604002</v>
          </cell>
        </row>
        <row r="93">
          <cell r="A93">
            <v>9163</v>
          </cell>
          <cell r="B93" t="str">
            <v>Panera 5+1 Agave Lemonade FZN 64 oz 6pk V3</v>
          </cell>
          <cell r="C93" t="str">
            <v>Lemon Juice</v>
          </cell>
          <cell r="D93">
            <v>365</v>
          </cell>
          <cell r="E93" t="str">
            <v>FG Frozen</v>
          </cell>
          <cell r="F93" t="str">
            <v>CS</v>
          </cell>
          <cell r="G93">
            <v>0</v>
          </cell>
          <cell r="H93">
            <v>75</v>
          </cell>
          <cell r="I93">
            <v>0</v>
          </cell>
          <cell r="J93">
            <v>10</v>
          </cell>
          <cell r="K93">
            <v>0</v>
          </cell>
          <cell r="L93">
            <v>2.60876254305624</v>
          </cell>
          <cell r="M93">
            <v>0.34783500574083204</v>
          </cell>
        </row>
        <row r="94">
          <cell r="A94">
            <v>9164</v>
          </cell>
          <cell r="B94" t="str">
            <v>Panera 5+1 Agave Lemonade FZN 64 oz 6pk [9164]</v>
          </cell>
          <cell r="C94" t="str">
            <v>Lemon Juice</v>
          </cell>
          <cell r="D94">
            <v>365</v>
          </cell>
          <cell r="E94" t="str">
            <v>FG Frozen</v>
          </cell>
          <cell r="F94" t="str">
            <v>CS</v>
          </cell>
          <cell r="G94">
            <v>3086</v>
          </cell>
          <cell r="H94">
            <v>75</v>
          </cell>
          <cell r="I94">
            <v>41.146666666666668</v>
          </cell>
          <cell r="J94">
            <v>10</v>
          </cell>
          <cell r="K94">
            <v>411.4666666666667</v>
          </cell>
          <cell r="L94">
            <v>2.60876254305624</v>
          </cell>
          <cell r="M94">
            <v>0.34783500574083204</v>
          </cell>
        </row>
        <row r="95">
          <cell r="A95">
            <v>9165</v>
          </cell>
          <cell r="B95" t="str">
            <v>Panera 3+1 Blood Orange Carrot LA FZN 61.5 oz 6pk [9165]</v>
          </cell>
          <cell r="C95" t="str">
            <v>Lemon Juice</v>
          </cell>
          <cell r="D95">
            <v>365</v>
          </cell>
          <cell r="E95" t="str">
            <v>FG Frozen</v>
          </cell>
          <cell r="F95" t="str">
            <v>CS</v>
          </cell>
          <cell r="G95">
            <v>0</v>
          </cell>
          <cell r="H95">
            <v>75</v>
          </cell>
          <cell r="I95">
            <v>0</v>
          </cell>
          <cell r="J95">
            <v>10</v>
          </cell>
          <cell r="K95">
            <v>0</v>
          </cell>
          <cell r="L95">
            <v>2.60876254305624</v>
          </cell>
          <cell r="M95">
            <v>0.34783500574083204</v>
          </cell>
        </row>
        <row r="96">
          <cell r="A96">
            <v>9166</v>
          </cell>
          <cell r="B96" t="str">
            <v>Panera 5+1 Agave Lemonade with Concentrate FZN 64 oz 6pk</v>
          </cell>
          <cell r="C96" t="str">
            <v>Lemon Juice</v>
          </cell>
          <cell r="D96">
            <v>365</v>
          </cell>
          <cell r="E96" t="str">
            <v>FG Frozen</v>
          </cell>
          <cell r="F96" t="str">
            <v>CS</v>
          </cell>
          <cell r="G96">
            <v>39036</v>
          </cell>
          <cell r="H96">
            <v>75</v>
          </cell>
          <cell r="I96">
            <v>520.48</v>
          </cell>
          <cell r="J96">
            <v>10</v>
          </cell>
          <cell r="K96">
            <v>5204.8</v>
          </cell>
          <cell r="L96">
            <v>2.60876254305624</v>
          </cell>
          <cell r="M96">
            <v>0.34783500574083204</v>
          </cell>
        </row>
        <row r="97">
          <cell r="A97">
            <v>9314</v>
          </cell>
          <cell r="B97" t="str">
            <v>Meyer LA 6pk Hgln [9314]</v>
          </cell>
          <cell r="C97" t="str">
            <v>Lemon Juice</v>
          </cell>
          <cell r="D97">
            <v>50</v>
          </cell>
          <cell r="E97" t="str">
            <v>FG Refrigerated 50</v>
          </cell>
          <cell r="F97" t="str">
            <v>CS</v>
          </cell>
          <cell r="G97">
            <v>21060</v>
          </cell>
          <cell r="H97">
            <v>75</v>
          </cell>
          <cell r="I97">
            <v>280.8</v>
          </cell>
          <cell r="J97">
            <v>1.5</v>
          </cell>
          <cell r="K97">
            <v>421.20000000000005</v>
          </cell>
          <cell r="L97">
            <v>2.60876254305624</v>
          </cell>
          <cell r="M97">
            <v>5.2175250861124796E-2</v>
          </cell>
        </row>
        <row r="98">
          <cell r="A98">
            <v>9324</v>
          </cell>
          <cell r="B98" t="str">
            <v>Meyer Stw LA 6pk Hgln [9324]</v>
          </cell>
          <cell r="C98" t="str">
            <v>Lemon Juice</v>
          </cell>
          <cell r="D98">
            <v>50</v>
          </cell>
          <cell r="E98" t="str">
            <v>FG Refrigerated 50</v>
          </cell>
          <cell r="F98" t="str">
            <v>CS</v>
          </cell>
          <cell r="G98">
            <v>0</v>
          </cell>
          <cell r="H98">
            <v>75</v>
          </cell>
          <cell r="I98">
            <v>0</v>
          </cell>
          <cell r="J98">
            <v>1.5</v>
          </cell>
          <cell r="K98">
            <v>0</v>
          </cell>
          <cell r="L98">
            <v>2.60876254305624</v>
          </cell>
          <cell r="M98">
            <v>5.2175250861124796E-2</v>
          </cell>
        </row>
        <row r="99">
          <cell r="A99">
            <v>9334</v>
          </cell>
          <cell r="B99" t="str">
            <v>Rykoff Sexton Prickly Pear Lemonade 64 oz 6 pk [9334]</v>
          </cell>
          <cell r="C99" t="str">
            <v>Lemon Juice</v>
          </cell>
          <cell r="D99">
            <v>50</v>
          </cell>
          <cell r="E99" t="str">
            <v>FG Refrigerated 50</v>
          </cell>
          <cell r="F99" t="str">
            <v>CS</v>
          </cell>
          <cell r="G99">
            <v>0</v>
          </cell>
          <cell r="H99">
            <v>75</v>
          </cell>
          <cell r="I99">
            <v>0</v>
          </cell>
          <cell r="J99">
            <v>1.5</v>
          </cell>
          <cell r="K99">
            <v>0</v>
          </cell>
          <cell r="L99">
            <v>2.60876254305624</v>
          </cell>
          <cell r="M99">
            <v>5.2175250861124796E-2</v>
          </cell>
        </row>
        <row r="100">
          <cell r="A100">
            <v>9454</v>
          </cell>
          <cell r="B100" t="str">
            <v>SOI LA Strw Cond 3+1 Gln 4pk [9454]</v>
          </cell>
          <cell r="C100" t="str">
            <v>Lemon Juice</v>
          </cell>
          <cell r="D100">
            <v>60</v>
          </cell>
          <cell r="E100" t="str">
            <v>FG Refrigerated 60</v>
          </cell>
          <cell r="F100" t="str">
            <v>CS</v>
          </cell>
          <cell r="G100">
            <v>7765</v>
          </cell>
          <cell r="H100">
            <v>60</v>
          </cell>
          <cell r="I100">
            <v>129.41666666666666</v>
          </cell>
          <cell r="J100">
            <v>2</v>
          </cell>
          <cell r="K100">
            <v>258.83333333333331</v>
          </cell>
          <cell r="L100">
            <v>2.60876254305624</v>
          </cell>
          <cell r="M100">
            <v>8.6958751435207995E-2</v>
          </cell>
        </row>
        <row r="101">
          <cell r="A101">
            <v>9456</v>
          </cell>
          <cell r="B101" t="str">
            <v>SOI 3+1 Sweet Strw LA FZN 9pk HGln 61.5oz [9456]</v>
          </cell>
          <cell r="C101" t="str">
            <v>Lemon Juice</v>
          </cell>
          <cell r="D101">
            <v>547</v>
          </cell>
          <cell r="E101" t="str">
            <v>FG Frozen</v>
          </cell>
          <cell r="F101" t="str">
            <v>CS</v>
          </cell>
          <cell r="G101">
            <v>2992</v>
          </cell>
          <cell r="H101">
            <v>48</v>
          </cell>
          <cell r="I101">
            <v>62.333333333333336</v>
          </cell>
          <cell r="J101">
            <v>10</v>
          </cell>
          <cell r="K101">
            <v>623.33333333333337</v>
          </cell>
          <cell r="L101">
            <v>2.60876254305624</v>
          </cell>
          <cell r="M101">
            <v>0.54349219647004998</v>
          </cell>
        </row>
        <row r="102">
          <cell r="A102">
            <v>9660</v>
          </cell>
          <cell r="B102" t="str">
            <v>SOI LA Cond 3+1 FZN HGln 6pk [9660]</v>
          </cell>
          <cell r="C102" t="str">
            <v>Lemon Juice</v>
          </cell>
          <cell r="D102">
            <v>547</v>
          </cell>
          <cell r="E102" t="str">
            <v>FG Frozen</v>
          </cell>
          <cell r="F102" t="str">
            <v>CS</v>
          </cell>
          <cell r="G102">
            <v>6305</v>
          </cell>
          <cell r="H102">
            <v>60</v>
          </cell>
          <cell r="I102">
            <v>105.08333333333333</v>
          </cell>
          <cell r="J102">
            <v>10</v>
          </cell>
          <cell r="K102">
            <v>1050.8333333333333</v>
          </cell>
          <cell r="L102">
            <v>2.60876254305624</v>
          </cell>
          <cell r="M102">
            <v>0.43479375717604002</v>
          </cell>
        </row>
        <row r="103">
          <cell r="A103">
            <v>9710</v>
          </cell>
          <cell r="B103" t="str">
            <v>SOI LA 2+1 4pk Gln [9710]</v>
          </cell>
          <cell r="C103" t="str">
            <v>Lemon Juice</v>
          </cell>
          <cell r="D103">
            <v>60</v>
          </cell>
          <cell r="E103" t="str">
            <v>FG Refrigerated 60</v>
          </cell>
          <cell r="F103" t="str">
            <v>CS</v>
          </cell>
          <cell r="G103">
            <v>0</v>
          </cell>
          <cell r="H103">
            <v>60</v>
          </cell>
          <cell r="I103">
            <v>0</v>
          </cell>
          <cell r="J103">
            <v>2</v>
          </cell>
          <cell r="K103">
            <v>0</v>
          </cell>
          <cell r="L103">
            <v>2.60876254305624</v>
          </cell>
          <cell r="M103">
            <v>8.6958751435207995E-2</v>
          </cell>
        </row>
        <row r="104">
          <cell r="A104">
            <v>9814</v>
          </cell>
          <cell r="B104" t="str">
            <v>SOI 3+1 Sweet LA Mix FZN HGln 9pk [9814]</v>
          </cell>
          <cell r="C104" t="str">
            <v>Lemon Juice</v>
          </cell>
          <cell r="D104">
            <v>547</v>
          </cell>
          <cell r="E104" t="str">
            <v>FG Frozen</v>
          </cell>
          <cell r="F104" t="str">
            <v>CS</v>
          </cell>
          <cell r="G104">
            <v>5358</v>
          </cell>
          <cell r="H104">
            <v>48</v>
          </cell>
          <cell r="I104">
            <v>111.625</v>
          </cell>
          <cell r="J104">
            <v>10</v>
          </cell>
          <cell r="K104">
            <v>1116.25</v>
          </cell>
          <cell r="L104">
            <v>2.60876254305624</v>
          </cell>
          <cell r="M104">
            <v>0.54349219647004998</v>
          </cell>
        </row>
        <row r="105">
          <cell r="A105">
            <v>9818</v>
          </cell>
          <cell r="B105" t="str">
            <v>Creative BevBlends 3+1 Sweet LA Mix FZN HGln 9pk</v>
          </cell>
          <cell r="C105" t="str">
            <v>Lemon Juice</v>
          </cell>
          <cell r="D105">
            <v>547</v>
          </cell>
          <cell r="E105" t="str">
            <v>FG Frozen</v>
          </cell>
          <cell r="F105" t="str">
            <v>CS</v>
          </cell>
          <cell r="G105">
            <v>4328</v>
          </cell>
          <cell r="H105">
            <v>60</v>
          </cell>
          <cell r="I105">
            <v>72.13333333333334</v>
          </cell>
          <cell r="J105">
            <v>10</v>
          </cell>
          <cell r="K105">
            <v>721.33333333333337</v>
          </cell>
          <cell r="L105">
            <v>2.60876254305624</v>
          </cell>
          <cell r="M105">
            <v>0.43479375717604002</v>
          </cell>
        </row>
        <row r="106">
          <cell r="A106">
            <v>9820</v>
          </cell>
          <cell r="B106" t="str">
            <v>Auntie Annes FZN LA 3+1 HGln 6pk [9820]</v>
          </cell>
          <cell r="C106" t="str">
            <v>Lemon Juice</v>
          </cell>
          <cell r="D106">
            <v>547</v>
          </cell>
          <cell r="E106" t="str">
            <v>FG Frozen</v>
          </cell>
          <cell r="F106" t="str">
            <v>CS</v>
          </cell>
          <cell r="G106">
            <v>38891</v>
          </cell>
          <cell r="H106">
            <v>60</v>
          </cell>
          <cell r="I106">
            <v>648.18333333333328</v>
          </cell>
          <cell r="J106">
            <v>10</v>
          </cell>
          <cell r="K106">
            <v>6481.833333333333</v>
          </cell>
          <cell r="L106">
            <v>2.60876254305624</v>
          </cell>
          <cell r="M106">
            <v>0.43479375717604002</v>
          </cell>
        </row>
        <row r="107">
          <cell r="A107">
            <v>9823</v>
          </cell>
          <cell r="B107" t="str">
            <v>Wendy's LA 3+1 FZN HGln 6pk</v>
          </cell>
          <cell r="C107" t="str">
            <v>Lemon Juice</v>
          </cell>
          <cell r="D107">
            <v>547</v>
          </cell>
          <cell r="E107" t="str">
            <v>FG Frozen</v>
          </cell>
          <cell r="F107" t="str">
            <v>CS</v>
          </cell>
          <cell r="G107">
            <v>0</v>
          </cell>
          <cell r="H107">
            <v>60</v>
          </cell>
          <cell r="I107">
            <v>0</v>
          </cell>
          <cell r="J107">
            <v>10</v>
          </cell>
          <cell r="K107">
            <v>0</v>
          </cell>
          <cell r="L107">
            <v>2.60876254305624</v>
          </cell>
          <cell r="M107">
            <v>0.43479375717604002</v>
          </cell>
        </row>
        <row r="108">
          <cell r="A108">
            <v>9942</v>
          </cell>
          <cell r="B108" t="str">
            <v>Condensed Strawberry Lemonade Base Drum REF</v>
          </cell>
          <cell r="C108" t="str">
            <v>Lemon Juice</v>
          </cell>
          <cell r="D108">
            <v>60</v>
          </cell>
          <cell r="E108" t="str">
            <v>FG Refrigerated 60</v>
          </cell>
          <cell r="F108" t="str">
            <v>DR</v>
          </cell>
          <cell r="G108">
            <v>146</v>
          </cell>
          <cell r="H108">
            <v>4</v>
          </cell>
          <cell r="I108">
            <v>36.5</v>
          </cell>
          <cell r="J108">
            <v>2</v>
          </cell>
          <cell r="K108">
            <v>73</v>
          </cell>
          <cell r="L108">
            <v>2.60876254305624</v>
          </cell>
          <cell r="M108">
            <v>1.30438127152812</v>
          </cell>
        </row>
        <row r="109">
          <cell r="A109">
            <v>9945</v>
          </cell>
          <cell r="B109" t="str">
            <v>Condensed Strawberry Lemonade Base REF 270Gln Tote</v>
          </cell>
          <cell r="C109" t="str">
            <v>Lemon Juice</v>
          </cell>
          <cell r="E109" t="str">
            <v>FG Refrigerated 40</v>
          </cell>
          <cell r="F109" t="str">
            <v>TT</v>
          </cell>
          <cell r="G109">
            <v>72</v>
          </cell>
          <cell r="H109">
            <v>1</v>
          </cell>
          <cell r="I109">
            <v>72</v>
          </cell>
          <cell r="J109">
            <v>1</v>
          </cell>
          <cell r="K109">
            <v>72</v>
          </cell>
          <cell r="L109">
            <v>2.60876254305624</v>
          </cell>
          <cell r="M109">
            <v>2.60876254305624</v>
          </cell>
        </row>
        <row r="110">
          <cell r="A110">
            <v>9952</v>
          </cell>
          <cell r="B110" t="str">
            <v>Condensed Lemonade Base Drum REF</v>
          </cell>
          <cell r="C110" t="str">
            <v>Lemon Juice</v>
          </cell>
          <cell r="D110">
            <v>60</v>
          </cell>
          <cell r="E110" t="str">
            <v>FG Refrigerated 60</v>
          </cell>
          <cell r="F110" t="str">
            <v>DR</v>
          </cell>
          <cell r="G110">
            <v>123</v>
          </cell>
          <cell r="H110">
            <v>4</v>
          </cell>
          <cell r="I110">
            <v>30.75</v>
          </cell>
          <cell r="J110">
            <v>2</v>
          </cell>
          <cell r="K110">
            <v>61.5</v>
          </cell>
          <cell r="L110">
            <v>2.60876254305624</v>
          </cell>
          <cell r="M110">
            <v>1.30438127152812</v>
          </cell>
        </row>
        <row r="111">
          <cell r="A111">
            <v>9955</v>
          </cell>
          <cell r="B111" t="str">
            <v>Condensed Lemonade Base REF 270Gln Tote</v>
          </cell>
          <cell r="C111" t="str">
            <v>Lemon Juice</v>
          </cell>
          <cell r="E111" t="str">
            <v>FG Refrigerated 40</v>
          </cell>
          <cell r="F111" t="str">
            <v>TT</v>
          </cell>
          <cell r="G111">
            <v>62</v>
          </cell>
          <cell r="H111">
            <v>1</v>
          </cell>
          <cell r="I111">
            <v>62</v>
          </cell>
          <cell r="J111">
            <v>1</v>
          </cell>
          <cell r="K111">
            <v>62</v>
          </cell>
          <cell r="L111">
            <v>2.60876254305624</v>
          </cell>
          <cell r="M111">
            <v>2.60876254305624</v>
          </cell>
        </row>
        <row r="112">
          <cell r="A112" t="str">
            <v>4502F</v>
          </cell>
          <cell r="B112" t="str">
            <v>SOI Lemon Juice FZN Gln 4pk [4502F]</v>
          </cell>
          <cell r="C112" t="str">
            <v>Lemon Juice</v>
          </cell>
          <cell r="D112">
            <v>548</v>
          </cell>
          <cell r="E112" t="str">
            <v>FG Frozen</v>
          </cell>
          <cell r="F112" t="str">
            <v>CS</v>
          </cell>
          <cell r="G112">
            <v>1869</v>
          </cell>
          <cell r="H112">
            <v>60</v>
          </cell>
          <cell r="I112">
            <v>31.15</v>
          </cell>
          <cell r="J112">
            <v>10</v>
          </cell>
          <cell r="K112">
            <v>311.5</v>
          </cell>
          <cell r="L112">
            <v>2.60876254305624</v>
          </cell>
          <cell r="M112">
            <v>0.43479375717604002</v>
          </cell>
        </row>
        <row r="113">
          <cell r="A113" t="str">
            <v>4951M</v>
          </cell>
          <cell r="B113" t="str">
            <v>Meyer Lemon Juice Drum FZN [4951M]</v>
          </cell>
          <cell r="C113" t="str">
            <v>Meyer Lemon Juice</v>
          </cell>
          <cell r="D113">
            <v>547</v>
          </cell>
          <cell r="E113" t="str">
            <v>FG Frozen</v>
          </cell>
          <cell r="F113" t="str">
            <v>DR</v>
          </cell>
          <cell r="G113">
            <v>0</v>
          </cell>
          <cell r="H113">
            <v>4</v>
          </cell>
          <cell r="I113">
            <v>0</v>
          </cell>
          <cell r="J113">
            <v>10</v>
          </cell>
          <cell r="K113">
            <v>0</v>
          </cell>
          <cell r="L113">
            <v>2.60876254305624</v>
          </cell>
          <cell r="M113">
            <v>6.5219063576406002</v>
          </cell>
        </row>
        <row r="114">
          <cell r="A114" t="str">
            <v>5142F</v>
          </cell>
          <cell r="B114" t="str">
            <v>SOI Marg Mix Cond 3+1 FZN HGln 9pk [5142F]</v>
          </cell>
          <cell r="C114" t="str">
            <v>Marg mix</v>
          </cell>
          <cell r="D114">
            <v>540</v>
          </cell>
          <cell r="E114" t="str">
            <v>FG Frozen</v>
          </cell>
          <cell r="F114" t="str">
            <v>CS</v>
          </cell>
          <cell r="G114">
            <v>325</v>
          </cell>
          <cell r="H114">
            <v>48</v>
          </cell>
          <cell r="I114">
            <v>6.770833333333333</v>
          </cell>
          <cell r="J114">
            <v>10</v>
          </cell>
          <cell r="K114">
            <v>67.708333333333329</v>
          </cell>
          <cell r="L114">
            <v>2.60876254305624</v>
          </cell>
          <cell r="M114">
            <v>0.54349219647004998</v>
          </cell>
        </row>
        <row r="115">
          <cell r="A115" t="str">
            <v>BOX100</v>
          </cell>
          <cell r="B115" t="str">
            <v>BRN Corrugated IBC 275GL Tote</v>
          </cell>
          <cell r="E115" t="str">
            <v>Box</v>
          </cell>
          <cell r="F115" t="str">
            <v>EA</v>
          </cell>
          <cell r="G115">
            <v>209</v>
          </cell>
          <cell r="H115">
            <v>12</v>
          </cell>
          <cell r="I115">
            <v>17.416666666666668</v>
          </cell>
          <cell r="J115">
            <v>4</v>
          </cell>
          <cell r="K115">
            <v>69.666666666666671</v>
          </cell>
          <cell r="L115">
            <v>2.60876254305624</v>
          </cell>
          <cell r="M115">
            <v>0.86958751435208004</v>
          </cell>
        </row>
        <row r="116">
          <cell r="A116" t="str">
            <v>BOX132WAV2</v>
          </cell>
          <cell r="B116" t="str">
            <v>White 12 QT Key Lime Juice Wrap Around [BOX132WA]</v>
          </cell>
          <cell r="E116" t="str">
            <v>Box</v>
          </cell>
          <cell r="F116" t="str">
            <v>EA</v>
          </cell>
          <cell r="G116">
            <v>6228</v>
          </cell>
          <cell r="H116">
            <v>500</v>
          </cell>
          <cell r="I116">
            <v>12.456</v>
          </cell>
          <cell r="J116">
            <v>4</v>
          </cell>
          <cell r="K116">
            <v>49.823999999999998</v>
          </cell>
          <cell r="L116">
            <v>2.60876254305624</v>
          </cell>
          <cell r="M116">
            <v>2.0870100344449919E-2</v>
          </cell>
        </row>
        <row r="117">
          <cell r="A117" t="str">
            <v>BOX132WAV3</v>
          </cell>
          <cell r="B117" t="str">
            <v>12 QT Key Lime Juice Wrap Around V3</v>
          </cell>
          <cell r="E117" t="str">
            <v>Box</v>
          </cell>
          <cell r="F117" t="str">
            <v>EA</v>
          </cell>
          <cell r="G117">
            <v>7370</v>
          </cell>
          <cell r="H117">
            <v>550</v>
          </cell>
          <cell r="I117">
            <v>13.4</v>
          </cell>
          <cell r="J117">
            <v>4</v>
          </cell>
          <cell r="K117">
            <v>53.6</v>
          </cell>
          <cell r="L117">
            <v>2.60876254305624</v>
          </cell>
          <cell r="M117">
            <v>1.8972818494954472E-2</v>
          </cell>
        </row>
        <row r="118">
          <cell r="A118" t="str">
            <v>BOX133WAV2</v>
          </cell>
          <cell r="B118" t="str">
            <v>12 QT Meyer Lemon Juice Wrap Around V2</v>
          </cell>
          <cell r="E118" t="str">
            <v>Box</v>
          </cell>
          <cell r="F118" t="str">
            <v>EA</v>
          </cell>
          <cell r="G118">
            <v>0</v>
          </cell>
          <cell r="H118">
            <v>500</v>
          </cell>
          <cell r="I118">
            <v>0</v>
          </cell>
          <cell r="J118">
            <v>4</v>
          </cell>
          <cell r="K118">
            <v>0</v>
          </cell>
          <cell r="L118">
            <v>2.60876254305624</v>
          </cell>
          <cell r="M118">
            <v>2.0870100344449919E-2</v>
          </cell>
        </row>
        <row r="119">
          <cell r="A119" t="str">
            <v>BOX133WAV3</v>
          </cell>
          <cell r="B119" t="str">
            <v>12 QT Meyer Lemon Juice Wrap Around V3</v>
          </cell>
          <cell r="E119" t="str">
            <v>Box</v>
          </cell>
          <cell r="F119" t="str">
            <v>EA</v>
          </cell>
          <cell r="G119">
            <v>8250</v>
          </cell>
          <cell r="H119">
            <v>550</v>
          </cell>
          <cell r="I119">
            <v>15</v>
          </cell>
          <cell r="J119">
            <v>4</v>
          </cell>
          <cell r="K119">
            <v>60</v>
          </cell>
          <cell r="L119">
            <v>2.60876254305624</v>
          </cell>
          <cell r="M119">
            <v>1.8972818494954472E-2</v>
          </cell>
        </row>
        <row r="120">
          <cell r="A120" t="str">
            <v>BOX150WAV2</v>
          </cell>
          <cell r="B120" t="str">
            <v>White 6 Hgln Bloody Mary Mix Wrap [BOX150WA]</v>
          </cell>
          <cell r="E120" t="str">
            <v>Box</v>
          </cell>
          <cell r="F120" t="str">
            <v>EA</v>
          </cell>
          <cell r="G120">
            <v>3945</v>
          </cell>
          <cell r="H120">
            <v>600</v>
          </cell>
          <cell r="I120">
            <v>6.5750000000000002</v>
          </cell>
          <cell r="J120">
            <v>4</v>
          </cell>
          <cell r="K120">
            <v>26.3</v>
          </cell>
          <cell r="L120">
            <v>2.60876254305624</v>
          </cell>
          <cell r="M120">
            <v>1.73917502870416E-2</v>
          </cell>
        </row>
        <row r="121">
          <cell r="A121" t="str">
            <v>BOX150WAV3</v>
          </cell>
          <cell r="B121" t="str">
            <v>6 Hgln Bloody Mary Mix Wrap V3</v>
          </cell>
          <cell r="E121" t="str">
            <v>Box</v>
          </cell>
          <cell r="F121" t="str">
            <v>EA</v>
          </cell>
          <cell r="G121">
            <v>15413</v>
          </cell>
          <cell r="H121">
            <v>550</v>
          </cell>
          <cell r="I121">
            <v>28.023636363636363</v>
          </cell>
          <cell r="J121">
            <v>4</v>
          </cell>
          <cell r="K121">
            <v>112.09454545454545</v>
          </cell>
          <cell r="L121">
            <v>2.60876254305624</v>
          </cell>
          <cell r="M121">
            <v>1.8972818494954472E-2</v>
          </cell>
        </row>
        <row r="122">
          <cell r="A122" t="str">
            <v>BOX152WAV2</v>
          </cell>
          <cell r="B122" t="str">
            <v>White 6 Hgln Marg Mix Wrap Around [BOX152WA]</v>
          </cell>
          <cell r="E122" t="str">
            <v>Box</v>
          </cell>
          <cell r="F122" t="str">
            <v>EA</v>
          </cell>
          <cell r="G122">
            <v>5205</v>
          </cell>
          <cell r="H122">
            <v>500</v>
          </cell>
          <cell r="I122">
            <v>10.41</v>
          </cell>
          <cell r="J122">
            <v>4</v>
          </cell>
          <cell r="K122">
            <v>41.64</v>
          </cell>
          <cell r="L122">
            <v>2.60876254305624</v>
          </cell>
          <cell r="M122">
            <v>2.0870100344449919E-2</v>
          </cell>
        </row>
        <row r="123">
          <cell r="A123" t="str">
            <v>BOX152WAV3</v>
          </cell>
          <cell r="B123" t="str">
            <v>6 Hgln Marg Mix Wrap Around V3</v>
          </cell>
          <cell r="E123" t="str">
            <v>Box</v>
          </cell>
          <cell r="F123" t="str">
            <v>EA</v>
          </cell>
          <cell r="G123">
            <v>15400</v>
          </cell>
          <cell r="H123">
            <v>550</v>
          </cell>
          <cell r="I123">
            <v>28</v>
          </cell>
          <cell r="J123">
            <v>4</v>
          </cell>
          <cell r="K123">
            <v>112</v>
          </cell>
          <cell r="L123">
            <v>2.60876254305624</v>
          </cell>
          <cell r="M123">
            <v>1.8972818494954472E-2</v>
          </cell>
        </row>
        <row r="124">
          <cell r="A124" t="str">
            <v>BOX164AWAV2</v>
          </cell>
          <cell r="B124" t="str">
            <v>White 6 Hgln Val OJ Wrap Around [BOX164AWA]</v>
          </cell>
          <cell r="E124" t="str">
            <v>Box</v>
          </cell>
          <cell r="F124" t="str">
            <v>EA</v>
          </cell>
          <cell r="G124">
            <v>22967</v>
          </cell>
          <cell r="H124">
            <v>500</v>
          </cell>
          <cell r="I124">
            <v>45.933999999999997</v>
          </cell>
          <cell r="J124">
            <v>4</v>
          </cell>
          <cell r="K124">
            <v>183.73599999999999</v>
          </cell>
          <cell r="L124">
            <v>2.60876254305624</v>
          </cell>
          <cell r="M124">
            <v>2.0870100344449919E-2</v>
          </cell>
        </row>
        <row r="125">
          <cell r="A125" t="str">
            <v>BOX164AWAV3</v>
          </cell>
          <cell r="B125" t="str">
            <v>6 Hgln Val OJ Wrap Around V3</v>
          </cell>
          <cell r="E125" t="str">
            <v>Box</v>
          </cell>
          <cell r="F125" t="str">
            <v>EA</v>
          </cell>
          <cell r="G125">
            <v>43235</v>
          </cell>
          <cell r="H125">
            <v>550</v>
          </cell>
          <cell r="I125">
            <v>78.609090909090909</v>
          </cell>
          <cell r="J125">
            <v>4</v>
          </cell>
          <cell r="K125">
            <v>314.43636363636364</v>
          </cell>
          <cell r="L125">
            <v>2.60876254305624</v>
          </cell>
          <cell r="M125">
            <v>1.8972818494954472E-2</v>
          </cell>
        </row>
        <row r="126">
          <cell r="A126" t="str">
            <v>BOX165WAV2</v>
          </cell>
          <cell r="B126" t="str">
            <v>White 6 Hgln Meyer LA Wrap Around [BOX165WA]</v>
          </cell>
          <cell r="E126" t="str">
            <v>Box</v>
          </cell>
          <cell r="F126" t="str">
            <v>EA</v>
          </cell>
          <cell r="G126">
            <v>5500</v>
          </cell>
          <cell r="H126">
            <v>500</v>
          </cell>
          <cell r="I126">
            <v>11</v>
          </cell>
          <cell r="J126">
            <v>4</v>
          </cell>
          <cell r="K126">
            <v>44</v>
          </cell>
          <cell r="L126">
            <v>2.60876254305624</v>
          </cell>
          <cell r="M126">
            <v>2.0870100344449919E-2</v>
          </cell>
        </row>
        <row r="127">
          <cell r="A127" t="str">
            <v>BOX165WAV3</v>
          </cell>
          <cell r="B127" t="str">
            <v>6 Hgln Meyer LA Wrap Around V3</v>
          </cell>
          <cell r="E127" t="str">
            <v>Box</v>
          </cell>
          <cell r="F127" t="str">
            <v>EA</v>
          </cell>
          <cell r="G127">
            <v>16575</v>
          </cell>
          <cell r="H127">
            <v>550</v>
          </cell>
          <cell r="I127">
            <v>30.136363636363637</v>
          </cell>
          <cell r="J127">
            <v>4</v>
          </cell>
          <cell r="K127">
            <v>120.54545454545455</v>
          </cell>
          <cell r="L127">
            <v>2.60876254305624</v>
          </cell>
          <cell r="M127">
            <v>1.8972818494954472E-2</v>
          </cell>
        </row>
        <row r="128">
          <cell r="A128" t="str">
            <v>BOX170WA</v>
          </cell>
          <cell r="B128" t="str">
            <v>Kraft 6 Hgln Rykoff Sexton Prickly Pear Lemonade [BOX170WA]</v>
          </cell>
          <cell r="E128" t="str">
            <v>Box</v>
          </cell>
          <cell r="F128" t="str">
            <v>EA</v>
          </cell>
          <cell r="G128">
            <v>0</v>
          </cell>
          <cell r="H128">
            <v>600</v>
          </cell>
          <cell r="I128">
            <v>0</v>
          </cell>
          <cell r="J128">
            <v>4</v>
          </cell>
          <cell r="K128">
            <v>0</v>
          </cell>
          <cell r="L128">
            <v>2.60876254305624</v>
          </cell>
          <cell r="M128">
            <v>1.73917502870416E-2</v>
          </cell>
        </row>
        <row r="129">
          <cell r="A129" t="str">
            <v>BOX211</v>
          </cell>
          <cell r="B129" t="str">
            <v>WHT 4/Gln RSC [BOX211]</v>
          </cell>
          <cell r="E129" t="str">
            <v>Box</v>
          </cell>
          <cell r="F129" t="str">
            <v>EA</v>
          </cell>
          <cell r="G129">
            <v>0</v>
          </cell>
          <cell r="H129">
            <v>500</v>
          </cell>
          <cell r="I129">
            <v>0</v>
          </cell>
          <cell r="J129">
            <v>4</v>
          </cell>
          <cell r="K129">
            <v>0</v>
          </cell>
          <cell r="L129">
            <v>2.60876254305624</v>
          </cell>
          <cell r="M129">
            <v>2.0870100344449919E-2</v>
          </cell>
        </row>
        <row r="130">
          <cell r="A130" t="str">
            <v>BOX211WA</v>
          </cell>
          <cell r="B130" t="str">
            <v>WHT 4/Gln Wrap Around [BOX211WA]</v>
          </cell>
          <cell r="E130" t="str">
            <v>Box</v>
          </cell>
          <cell r="F130" t="str">
            <v>EA</v>
          </cell>
          <cell r="G130">
            <v>0</v>
          </cell>
          <cell r="H130">
            <v>500</v>
          </cell>
          <cell r="I130">
            <v>0</v>
          </cell>
          <cell r="J130">
            <v>4</v>
          </cell>
          <cell r="K130">
            <v>0</v>
          </cell>
          <cell r="L130">
            <v>2.60876254305624</v>
          </cell>
          <cell r="M130">
            <v>2.0870100344449919E-2</v>
          </cell>
        </row>
        <row r="131">
          <cell r="A131" t="str">
            <v>BOX211WAV2</v>
          </cell>
          <cell r="B131" t="str">
            <v>WHT 4/Gln Wrap Around V2</v>
          </cell>
          <cell r="E131" t="str">
            <v>Box</v>
          </cell>
          <cell r="F131" t="str">
            <v>EA</v>
          </cell>
          <cell r="G131">
            <v>120844</v>
          </cell>
          <cell r="H131">
            <v>500</v>
          </cell>
          <cell r="I131">
            <v>241.68799999999999</v>
          </cell>
          <cell r="J131">
            <v>4</v>
          </cell>
          <cell r="K131">
            <v>966.75199999999995</v>
          </cell>
          <cell r="L131">
            <v>2.60876254305624</v>
          </cell>
          <cell r="M131">
            <v>2.0870100344449919E-2</v>
          </cell>
        </row>
        <row r="132">
          <cell r="A132" t="str">
            <v>BOX211WAV3</v>
          </cell>
          <cell r="B132" t="str">
            <v>WHT 4/Gln Wrap Around V3</v>
          </cell>
          <cell r="E132" t="str">
            <v>Box</v>
          </cell>
          <cell r="F132" t="str">
            <v>EA</v>
          </cell>
          <cell r="G132">
            <v>195819</v>
          </cell>
          <cell r="H132">
            <v>550</v>
          </cell>
          <cell r="I132">
            <v>356.03454545454548</v>
          </cell>
          <cell r="J132">
            <v>4</v>
          </cell>
          <cell r="K132">
            <v>1424.1381818181819</v>
          </cell>
          <cell r="L132">
            <v>2.60876254305624</v>
          </cell>
          <cell r="M132">
            <v>1.8972818494954472E-2</v>
          </cell>
        </row>
        <row r="133">
          <cell r="A133" t="str">
            <v>BOX212</v>
          </cell>
          <cell r="B133" t="str">
            <v>WHT 6/HGln RSC [BOX212]</v>
          </cell>
          <cell r="E133" t="str">
            <v>Box</v>
          </cell>
          <cell r="F133" t="str">
            <v>EA</v>
          </cell>
          <cell r="G133">
            <v>0</v>
          </cell>
          <cell r="H133">
            <v>750</v>
          </cell>
          <cell r="I133">
            <v>0</v>
          </cell>
          <cell r="J133">
            <v>4</v>
          </cell>
          <cell r="K133">
            <v>0</v>
          </cell>
          <cell r="L133">
            <v>2.60876254305624</v>
          </cell>
          <cell r="M133">
            <v>1.3913400229633281E-2</v>
          </cell>
        </row>
        <row r="134">
          <cell r="A134" t="str">
            <v>BOX212WA</v>
          </cell>
          <cell r="B134" t="str">
            <v>WHT 6/HGln Wrap Around [BOX212WA]</v>
          </cell>
          <cell r="E134" t="str">
            <v>Box</v>
          </cell>
          <cell r="F134" t="str">
            <v>EA</v>
          </cell>
          <cell r="G134">
            <v>0</v>
          </cell>
          <cell r="H134">
            <v>500</v>
          </cell>
          <cell r="I134">
            <v>0</v>
          </cell>
          <cell r="J134">
            <v>4</v>
          </cell>
          <cell r="K134">
            <v>0</v>
          </cell>
          <cell r="L134">
            <v>2.60876254305624</v>
          </cell>
          <cell r="M134">
            <v>2.0870100344449919E-2</v>
          </cell>
        </row>
        <row r="135">
          <cell r="A135" t="str">
            <v>BOX212WAV2</v>
          </cell>
          <cell r="B135" t="str">
            <v>WHT 6/HGln Wrap Around V2</v>
          </cell>
          <cell r="E135" t="str">
            <v>Box</v>
          </cell>
          <cell r="F135" t="str">
            <v>EA</v>
          </cell>
          <cell r="G135">
            <v>44749</v>
          </cell>
          <cell r="H135">
            <v>500</v>
          </cell>
          <cell r="I135">
            <v>89.498000000000005</v>
          </cell>
          <cell r="J135">
            <v>4</v>
          </cell>
          <cell r="K135">
            <v>357.99200000000002</v>
          </cell>
          <cell r="L135">
            <v>2.60876254305624</v>
          </cell>
          <cell r="M135">
            <v>2.0870100344449919E-2</v>
          </cell>
        </row>
        <row r="136">
          <cell r="A136" t="str">
            <v>BOX212WAV3</v>
          </cell>
          <cell r="B136" t="str">
            <v>WHT 6/HGln Wrap Around V3</v>
          </cell>
          <cell r="E136" t="str">
            <v>Box</v>
          </cell>
          <cell r="F136" t="str">
            <v>EA</v>
          </cell>
          <cell r="G136">
            <v>96772</v>
          </cell>
          <cell r="H136">
            <v>550</v>
          </cell>
          <cell r="I136">
            <v>175.9490909090909</v>
          </cell>
          <cell r="J136">
            <v>4</v>
          </cell>
          <cell r="K136">
            <v>703.79636363636359</v>
          </cell>
          <cell r="L136">
            <v>2.60876254305624</v>
          </cell>
          <cell r="M136">
            <v>1.8972818494954472E-2</v>
          </cell>
        </row>
        <row r="137">
          <cell r="A137" t="str">
            <v>BOX213</v>
          </cell>
          <cell r="B137" t="str">
            <v>WHT 16/Qt RSC [BOX213]</v>
          </cell>
          <cell r="E137" t="str">
            <v>Box</v>
          </cell>
          <cell r="F137" t="str">
            <v>EA</v>
          </cell>
          <cell r="G137">
            <v>0</v>
          </cell>
          <cell r="H137">
            <v>500</v>
          </cell>
          <cell r="I137">
            <v>0</v>
          </cell>
          <cell r="J137">
            <v>4</v>
          </cell>
          <cell r="K137">
            <v>0</v>
          </cell>
          <cell r="L137">
            <v>2.60876254305624</v>
          </cell>
          <cell r="M137">
            <v>2.0870100344449919E-2</v>
          </cell>
        </row>
        <row r="138">
          <cell r="A138" t="str">
            <v>BOX213WA</v>
          </cell>
          <cell r="B138" t="str">
            <v>WHT 16/Qt Wrap Around [BOX213WA]</v>
          </cell>
          <cell r="E138" t="str">
            <v>Box</v>
          </cell>
          <cell r="F138" t="str">
            <v>EA</v>
          </cell>
          <cell r="G138">
            <v>0</v>
          </cell>
          <cell r="H138">
            <v>500</v>
          </cell>
          <cell r="I138">
            <v>0</v>
          </cell>
          <cell r="J138">
            <v>4</v>
          </cell>
          <cell r="K138">
            <v>0</v>
          </cell>
          <cell r="L138">
            <v>2.60876254305624</v>
          </cell>
          <cell r="M138">
            <v>2.0870100344449919E-2</v>
          </cell>
        </row>
        <row r="139">
          <cell r="A139" t="str">
            <v>BOX321WA</v>
          </cell>
          <cell r="B139" t="str">
            <v>WHT 4/Gln Wrap Around [BOX321WA]</v>
          </cell>
          <cell r="E139" t="str">
            <v>Box</v>
          </cell>
          <cell r="F139" t="str">
            <v>EA</v>
          </cell>
          <cell r="G139">
            <v>194840</v>
          </cell>
          <cell r="H139">
            <v>500</v>
          </cell>
          <cell r="I139">
            <v>389.68</v>
          </cell>
          <cell r="J139">
            <v>4</v>
          </cell>
          <cell r="K139">
            <v>1558.72</v>
          </cell>
          <cell r="L139">
            <v>2.60876254305624</v>
          </cell>
          <cell r="M139">
            <v>2.0870100344449919E-2</v>
          </cell>
        </row>
        <row r="140">
          <cell r="A140" t="str">
            <v>BOX321WAV2</v>
          </cell>
          <cell r="B140" t="str">
            <v>WHT 4/Gln Wrap Around V2</v>
          </cell>
          <cell r="E140" t="str">
            <v>Box</v>
          </cell>
          <cell r="F140" t="str">
            <v>EA</v>
          </cell>
          <cell r="G140">
            <v>263307</v>
          </cell>
          <cell r="H140">
            <v>550</v>
          </cell>
          <cell r="I140">
            <v>478.74</v>
          </cell>
          <cell r="J140">
            <v>4</v>
          </cell>
          <cell r="K140">
            <v>1914.96</v>
          </cell>
          <cell r="L140">
            <v>2.60876254305624</v>
          </cell>
          <cell r="M140">
            <v>1.8972818494954472E-2</v>
          </cell>
        </row>
        <row r="141">
          <cell r="A141" t="str">
            <v>BOX322</v>
          </cell>
          <cell r="B141" t="str">
            <v>WHT 6 HGln RSC [BOX322]</v>
          </cell>
          <cell r="E141" t="str">
            <v>Box</v>
          </cell>
          <cell r="F141" t="str">
            <v>EA</v>
          </cell>
          <cell r="G141">
            <v>0</v>
          </cell>
          <cell r="H141">
            <v>750</v>
          </cell>
          <cell r="I141">
            <v>0</v>
          </cell>
          <cell r="J141">
            <v>4</v>
          </cell>
          <cell r="K141">
            <v>0</v>
          </cell>
          <cell r="L141">
            <v>2.60876254305624</v>
          </cell>
          <cell r="M141">
            <v>1.3913400229633281E-2</v>
          </cell>
        </row>
        <row r="142">
          <cell r="A142" t="str">
            <v>BOX322WA</v>
          </cell>
          <cell r="B142" t="str">
            <v>WHT 6 HGln Wrap Around [BOX322WA]</v>
          </cell>
          <cell r="E142" t="str">
            <v>Box</v>
          </cell>
          <cell r="F142" t="str">
            <v>EA</v>
          </cell>
          <cell r="G142">
            <v>24007</v>
          </cell>
          <cell r="H142">
            <v>500</v>
          </cell>
          <cell r="I142">
            <v>48.014000000000003</v>
          </cell>
          <cell r="J142">
            <v>4</v>
          </cell>
          <cell r="K142">
            <v>192.05600000000001</v>
          </cell>
          <cell r="L142">
            <v>2.60876254305624</v>
          </cell>
          <cell r="M142">
            <v>2.0870100344449919E-2</v>
          </cell>
        </row>
        <row r="143">
          <cell r="A143" t="str">
            <v>BOX322WAV2</v>
          </cell>
          <cell r="B143" t="str">
            <v>WHT 6 HGln Wrap Around V2</v>
          </cell>
          <cell r="E143" t="str">
            <v>Box</v>
          </cell>
          <cell r="F143" t="str">
            <v>EA</v>
          </cell>
          <cell r="G143">
            <v>34225</v>
          </cell>
          <cell r="H143">
            <v>550</v>
          </cell>
          <cell r="I143">
            <v>62.227272727272727</v>
          </cell>
          <cell r="J143">
            <v>4</v>
          </cell>
          <cell r="K143">
            <v>248.90909090909091</v>
          </cell>
          <cell r="L143">
            <v>2.60876254305624</v>
          </cell>
          <cell r="M143">
            <v>1.8972818494954472E-2</v>
          </cell>
        </row>
        <row r="144">
          <cell r="A144" t="str">
            <v>BOX323WA</v>
          </cell>
          <cell r="B144" t="str">
            <v>WHT 6/Qt Wrap Around [BOX323WA]</v>
          </cell>
          <cell r="E144" t="str">
            <v>Box</v>
          </cell>
          <cell r="F144" t="str">
            <v>EA</v>
          </cell>
          <cell r="G144">
            <v>44659</v>
          </cell>
          <cell r="H144">
            <v>458</v>
          </cell>
          <cell r="I144">
            <v>97.508733624454152</v>
          </cell>
          <cell r="J144">
            <v>4</v>
          </cell>
          <cell r="K144">
            <v>390.03493449781661</v>
          </cell>
          <cell r="L144">
            <v>2.60876254305624</v>
          </cell>
          <cell r="M144">
            <v>2.2783952341102531E-2</v>
          </cell>
        </row>
        <row r="145">
          <cell r="A145" t="str">
            <v>BOX323WAV2</v>
          </cell>
          <cell r="B145" t="str">
            <v>WHT 6/Qt Wrap Around V2</v>
          </cell>
          <cell r="E145" t="str">
            <v>Box</v>
          </cell>
          <cell r="F145" t="str">
            <v>EA</v>
          </cell>
          <cell r="G145">
            <v>48292</v>
          </cell>
          <cell r="H145">
            <v>810</v>
          </cell>
          <cell r="I145">
            <v>59.619753086419756</v>
          </cell>
          <cell r="J145">
            <v>4</v>
          </cell>
          <cell r="K145">
            <v>238.47901234567902</v>
          </cell>
          <cell r="L145">
            <v>2.60876254305624</v>
          </cell>
          <cell r="M145">
            <v>1.2882777990401184E-2</v>
          </cell>
        </row>
        <row r="146">
          <cell r="A146" t="str">
            <v>BOX410WAV2</v>
          </cell>
          <cell r="B146" t="str">
            <v>BRN 4/Gln Wrap Around V2</v>
          </cell>
          <cell r="E146" t="str">
            <v>Box</v>
          </cell>
          <cell r="F146" t="str">
            <v>EA</v>
          </cell>
          <cell r="G146">
            <v>509139</v>
          </cell>
          <cell r="H146">
            <v>550</v>
          </cell>
          <cell r="I146">
            <v>925.70727272727277</v>
          </cell>
          <cell r="J146">
            <v>4</v>
          </cell>
          <cell r="K146">
            <v>3702.8290909090911</v>
          </cell>
          <cell r="L146">
            <v>2.60876254305624</v>
          </cell>
          <cell r="M146">
            <v>1.8972818494954472E-2</v>
          </cell>
        </row>
        <row r="147">
          <cell r="A147" t="str">
            <v>BOX411</v>
          </cell>
          <cell r="B147" t="str">
            <v>BRN 4/Gln RSC [BOX411]</v>
          </cell>
          <cell r="E147" t="str">
            <v>Box</v>
          </cell>
          <cell r="F147" t="str">
            <v>EA</v>
          </cell>
          <cell r="G147">
            <v>0</v>
          </cell>
          <cell r="H147">
            <v>500</v>
          </cell>
          <cell r="I147">
            <v>0</v>
          </cell>
          <cell r="J147">
            <v>4</v>
          </cell>
          <cell r="K147">
            <v>0</v>
          </cell>
          <cell r="L147">
            <v>2.60876254305624</v>
          </cell>
          <cell r="M147">
            <v>2.0870100344449919E-2</v>
          </cell>
        </row>
        <row r="148">
          <cell r="A148" t="str">
            <v>BOX411WA</v>
          </cell>
          <cell r="B148" t="str">
            <v>BRN 4/Gln Wrap Around [BOX411WA]</v>
          </cell>
          <cell r="E148" t="str">
            <v>Box</v>
          </cell>
          <cell r="F148" t="str">
            <v>EA</v>
          </cell>
          <cell r="G148">
            <v>250071</v>
          </cell>
          <cell r="H148">
            <v>497.16666666666669</v>
          </cell>
          <cell r="I148">
            <v>502.99228964130066</v>
          </cell>
          <cell r="J148">
            <v>4</v>
          </cell>
          <cell r="K148">
            <v>2011.9691585652026</v>
          </cell>
          <cell r="L148">
            <v>2.60876254305624</v>
          </cell>
          <cell r="M148">
            <v>2.098903822774045E-2</v>
          </cell>
        </row>
        <row r="149">
          <cell r="A149" t="str">
            <v>BOX412</v>
          </cell>
          <cell r="B149" t="str">
            <v>BRN 6 HGln RSC [BOX412]</v>
          </cell>
          <cell r="E149" t="str">
            <v>Box</v>
          </cell>
          <cell r="F149" t="str">
            <v>EA</v>
          </cell>
          <cell r="G149">
            <v>0</v>
          </cell>
          <cell r="H149">
            <v>494.09090909090907</v>
          </cell>
          <cell r="I149">
            <v>0</v>
          </cell>
          <cell r="J149">
            <v>4</v>
          </cell>
          <cell r="K149">
            <v>0</v>
          </cell>
          <cell r="L149">
            <v>2.60876254305624</v>
          </cell>
          <cell r="M149">
            <v>2.1119696760712892E-2</v>
          </cell>
        </row>
        <row r="150">
          <cell r="A150" t="str">
            <v>BOX412WA</v>
          </cell>
          <cell r="B150" t="str">
            <v>BRN 6 HGln Wrap Around [BOX412WA]</v>
          </cell>
          <cell r="E150" t="str">
            <v>Box</v>
          </cell>
          <cell r="F150" t="str">
            <v>EA</v>
          </cell>
          <cell r="G150">
            <v>83106</v>
          </cell>
          <cell r="H150">
            <v>500</v>
          </cell>
          <cell r="I150">
            <v>166.21199999999999</v>
          </cell>
          <cell r="J150">
            <v>4</v>
          </cell>
          <cell r="K150">
            <v>664.84799999999996</v>
          </cell>
          <cell r="L150">
            <v>2.60876254305624</v>
          </cell>
          <cell r="M150">
            <v>2.0870100344449919E-2</v>
          </cell>
        </row>
        <row r="151">
          <cell r="A151" t="str">
            <v>BOX412WAV2</v>
          </cell>
          <cell r="B151" t="str">
            <v>BRN 6 HGln Wrap Around V2</v>
          </cell>
          <cell r="E151" t="str">
            <v>Box</v>
          </cell>
          <cell r="F151" t="str">
            <v>EA</v>
          </cell>
          <cell r="G151">
            <v>115992</v>
          </cell>
          <cell r="H151">
            <v>550</v>
          </cell>
          <cell r="I151">
            <v>210.89454545454547</v>
          </cell>
          <cell r="J151">
            <v>4</v>
          </cell>
          <cell r="K151">
            <v>843.57818181818186</v>
          </cell>
          <cell r="L151">
            <v>2.60876254305624</v>
          </cell>
          <cell r="M151">
            <v>1.8972818494954472E-2</v>
          </cell>
        </row>
        <row r="152">
          <cell r="A152" t="str">
            <v>BOX414</v>
          </cell>
          <cell r="B152" t="str">
            <v>BRN 6/Qt RSC</v>
          </cell>
          <cell r="E152" t="str">
            <v>Box</v>
          </cell>
          <cell r="F152" t="str">
            <v>EA</v>
          </cell>
          <cell r="G152">
            <v>0</v>
          </cell>
          <cell r="H152">
            <v>500</v>
          </cell>
          <cell r="I152">
            <v>0</v>
          </cell>
          <cell r="J152">
            <v>4</v>
          </cell>
          <cell r="K152">
            <v>0</v>
          </cell>
          <cell r="L152">
            <v>2.60876254305624</v>
          </cell>
          <cell r="M152">
            <v>2.0870100344449919E-2</v>
          </cell>
        </row>
        <row r="153">
          <cell r="A153" t="str">
            <v>BOX414V2</v>
          </cell>
          <cell r="B153" t="str">
            <v>BRN 6/Qt RSC V2</v>
          </cell>
          <cell r="E153" t="str">
            <v>Box</v>
          </cell>
          <cell r="F153" t="str">
            <v>EA</v>
          </cell>
          <cell r="G153">
            <v>8715</v>
          </cell>
          <cell r="H153">
            <v>900</v>
          </cell>
          <cell r="I153">
            <v>9.6833333333333336</v>
          </cell>
          <cell r="J153">
            <v>4</v>
          </cell>
          <cell r="K153">
            <v>38.733333333333334</v>
          </cell>
          <cell r="L153">
            <v>2.60876254305624</v>
          </cell>
          <cell r="M153">
            <v>1.1594500191361067E-2</v>
          </cell>
        </row>
        <row r="154">
          <cell r="A154" t="str">
            <v>BOX414WA</v>
          </cell>
          <cell r="B154" t="str">
            <v>BRN 6/Qt Wrap Around [BOX414WA]</v>
          </cell>
          <cell r="E154" t="str">
            <v>Box</v>
          </cell>
          <cell r="F154" t="str">
            <v>EA</v>
          </cell>
          <cell r="G154">
            <v>44464</v>
          </cell>
          <cell r="H154">
            <v>727.5</v>
          </cell>
          <cell r="I154">
            <v>61.118900343642615</v>
          </cell>
          <cell r="J154">
            <v>4</v>
          </cell>
          <cell r="K154">
            <v>244.47560137457046</v>
          </cell>
          <cell r="L154">
            <v>2.60876254305624</v>
          </cell>
          <cell r="M154">
            <v>1.4343711576941526E-2</v>
          </cell>
        </row>
        <row r="155">
          <cell r="A155" t="str">
            <v>BOX414WAV2</v>
          </cell>
          <cell r="B155" t="str">
            <v>BRN 6/Qt Wrap Around V2</v>
          </cell>
          <cell r="E155" t="str">
            <v>Box</v>
          </cell>
          <cell r="F155" t="str">
            <v>EA</v>
          </cell>
          <cell r="G155">
            <v>85608</v>
          </cell>
          <cell r="H155">
            <v>810</v>
          </cell>
          <cell r="I155">
            <v>105.68888888888888</v>
          </cell>
          <cell r="J155">
            <v>4</v>
          </cell>
          <cell r="K155">
            <v>422.75555555555553</v>
          </cell>
          <cell r="L155">
            <v>2.60876254305624</v>
          </cell>
          <cell r="M155">
            <v>1.2882777990401184E-2</v>
          </cell>
        </row>
        <row r="156">
          <cell r="A156" t="str">
            <v>BOX415WA</v>
          </cell>
          <cell r="B156" t="str">
            <v>BRN 16/Qt Wrap Around [BOX415WA]</v>
          </cell>
          <cell r="E156" t="str">
            <v>Box</v>
          </cell>
          <cell r="F156" t="str">
            <v>EA</v>
          </cell>
          <cell r="G156">
            <v>925</v>
          </cell>
          <cell r="H156">
            <v>497.81818181818181</v>
          </cell>
          <cell r="I156">
            <v>1.8581081081081081</v>
          </cell>
          <cell r="J156">
            <v>4</v>
          </cell>
          <cell r="K156">
            <v>7.4324324324324325</v>
          </cell>
          <cell r="L156">
            <v>2.60876254305624</v>
          </cell>
          <cell r="M156">
            <v>2.0961569009217414E-2</v>
          </cell>
        </row>
        <row r="157">
          <cell r="A157" t="str">
            <v>BOX420WA</v>
          </cell>
          <cell r="B157" t="str">
            <v>BRN 16/Qt Wrap Around</v>
          </cell>
          <cell r="E157" t="str">
            <v>Box</v>
          </cell>
          <cell r="F157" t="str">
            <v>EA</v>
          </cell>
          <cell r="G157">
            <v>0</v>
          </cell>
          <cell r="H157">
            <v>500</v>
          </cell>
          <cell r="I157">
            <v>0</v>
          </cell>
          <cell r="J157">
            <v>4</v>
          </cell>
          <cell r="K157">
            <v>0</v>
          </cell>
          <cell r="L157">
            <v>2.60876254305624</v>
          </cell>
          <cell r="M157">
            <v>2.0870100344449919E-2</v>
          </cell>
        </row>
        <row r="158">
          <cell r="A158" t="str">
            <v>BOX521</v>
          </cell>
          <cell r="B158" t="str">
            <v>BRN 24pk 12oz RSC</v>
          </cell>
          <cell r="E158" t="str">
            <v>Box</v>
          </cell>
          <cell r="F158" t="str">
            <v>EA</v>
          </cell>
          <cell r="G158">
            <v>0</v>
          </cell>
          <cell r="H158">
            <v>500</v>
          </cell>
          <cell r="I158">
            <v>0</v>
          </cell>
          <cell r="J158">
            <v>4</v>
          </cell>
          <cell r="K158">
            <v>0</v>
          </cell>
          <cell r="L158">
            <v>2.60876254305624</v>
          </cell>
          <cell r="M158">
            <v>2.0870100344449919E-2</v>
          </cell>
        </row>
        <row r="159">
          <cell r="A159" t="str">
            <v>BOX521WA</v>
          </cell>
          <cell r="B159" t="str">
            <v>BRN 24pk 12oz Wrap Around</v>
          </cell>
          <cell r="E159" t="str">
            <v>Box</v>
          </cell>
          <cell r="F159" t="str">
            <v>EA</v>
          </cell>
          <cell r="G159">
            <v>0</v>
          </cell>
          <cell r="H159">
            <v>500</v>
          </cell>
          <cell r="I159">
            <v>0</v>
          </cell>
          <cell r="J159">
            <v>4</v>
          </cell>
          <cell r="K159">
            <v>0</v>
          </cell>
          <cell r="L159">
            <v>2.60876254305624</v>
          </cell>
          <cell r="M159">
            <v>2.0870100344449919E-2</v>
          </cell>
        </row>
        <row r="160">
          <cell r="A160" t="str">
            <v>BOX532WAV2</v>
          </cell>
          <cell r="B160" t="str">
            <v>BRN 12 QT Wrap Around V2</v>
          </cell>
          <cell r="E160" t="str">
            <v>Box</v>
          </cell>
          <cell r="F160" t="str">
            <v>EA</v>
          </cell>
          <cell r="G160">
            <v>8911</v>
          </cell>
          <cell r="H160">
            <v>661</v>
          </cell>
          <cell r="I160">
            <v>13.48108925869894</v>
          </cell>
          <cell r="J160">
            <v>4</v>
          </cell>
          <cell r="K160">
            <v>53.924357034795761</v>
          </cell>
          <cell r="L160">
            <v>2.60876254305624</v>
          </cell>
          <cell r="M160">
            <v>1.5786762741641393E-2</v>
          </cell>
        </row>
        <row r="161">
          <cell r="A161" t="str">
            <v>BTL211</v>
          </cell>
          <cell r="B161" t="str">
            <v>Gln HDPE DBJ</v>
          </cell>
          <cell r="E161" t="str">
            <v>Bottle Other</v>
          </cell>
          <cell r="F161" t="str">
            <v>EA</v>
          </cell>
          <cell r="G161">
            <v>5907388</v>
          </cell>
          <cell r="H161">
            <v>768</v>
          </cell>
          <cell r="I161">
            <v>7691.911458333333</v>
          </cell>
          <cell r="J161">
            <v>0</v>
          </cell>
          <cell r="K161">
            <v>0</v>
          </cell>
          <cell r="L161">
            <v>2.60876254305624</v>
          </cell>
          <cell r="M161">
            <v>0</v>
          </cell>
        </row>
        <row r="162">
          <cell r="A162" t="str">
            <v>BTL212</v>
          </cell>
          <cell r="B162" t="str">
            <v>HGln HDPE DBJ</v>
          </cell>
          <cell r="E162" t="str">
            <v>Bottle Other</v>
          </cell>
          <cell r="F162" t="str">
            <v>EA</v>
          </cell>
          <cell r="G162">
            <v>3696197</v>
          </cell>
          <cell r="H162">
            <v>1728</v>
          </cell>
          <cell r="I162">
            <v>2139.0028935185187</v>
          </cell>
          <cell r="J162">
            <v>0</v>
          </cell>
          <cell r="K162">
            <v>0</v>
          </cell>
          <cell r="L162">
            <v>2.60876254305624</v>
          </cell>
          <cell r="M162">
            <v>0</v>
          </cell>
        </row>
        <row r="163">
          <cell r="A163" t="str">
            <v>BTL213</v>
          </cell>
          <cell r="B163" t="str">
            <v>Qt HDPE DBJ [BTL213]</v>
          </cell>
          <cell r="E163" t="str">
            <v>Bottle Other</v>
          </cell>
          <cell r="F163" t="str">
            <v>EA</v>
          </cell>
          <cell r="G163">
            <v>1603584</v>
          </cell>
          <cell r="H163">
            <v>1728</v>
          </cell>
          <cell r="I163">
            <v>928</v>
          </cell>
          <cell r="J163">
            <v>0</v>
          </cell>
          <cell r="K163">
            <v>0</v>
          </cell>
          <cell r="L163">
            <v>2.60876254305624</v>
          </cell>
          <cell r="M163">
            <v>0</v>
          </cell>
        </row>
        <row r="164">
          <cell r="A164" t="str">
            <v>BTL214</v>
          </cell>
          <cell r="B164" t="str">
            <v>Pint HDPE DBJ [BTL214]</v>
          </cell>
          <cell r="E164" t="str">
            <v>Bottle Pints</v>
          </cell>
          <cell r="F164" t="str">
            <v>EA</v>
          </cell>
          <cell r="G164">
            <v>0</v>
          </cell>
          <cell r="H164">
            <v>3535.0588235294117</v>
          </cell>
          <cell r="I164">
            <v>0</v>
          </cell>
          <cell r="J164">
            <v>4</v>
          </cell>
          <cell r="K164">
            <v>0</v>
          </cell>
          <cell r="L164">
            <v>2.60876254305624</v>
          </cell>
          <cell r="M164">
            <v>2.9518745495178433E-3</v>
          </cell>
        </row>
        <row r="165">
          <cell r="A165" t="str">
            <v>BTL215</v>
          </cell>
          <cell r="B165" t="str">
            <v>12.5  oz HDPE DBJ [BTL215]</v>
          </cell>
          <cell r="E165" t="str">
            <v>Bottle 12OZ</v>
          </cell>
          <cell r="F165" t="str">
            <v>EA</v>
          </cell>
          <cell r="G165">
            <v>0</v>
          </cell>
          <cell r="H165">
            <v>4560</v>
          </cell>
          <cell r="I165">
            <v>0</v>
          </cell>
          <cell r="J165">
            <v>4</v>
          </cell>
          <cell r="K165">
            <v>0</v>
          </cell>
          <cell r="L165">
            <v>2.60876254305624</v>
          </cell>
          <cell r="M165">
            <v>2.2883881956633685E-3</v>
          </cell>
        </row>
        <row r="166">
          <cell r="A166" t="str">
            <v>COL003</v>
          </cell>
          <cell r="B166" t="str">
            <v>Exberry Shade Red 153330 [COL003]</v>
          </cell>
          <cell r="E166" t="str">
            <v>Color</v>
          </cell>
          <cell r="F166" t="str">
            <v>LB</v>
          </cell>
          <cell r="G166">
            <v>325</v>
          </cell>
          <cell r="H166">
            <v>110</v>
          </cell>
          <cell r="I166">
            <v>2.9545454545454546</v>
          </cell>
          <cell r="J166">
            <v>12.899999999999999</v>
          </cell>
          <cell r="K166">
            <v>38.11363636363636</v>
          </cell>
          <cell r="L166">
            <v>2.60876254305624</v>
          </cell>
          <cell r="M166">
            <v>0.30593669823114084</v>
          </cell>
        </row>
        <row r="167">
          <cell r="A167" t="str">
            <v>COL004</v>
          </cell>
          <cell r="B167" t="str">
            <v>Exberry Mango Yel 450005 [COL004]</v>
          </cell>
          <cell r="E167" t="str">
            <v>Color</v>
          </cell>
          <cell r="F167" t="str">
            <v>LB</v>
          </cell>
          <cell r="G167">
            <v>1143.79</v>
          </cell>
          <cell r="H167">
            <v>110</v>
          </cell>
          <cell r="I167">
            <v>10.398090909090909</v>
          </cell>
          <cell r="J167">
            <v>12.899999999999999</v>
          </cell>
          <cell r="K167">
            <v>134.13537272727271</v>
          </cell>
          <cell r="L167">
            <v>2.60876254305624</v>
          </cell>
          <cell r="M167">
            <v>0.30593669823114084</v>
          </cell>
        </row>
        <row r="168">
          <cell r="A168" t="str">
            <v>CON003</v>
          </cell>
          <cell r="B168" t="str">
            <v>White Grape Juice Con Brix 68 [CON003]</v>
          </cell>
          <cell r="E168" t="str">
            <v>Con</v>
          </cell>
          <cell r="F168" t="str">
            <v>GL</v>
          </cell>
          <cell r="G168">
            <v>9600</v>
          </cell>
          <cell r="H168">
            <v>198.31460674157304</v>
          </cell>
          <cell r="I168">
            <v>48.40793201133144</v>
          </cell>
          <cell r="J168">
            <v>12.899999999999999</v>
          </cell>
          <cell r="K168">
            <v>624.4623229461755</v>
          </cell>
          <cell r="L168">
            <v>2.60876254305624</v>
          </cell>
          <cell r="M168">
            <v>0.16969519975540334</v>
          </cell>
        </row>
        <row r="169">
          <cell r="A169" t="str">
            <v>CON005</v>
          </cell>
          <cell r="B169" t="str">
            <v>Lemon Juice Concentrate Brix 43</v>
          </cell>
          <cell r="E169" t="str">
            <v>Con</v>
          </cell>
          <cell r="F169" t="str">
            <v>GL</v>
          </cell>
          <cell r="G169">
            <v>11232</v>
          </cell>
          <cell r="H169">
            <v>208</v>
          </cell>
          <cell r="I169">
            <v>54</v>
          </cell>
          <cell r="J169">
            <v>12.899999999999999</v>
          </cell>
          <cell r="K169">
            <v>696.59999999999991</v>
          </cell>
          <cell r="L169">
            <v>2.60876254305624</v>
          </cell>
          <cell r="M169">
            <v>0.16179344617993024</v>
          </cell>
        </row>
        <row r="170">
          <cell r="A170" t="str">
            <v>CON017</v>
          </cell>
          <cell r="B170" t="str">
            <v>Concord Grape Concentrate [CON017]</v>
          </cell>
          <cell r="E170" t="str">
            <v>Con</v>
          </cell>
          <cell r="F170" t="str">
            <v>GL</v>
          </cell>
          <cell r="G170">
            <v>204</v>
          </cell>
          <cell r="H170">
            <v>200</v>
          </cell>
          <cell r="I170">
            <v>1.02</v>
          </cell>
          <cell r="J170">
            <v>12.899999999999999</v>
          </cell>
          <cell r="K170">
            <v>13.157999999999999</v>
          </cell>
          <cell r="L170">
            <v>2.60876254305624</v>
          </cell>
          <cell r="M170">
            <v>0.16826518402712748</v>
          </cell>
        </row>
        <row r="171">
          <cell r="A171" t="str">
            <v>CON020</v>
          </cell>
          <cell r="B171" t="str">
            <v>Passionfruit Juice Con 50 Brix</v>
          </cell>
          <cell r="E171" t="str">
            <v>Con</v>
          </cell>
          <cell r="F171" t="str">
            <v>GL</v>
          </cell>
          <cell r="G171">
            <v>1103.25</v>
          </cell>
          <cell r="H171">
            <v>147.64000000000001</v>
          </cell>
          <cell r="I171">
            <v>7.4725684096450822</v>
          </cell>
          <cell r="J171">
            <v>12.899999999999999</v>
          </cell>
          <cell r="K171">
            <v>96.396132484421543</v>
          </cell>
          <cell r="L171">
            <v>2.60876254305624</v>
          </cell>
          <cell r="M171">
            <v>0.22793983206058988</v>
          </cell>
        </row>
        <row r="172">
          <cell r="A172" t="str">
            <v>CON037</v>
          </cell>
          <cell r="B172" t="str">
            <v>Carrot Juice Conc W/Citric Acid 42 Brix [CON037]</v>
          </cell>
          <cell r="E172" t="str">
            <v>Con</v>
          </cell>
          <cell r="F172" t="str">
            <v>GL</v>
          </cell>
          <cell r="G172">
            <v>0</v>
          </cell>
          <cell r="H172">
            <v>118.75</v>
          </cell>
          <cell r="I172">
            <v>0</v>
          </cell>
          <cell r="J172">
            <v>12.899999999999999</v>
          </cell>
          <cell r="K172">
            <v>0</v>
          </cell>
          <cell r="L172">
            <v>2.60876254305624</v>
          </cell>
          <cell r="M172">
            <v>0.28339399415095151</v>
          </cell>
        </row>
        <row r="173">
          <cell r="A173" t="str">
            <v>CON042</v>
          </cell>
          <cell r="B173" t="str">
            <v>Blood Orange Juice Con 50 Brix [CON042]</v>
          </cell>
          <cell r="E173" t="str">
            <v>Con</v>
          </cell>
          <cell r="F173" t="str">
            <v>GL</v>
          </cell>
          <cell r="G173">
            <v>0</v>
          </cell>
          <cell r="H173">
            <v>144</v>
          </cell>
          <cell r="I173">
            <v>0</v>
          </cell>
          <cell r="J173">
            <v>12.899999999999999</v>
          </cell>
          <cell r="K173">
            <v>0</v>
          </cell>
          <cell r="L173">
            <v>2.60876254305624</v>
          </cell>
          <cell r="M173">
            <v>0.2337016444821215</v>
          </cell>
        </row>
        <row r="174">
          <cell r="A174" t="str">
            <v>CPBK08</v>
          </cell>
          <cell r="B174" t="str">
            <v>BLACK DBJ Cap</v>
          </cell>
          <cell r="E174" t="str">
            <v>Cap</v>
          </cell>
          <cell r="F174" t="str">
            <v>EA</v>
          </cell>
          <cell r="G174">
            <v>262500</v>
          </cell>
          <cell r="H174">
            <v>87500</v>
          </cell>
          <cell r="I174">
            <v>3</v>
          </cell>
          <cell r="J174">
            <v>3</v>
          </cell>
          <cell r="K174">
            <v>9</v>
          </cell>
          <cell r="L174">
            <v>2.60876254305624</v>
          </cell>
          <cell r="M174">
            <v>8.9443287190499657E-5</v>
          </cell>
        </row>
        <row r="175">
          <cell r="A175" t="str">
            <v>CPGD08</v>
          </cell>
          <cell r="B175" t="str">
            <v>GOLD DBJ Cap</v>
          </cell>
          <cell r="E175" t="str">
            <v>Cap</v>
          </cell>
          <cell r="F175" t="str">
            <v>EA</v>
          </cell>
          <cell r="G175">
            <v>815000</v>
          </cell>
          <cell r="H175">
            <v>87500</v>
          </cell>
          <cell r="I175">
            <v>9.3142857142857149</v>
          </cell>
          <cell r="J175">
            <v>3</v>
          </cell>
          <cell r="K175">
            <v>27.942857142857143</v>
          </cell>
          <cell r="L175">
            <v>2.60876254305624</v>
          </cell>
          <cell r="M175">
            <v>8.9443287190499657E-5</v>
          </cell>
        </row>
        <row r="176">
          <cell r="A176" t="str">
            <v>CPGR08</v>
          </cell>
          <cell r="B176" t="str">
            <v>Green DBJ Cap [CPGR08]</v>
          </cell>
          <cell r="E176" t="str">
            <v>Cap</v>
          </cell>
          <cell r="F176" t="str">
            <v>EA</v>
          </cell>
          <cell r="G176">
            <v>4467067</v>
          </cell>
          <cell r="H176">
            <v>87500</v>
          </cell>
          <cell r="I176">
            <v>51.052194285714286</v>
          </cell>
          <cell r="J176">
            <v>3</v>
          </cell>
          <cell r="K176">
            <v>153.15658285714287</v>
          </cell>
          <cell r="L176">
            <v>2.60876254305624</v>
          </cell>
          <cell r="M176">
            <v>8.9443287190499657E-5</v>
          </cell>
        </row>
        <row r="177">
          <cell r="A177" t="str">
            <v>CPLG08</v>
          </cell>
          <cell r="B177" t="str">
            <v>Cap LIGHT GREEN DBJ</v>
          </cell>
          <cell r="E177" t="str">
            <v>Cap</v>
          </cell>
          <cell r="F177" t="str">
            <v>EA</v>
          </cell>
          <cell r="G177">
            <v>0</v>
          </cell>
          <cell r="H177">
            <v>87500</v>
          </cell>
          <cell r="I177">
            <v>0</v>
          </cell>
          <cell r="J177">
            <v>3</v>
          </cell>
          <cell r="K177">
            <v>0</v>
          </cell>
          <cell r="L177">
            <v>2.60876254305624</v>
          </cell>
          <cell r="M177">
            <v>8.9443287190499657E-5</v>
          </cell>
        </row>
        <row r="178">
          <cell r="A178" t="str">
            <v>CPMN08</v>
          </cell>
          <cell r="B178" t="str">
            <v>Cap Maroon DBJ [CPMN08]</v>
          </cell>
          <cell r="E178" t="str">
            <v>Cap</v>
          </cell>
          <cell r="F178" t="str">
            <v>EA</v>
          </cell>
          <cell r="G178">
            <v>0</v>
          </cell>
          <cell r="H178">
            <v>87500</v>
          </cell>
          <cell r="I178">
            <v>0</v>
          </cell>
          <cell r="J178">
            <v>3</v>
          </cell>
          <cell r="K178">
            <v>0</v>
          </cell>
          <cell r="L178">
            <v>2.60876254305624</v>
          </cell>
          <cell r="M178">
            <v>8.9443287190499657E-5</v>
          </cell>
        </row>
        <row r="179">
          <cell r="A179" t="str">
            <v>CPOG08</v>
          </cell>
          <cell r="B179" t="str">
            <v>ORANGE DBJ Cap</v>
          </cell>
          <cell r="E179" t="str">
            <v>Cap</v>
          </cell>
          <cell r="F179" t="str">
            <v>EA</v>
          </cell>
          <cell r="G179">
            <v>2893100</v>
          </cell>
          <cell r="H179">
            <v>87500</v>
          </cell>
          <cell r="I179">
            <v>33.064</v>
          </cell>
          <cell r="J179">
            <v>3</v>
          </cell>
          <cell r="K179">
            <v>99.192000000000007</v>
          </cell>
          <cell r="L179">
            <v>2.60876254305624</v>
          </cell>
          <cell r="M179">
            <v>8.9443287190499657E-5</v>
          </cell>
        </row>
        <row r="180">
          <cell r="A180" t="str">
            <v>CPPK08</v>
          </cell>
          <cell r="B180" t="str">
            <v>Cap Pink DBJ</v>
          </cell>
          <cell r="E180" t="str">
            <v>Cap</v>
          </cell>
          <cell r="F180" t="str">
            <v>EA</v>
          </cell>
          <cell r="G180">
            <v>7499</v>
          </cell>
          <cell r="H180">
            <v>87500</v>
          </cell>
          <cell r="I180">
            <v>8.5702857142857136E-2</v>
          </cell>
          <cell r="J180">
            <v>3</v>
          </cell>
          <cell r="K180">
            <v>0.25710857142857141</v>
          </cell>
          <cell r="L180">
            <v>2.60876254305624</v>
          </cell>
          <cell r="M180">
            <v>8.9443287190499657E-5</v>
          </cell>
        </row>
        <row r="181">
          <cell r="A181" t="str">
            <v>CPRD08</v>
          </cell>
          <cell r="B181" t="str">
            <v>Red DBJ Cap [CPRD08]</v>
          </cell>
          <cell r="E181" t="str">
            <v>Cap</v>
          </cell>
          <cell r="F181" t="str">
            <v>EA</v>
          </cell>
          <cell r="G181">
            <v>232500</v>
          </cell>
          <cell r="H181">
            <v>85000</v>
          </cell>
          <cell r="I181">
            <v>2.7352941176470589</v>
          </cell>
          <cell r="J181">
            <v>3</v>
          </cell>
          <cell r="K181">
            <v>8.2058823529411775</v>
          </cell>
          <cell r="L181">
            <v>2.60876254305624</v>
          </cell>
          <cell r="M181">
            <v>9.2073972107867291E-5</v>
          </cell>
        </row>
        <row r="182">
          <cell r="A182" t="str">
            <v>CPWT08</v>
          </cell>
          <cell r="B182" t="str">
            <v>Cap WHITE DBJ</v>
          </cell>
          <cell r="E182" t="str">
            <v>Cap</v>
          </cell>
          <cell r="F182" t="str">
            <v>EA</v>
          </cell>
          <cell r="G182">
            <v>400000</v>
          </cell>
          <cell r="H182">
            <v>87500</v>
          </cell>
          <cell r="I182">
            <v>4.5714285714285712</v>
          </cell>
          <cell r="J182">
            <v>3</v>
          </cell>
          <cell r="K182">
            <v>13.714285714285714</v>
          </cell>
          <cell r="L182">
            <v>2.60876254305624</v>
          </cell>
          <cell r="M182">
            <v>8.9443287190499657E-5</v>
          </cell>
        </row>
        <row r="183">
          <cell r="A183" t="str">
            <v>CPWT10</v>
          </cell>
          <cell r="B183" t="str">
            <v>Cap White Push Lock 2" w/ Logo</v>
          </cell>
          <cell r="E183" t="str">
            <v>Cap</v>
          </cell>
          <cell r="F183" t="str">
            <v>EA</v>
          </cell>
          <cell r="G183">
            <v>194</v>
          </cell>
          <cell r="H183">
            <v>96</v>
          </cell>
          <cell r="I183">
            <v>2.0208333333333335</v>
          </cell>
          <cell r="J183">
            <v>3</v>
          </cell>
          <cell r="K183">
            <v>6.0625</v>
          </cell>
          <cell r="L183">
            <v>2.60876254305624</v>
          </cell>
          <cell r="M183">
            <v>8.15238294705075E-2</v>
          </cell>
        </row>
        <row r="184">
          <cell r="A184" t="str">
            <v>CPYL08</v>
          </cell>
          <cell r="B184" t="str">
            <v>Cap Yellow DBJ [CPYL08]</v>
          </cell>
          <cell r="E184" t="str">
            <v>Cap</v>
          </cell>
          <cell r="F184" t="str">
            <v>EA</v>
          </cell>
          <cell r="G184">
            <v>3427620</v>
          </cell>
          <cell r="H184">
            <v>87500</v>
          </cell>
          <cell r="I184">
            <v>39.172800000000002</v>
          </cell>
          <cell r="J184">
            <v>3</v>
          </cell>
          <cell r="K184">
            <v>117.51840000000001</v>
          </cell>
          <cell r="L184">
            <v>2.60876254305624</v>
          </cell>
          <cell r="M184">
            <v>8.9443287190499657E-5</v>
          </cell>
        </row>
        <row r="185">
          <cell r="A185" t="str">
            <v>FLV001</v>
          </cell>
          <cell r="B185" t="str">
            <v>Lemon Oil - INFO PURPOSES ONLY. THIS IS ALL UNDER SKU 4800</v>
          </cell>
          <cell r="E185" t="str">
            <v>Flavor</v>
          </cell>
          <cell r="F185" t="str">
            <v>LB</v>
          </cell>
          <cell r="G185">
            <v>0</v>
          </cell>
          <cell r="H185">
            <v>1600</v>
          </cell>
          <cell r="I185">
            <v>0</v>
          </cell>
          <cell r="J185">
            <v>12.899999999999999</v>
          </cell>
          <cell r="K185">
            <v>0</v>
          </cell>
          <cell r="L185">
            <v>2.60876254305624</v>
          </cell>
          <cell r="M185">
            <v>2.1033148003390935E-2</v>
          </cell>
        </row>
        <row r="186">
          <cell r="A186" t="str">
            <v>FLV009</v>
          </cell>
          <cell r="B186" t="str">
            <v>Cold Pressed Lime Oil</v>
          </cell>
          <cell r="E186" t="str">
            <v>Flavor</v>
          </cell>
          <cell r="F186" t="str">
            <v>LB</v>
          </cell>
          <cell r="G186">
            <v>33</v>
          </cell>
          <cell r="H186">
            <v>40</v>
          </cell>
          <cell r="I186">
            <v>0.82499999999999996</v>
          </cell>
          <cell r="J186">
            <v>12.899999999999999</v>
          </cell>
          <cell r="K186">
            <v>10.642499999999998</v>
          </cell>
          <cell r="L186">
            <v>2.60876254305624</v>
          </cell>
          <cell r="M186">
            <v>0.84132592013563734</v>
          </cell>
        </row>
        <row r="187">
          <cell r="A187" t="str">
            <v>FLV015</v>
          </cell>
          <cell r="B187" t="str">
            <v>Blueberry NV 28106 [FLV015]</v>
          </cell>
          <cell r="E187" t="str">
            <v>Flavor</v>
          </cell>
          <cell r="F187" t="str">
            <v>LB</v>
          </cell>
          <cell r="G187">
            <v>0</v>
          </cell>
          <cell r="H187">
            <v>400</v>
          </cell>
          <cell r="I187">
            <v>0</v>
          </cell>
          <cell r="J187">
            <v>12.899999999999999</v>
          </cell>
          <cell r="K187">
            <v>0</v>
          </cell>
          <cell r="L187">
            <v>2.60876254305624</v>
          </cell>
          <cell r="M187">
            <v>8.413259201356374E-2</v>
          </cell>
        </row>
        <row r="188">
          <cell r="A188" t="str">
            <v>FLV050</v>
          </cell>
          <cell r="B188" t="str">
            <v>Robertet Blood Org Flv NV 37,201 [FLV050]</v>
          </cell>
          <cell r="E188" t="str">
            <v>Flavor</v>
          </cell>
          <cell r="F188" t="str">
            <v>LB</v>
          </cell>
          <cell r="G188">
            <v>0</v>
          </cell>
          <cell r="H188">
            <v>37</v>
          </cell>
          <cell r="I188">
            <v>0</v>
          </cell>
          <cell r="J188">
            <v>12.899999999999999</v>
          </cell>
          <cell r="K188">
            <v>0</v>
          </cell>
          <cell r="L188">
            <v>2.60876254305624</v>
          </cell>
          <cell r="M188">
            <v>0.90954153528177006</v>
          </cell>
        </row>
        <row r="189">
          <cell r="A189" t="str">
            <v>FLV063</v>
          </cell>
          <cell r="B189" t="str">
            <v>Treat Lemon Oil Meyer Type 17684</v>
          </cell>
          <cell r="E189" t="str">
            <v>Flavor</v>
          </cell>
          <cell r="F189" t="str">
            <v>LB</v>
          </cell>
          <cell r="G189">
            <v>0</v>
          </cell>
          <cell r="H189">
            <v>11</v>
          </cell>
          <cell r="I189">
            <v>0</v>
          </cell>
          <cell r="J189">
            <v>12.899999999999999</v>
          </cell>
          <cell r="K189">
            <v>0</v>
          </cell>
          <cell r="L189">
            <v>2.60876254305624</v>
          </cell>
          <cell r="M189">
            <v>3.0593669823114085</v>
          </cell>
        </row>
        <row r="190">
          <cell r="A190" t="str">
            <v>FLV068</v>
          </cell>
          <cell r="B190" t="str">
            <v>Robertet Peach Flavor NV-10640</v>
          </cell>
          <cell r="E190" t="str">
            <v>Flavor</v>
          </cell>
          <cell r="F190" t="str">
            <v>LB</v>
          </cell>
          <cell r="G190">
            <v>0</v>
          </cell>
          <cell r="H190">
            <v>67.5</v>
          </cell>
          <cell r="I190">
            <v>0</v>
          </cell>
          <cell r="J190">
            <v>12.899999999999999</v>
          </cell>
          <cell r="K190">
            <v>0</v>
          </cell>
          <cell r="L190">
            <v>2.60876254305624</v>
          </cell>
          <cell r="M190">
            <v>0.49856350822852585</v>
          </cell>
        </row>
        <row r="191">
          <cell r="A191" t="str">
            <v>FLV069</v>
          </cell>
          <cell r="B191" t="str">
            <v>Treatt Lemon Aroma Plus Enhanced SA889256/7 [FLV069]</v>
          </cell>
          <cell r="E191" t="str">
            <v>Flavor</v>
          </cell>
          <cell r="F191" t="str">
            <v>LB</v>
          </cell>
          <cell r="G191">
            <v>0</v>
          </cell>
          <cell r="H191">
            <v>400</v>
          </cell>
          <cell r="I191">
            <v>0</v>
          </cell>
          <cell r="J191">
            <v>12.899999999999999</v>
          </cell>
          <cell r="K191">
            <v>0</v>
          </cell>
          <cell r="L191">
            <v>2.60876254305624</v>
          </cell>
          <cell r="M191">
            <v>8.413259201356374E-2</v>
          </cell>
        </row>
        <row r="192">
          <cell r="A192" t="str">
            <v>FLV076</v>
          </cell>
          <cell r="B192" t="str">
            <v>Flavormatic Peach 713-091 [FLV076]</v>
          </cell>
          <cell r="E192" t="str">
            <v>Flavor</v>
          </cell>
          <cell r="F192" t="str">
            <v>LB</v>
          </cell>
          <cell r="G192">
            <v>51.3</v>
          </cell>
          <cell r="H192">
            <v>34</v>
          </cell>
          <cell r="I192">
            <v>1.5088235294117647</v>
          </cell>
          <cell r="J192">
            <v>12.899999999999999</v>
          </cell>
          <cell r="K192">
            <v>19.463823529411762</v>
          </cell>
          <cell r="L192">
            <v>2.60876254305624</v>
          </cell>
          <cell r="M192">
            <v>0.98979520015957334</v>
          </cell>
        </row>
        <row r="193">
          <cell r="A193" t="str">
            <v>FLV077</v>
          </cell>
          <cell r="B193" t="str">
            <v>Robertet Mango NV 71,484 [FLV077]</v>
          </cell>
          <cell r="E193" t="str">
            <v>Flavor</v>
          </cell>
          <cell r="F193" t="str">
            <v>LB</v>
          </cell>
          <cell r="G193">
            <v>124.5</v>
          </cell>
          <cell r="H193">
            <v>34</v>
          </cell>
          <cell r="I193">
            <v>3.6617647058823528</v>
          </cell>
          <cell r="J193">
            <v>12.899999999999999</v>
          </cell>
          <cell r="K193">
            <v>47.236764705882344</v>
          </cell>
          <cell r="L193">
            <v>2.60876254305624</v>
          </cell>
          <cell r="M193">
            <v>0.98979520015957334</v>
          </cell>
        </row>
        <row r="194">
          <cell r="A194" t="str">
            <v>FLV080</v>
          </cell>
          <cell r="B194" t="str">
            <v>Flavorchem Vanilla 93.7309 [FLV080]</v>
          </cell>
          <cell r="E194" t="str">
            <v>Flavor</v>
          </cell>
          <cell r="F194" t="str">
            <v>LB</v>
          </cell>
          <cell r="G194">
            <v>484.26</v>
          </cell>
          <cell r="H194">
            <v>32</v>
          </cell>
          <cell r="I194">
            <v>15.133125</v>
          </cell>
          <cell r="J194">
            <v>12.899999999999999</v>
          </cell>
          <cell r="K194">
            <v>195.21731249999996</v>
          </cell>
          <cell r="L194">
            <v>2.60876254305624</v>
          </cell>
          <cell r="M194">
            <v>1.0516574001695467</v>
          </cell>
        </row>
        <row r="195">
          <cell r="A195" t="str">
            <v>FLV089</v>
          </cell>
          <cell r="B195" t="str">
            <v>Mango (Bell) 85.20948 (no PG) Panera [FLV089]</v>
          </cell>
          <cell r="E195" t="str">
            <v>Flavor</v>
          </cell>
          <cell r="F195" t="str">
            <v>LB</v>
          </cell>
          <cell r="G195">
            <v>208</v>
          </cell>
          <cell r="H195">
            <v>25</v>
          </cell>
          <cell r="I195">
            <v>8.32</v>
          </cell>
          <cell r="J195">
            <v>12.899999999999999</v>
          </cell>
          <cell r="K195">
            <v>107.32799999999999</v>
          </cell>
          <cell r="L195">
            <v>2.60876254305624</v>
          </cell>
          <cell r="M195">
            <v>1.3461214722170198</v>
          </cell>
        </row>
        <row r="196">
          <cell r="A196" t="str">
            <v>FLV090</v>
          </cell>
          <cell r="B196" t="str">
            <v>Strw (IFF) SC559193 (No PG) Panera [FLV090]</v>
          </cell>
          <cell r="E196" t="str">
            <v>Flavor</v>
          </cell>
          <cell r="F196" t="str">
            <v>LB</v>
          </cell>
          <cell r="G196">
            <v>3737.79</v>
          </cell>
          <cell r="H196">
            <v>840</v>
          </cell>
          <cell r="I196">
            <v>4.4497499999999999</v>
          </cell>
          <cell r="J196">
            <v>12.899999999999999</v>
          </cell>
          <cell r="K196">
            <v>57.401774999999994</v>
          </cell>
          <cell r="L196">
            <v>2.60876254305624</v>
          </cell>
          <cell r="M196">
            <v>4.0063139054077969E-2</v>
          </cell>
        </row>
        <row r="197">
          <cell r="A197" t="str">
            <v>FLV110</v>
          </cell>
          <cell r="B197" t="str">
            <v>IFF Mango Flv SC645445 [FLV110]</v>
          </cell>
          <cell r="E197" t="str">
            <v>Flavor</v>
          </cell>
          <cell r="F197" t="str">
            <v>LB</v>
          </cell>
          <cell r="G197">
            <v>0</v>
          </cell>
          <cell r="H197">
            <v>400</v>
          </cell>
          <cell r="I197">
            <v>0</v>
          </cell>
          <cell r="J197">
            <v>12.899999999999999</v>
          </cell>
          <cell r="K197">
            <v>0</v>
          </cell>
          <cell r="L197">
            <v>2.60876254305624</v>
          </cell>
          <cell r="M197">
            <v>8.413259201356374E-2</v>
          </cell>
        </row>
        <row r="198">
          <cell r="A198" t="str">
            <v>FLV113</v>
          </cell>
          <cell r="B198" t="str">
            <v>Robertet NV-74531 Prickly Pear Flv No PG [FLV113]</v>
          </cell>
          <cell r="E198" t="str">
            <v>Flavor</v>
          </cell>
          <cell r="F198" t="str">
            <v>LB</v>
          </cell>
          <cell r="G198">
            <v>0</v>
          </cell>
          <cell r="H198">
            <v>37</v>
          </cell>
          <cell r="I198">
            <v>0</v>
          </cell>
          <cell r="J198">
            <v>12.899999999999999</v>
          </cell>
          <cell r="K198">
            <v>0</v>
          </cell>
          <cell r="L198">
            <v>2.60876254305624</v>
          </cell>
          <cell r="M198">
            <v>0.90954153528177006</v>
          </cell>
        </row>
        <row r="199">
          <cell r="A199" t="str">
            <v>FLV114</v>
          </cell>
          <cell r="B199" t="str">
            <v>IFF Lime Flavor SC687044 [FLV114]</v>
          </cell>
          <cell r="E199" t="str">
            <v>Flavor</v>
          </cell>
          <cell r="F199" t="str">
            <v>LB</v>
          </cell>
          <cell r="G199">
            <v>0</v>
          </cell>
          <cell r="H199">
            <v>40</v>
          </cell>
          <cell r="I199">
            <v>0</v>
          </cell>
          <cell r="J199">
            <v>12.899999999999999</v>
          </cell>
          <cell r="K199">
            <v>0</v>
          </cell>
          <cell r="L199">
            <v>2.60876254305624</v>
          </cell>
          <cell r="M199">
            <v>0.84132592013563734</v>
          </cell>
        </row>
        <row r="200">
          <cell r="A200" t="str">
            <v>FLV119</v>
          </cell>
          <cell r="B200" t="str">
            <v>IFF Blueberry Flv SC661637</v>
          </cell>
          <cell r="E200" t="str">
            <v>Flavor</v>
          </cell>
          <cell r="F200" t="str">
            <v>LB</v>
          </cell>
          <cell r="G200">
            <v>0</v>
          </cell>
          <cell r="H200">
            <v>40</v>
          </cell>
          <cell r="I200">
            <v>0</v>
          </cell>
          <cell r="J200">
            <v>12.899999999999999</v>
          </cell>
          <cell r="K200">
            <v>0</v>
          </cell>
          <cell r="L200">
            <v>2.60876254305624</v>
          </cell>
          <cell r="M200">
            <v>0.84132592013563734</v>
          </cell>
        </row>
        <row r="201">
          <cell r="A201" t="str">
            <v>FLV136</v>
          </cell>
          <cell r="B201" t="str">
            <v>Treatt Lavender Treattarome 9792</v>
          </cell>
          <cell r="E201" t="str">
            <v>Flavor</v>
          </cell>
          <cell r="F201" t="str">
            <v>LB</v>
          </cell>
          <cell r="G201">
            <v>0</v>
          </cell>
          <cell r="H201">
            <v>40</v>
          </cell>
          <cell r="I201">
            <v>0</v>
          </cell>
          <cell r="J201">
            <v>12.899999999999999</v>
          </cell>
          <cell r="K201">
            <v>0</v>
          </cell>
          <cell r="L201">
            <v>2.60876254305624</v>
          </cell>
          <cell r="M201">
            <v>0.84132592013563734</v>
          </cell>
        </row>
        <row r="202">
          <cell r="A202" t="str">
            <v>FLV140</v>
          </cell>
          <cell r="B202" t="str">
            <v>Fair Trade Chamomile Extract #7200-FT</v>
          </cell>
          <cell r="E202" t="str">
            <v>Flavor</v>
          </cell>
          <cell r="F202" t="str">
            <v>LB</v>
          </cell>
          <cell r="G202">
            <v>0</v>
          </cell>
          <cell r="H202">
            <v>40</v>
          </cell>
          <cell r="I202">
            <v>0</v>
          </cell>
          <cell r="J202">
            <v>12.899999999999999</v>
          </cell>
          <cell r="K202">
            <v>0</v>
          </cell>
          <cell r="L202">
            <v>2.60876254305624</v>
          </cell>
          <cell r="M202">
            <v>0.84132592013563734</v>
          </cell>
        </row>
        <row r="203">
          <cell r="A203" t="str">
            <v>FLV143</v>
          </cell>
          <cell r="B203" t="str">
            <v>Black Tea Extract 175 Fold #MT1175FORG-1</v>
          </cell>
          <cell r="E203" t="str">
            <v>Flavor</v>
          </cell>
          <cell r="F203" t="str">
            <v>LB</v>
          </cell>
          <cell r="G203">
            <v>0</v>
          </cell>
          <cell r="H203">
            <v>40</v>
          </cell>
          <cell r="I203">
            <v>0</v>
          </cell>
          <cell r="J203">
            <v>12.899999999999999</v>
          </cell>
          <cell r="K203">
            <v>0</v>
          </cell>
          <cell r="L203">
            <v>2.60876254305624</v>
          </cell>
          <cell r="M203">
            <v>0.84132592013563734</v>
          </cell>
        </row>
        <row r="204">
          <cell r="A204" t="str">
            <v>FLV144</v>
          </cell>
          <cell r="B204" t="str">
            <v>Black Tea Extract 175 Fold #MT1175FORG-2</v>
          </cell>
          <cell r="E204" t="str">
            <v>Flavor</v>
          </cell>
          <cell r="F204" t="str">
            <v>LB</v>
          </cell>
          <cell r="G204">
            <v>0</v>
          </cell>
          <cell r="H204">
            <v>40</v>
          </cell>
          <cell r="I204">
            <v>0</v>
          </cell>
          <cell r="J204">
            <v>12.899999999999999</v>
          </cell>
          <cell r="K204">
            <v>0</v>
          </cell>
          <cell r="L204">
            <v>2.60876254305624</v>
          </cell>
          <cell r="M204">
            <v>0.84132592013563734</v>
          </cell>
        </row>
        <row r="205">
          <cell r="A205" t="str">
            <v>FLV147</v>
          </cell>
          <cell r="B205" t="str">
            <v>FTNF Lemon Oil Juicy</v>
          </cell>
          <cell r="E205" t="str">
            <v>Flavor</v>
          </cell>
          <cell r="F205" t="str">
            <v>LB</v>
          </cell>
          <cell r="G205">
            <v>33</v>
          </cell>
          <cell r="H205">
            <v>33</v>
          </cell>
          <cell r="I205">
            <v>1</v>
          </cell>
          <cell r="J205">
            <v>12.899999999999999</v>
          </cell>
          <cell r="K205">
            <v>12.899999999999999</v>
          </cell>
          <cell r="L205">
            <v>2.60876254305624</v>
          </cell>
          <cell r="M205">
            <v>1.0197889941038027</v>
          </cell>
        </row>
        <row r="206">
          <cell r="A206" t="str">
            <v>FLV156</v>
          </cell>
          <cell r="B206" t="str">
            <v>Premium Lemonade Flavor Base 1:50 (0322F-50)</v>
          </cell>
          <cell r="E206" t="str">
            <v>Flavor</v>
          </cell>
          <cell r="F206" t="str">
            <v>LB</v>
          </cell>
          <cell r="G206">
            <v>82911.5</v>
          </cell>
          <cell r="H206">
            <v>1906</v>
          </cell>
          <cell r="I206">
            <v>43.500262329485835</v>
          </cell>
          <cell r="J206">
            <v>12.899999999999999</v>
          </cell>
          <cell r="K206">
            <v>561.15338405036721</v>
          </cell>
          <cell r="L206">
            <v>2.60876254305624</v>
          </cell>
          <cell r="M206">
            <v>1.7656367683853879E-2</v>
          </cell>
        </row>
        <row r="207">
          <cell r="A207" t="str">
            <v>FLV157</v>
          </cell>
          <cell r="B207" t="str">
            <v>Natural Lemon Extract (515804T)</v>
          </cell>
          <cell r="E207" t="str">
            <v>Flavor</v>
          </cell>
          <cell r="F207" t="str">
            <v>LB</v>
          </cell>
          <cell r="G207">
            <v>100</v>
          </cell>
          <cell r="H207">
            <v>100</v>
          </cell>
          <cell r="I207">
            <v>1</v>
          </cell>
          <cell r="J207">
            <v>12.899999999999999</v>
          </cell>
          <cell r="K207">
            <v>12.899999999999999</v>
          </cell>
          <cell r="L207">
            <v>2.60876254305624</v>
          </cell>
          <cell r="M207">
            <v>0.33653036805425496</v>
          </cell>
        </row>
        <row r="208">
          <cell r="A208" t="str">
            <v>J2712</v>
          </cell>
          <cell r="B208" t="str">
            <v>Peach Mango Base</v>
          </cell>
          <cell r="E208" t="str">
            <v>Other Juice Drum</v>
          </cell>
          <cell r="F208" t="str">
            <v>GL</v>
          </cell>
          <cell r="G208">
            <v>0</v>
          </cell>
          <cell r="H208">
            <v>180</v>
          </cell>
          <cell r="I208">
            <v>0</v>
          </cell>
          <cell r="J208">
            <v>26</v>
          </cell>
          <cell r="K208">
            <v>0</v>
          </cell>
          <cell r="L208">
            <v>2.60876254305624</v>
          </cell>
          <cell r="M208">
            <v>0.37682125621923468</v>
          </cell>
        </row>
        <row r="209">
          <cell r="A209" t="str">
            <v>J2752</v>
          </cell>
          <cell r="B209" t="str">
            <v>Panera Mango Base W\Vitamins NSA</v>
          </cell>
          <cell r="E209" t="str">
            <v>Other Juice Drum</v>
          </cell>
          <cell r="F209" t="str">
            <v>GL</v>
          </cell>
          <cell r="G209">
            <v>0</v>
          </cell>
          <cell r="H209">
            <v>180</v>
          </cell>
          <cell r="I209">
            <v>0</v>
          </cell>
          <cell r="J209">
            <v>26</v>
          </cell>
          <cell r="K209">
            <v>0</v>
          </cell>
          <cell r="L209">
            <v>2.60876254305624</v>
          </cell>
          <cell r="M209">
            <v>0.37682125621923468</v>
          </cell>
        </row>
        <row r="210">
          <cell r="A210" t="str">
            <v>J3401</v>
          </cell>
          <cell r="B210" t="str">
            <v>Apple Juice Internal Drum</v>
          </cell>
          <cell r="E210" t="str">
            <v>Other Juice Drum</v>
          </cell>
          <cell r="F210" t="str">
            <v>GL</v>
          </cell>
          <cell r="G210">
            <v>4880</v>
          </cell>
          <cell r="H210">
            <v>175.5</v>
          </cell>
          <cell r="I210">
            <v>27.806267806267805</v>
          </cell>
          <cell r="J210">
            <v>26</v>
          </cell>
          <cell r="K210">
            <v>722.96296296296293</v>
          </cell>
          <cell r="L210">
            <v>2.60876254305624</v>
          </cell>
          <cell r="M210">
            <v>0.38648333971203558</v>
          </cell>
        </row>
        <row r="211">
          <cell r="A211" t="str">
            <v>J4001</v>
          </cell>
          <cell r="B211" t="str">
            <v>Lemon Juice</v>
          </cell>
          <cell r="E211" t="str">
            <v>Lemon Drum</v>
          </cell>
          <cell r="F211" t="str">
            <v>GL</v>
          </cell>
          <cell r="G211">
            <v>1845</v>
          </cell>
          <cell r="H211">
            <v>180</v>
          </cell>
          <cell r="I211">
            <v>10.25</v>
          </cell>
          <cell r="J211">
            <v>7</v>
          </cell>
          <cell r="K211">
            <v>71.75</v>
          </cell>
          <cell r="L211">
            <v>2.60876254305624</v>
          </cell>
          <cell r="M211">
            <v>0.10145187667440933</v>
          </cell>
        </row>
        <row r="212">
          <cell r="A212" t="str">
            <v>J4003</v>
          </cell>
          <cell r="B212" t="str">
            <v>Lemon Juice-Spanish Aseptic Bins in gals</v>
          </cell>
          <cell r="E212" t="str">
            <v>Lemon Drum</v>
          </cell>
          <cell r="F212" t="str">
            <v>DR</v>
          </cell>
          <cell r="G212">
            <v>0</v>
          </cell>
          <cell r="H212">
            <v>191.4566037735849</v>
          </cell>
          <cell r="I212">
            <v>0</v>
          </cell>
          <cell r="J212">
            <v>7</v>
          </cell>
          <cell r="K212">
            <v>0</v>
          </cell>
          <cell r="L212">
            <v>2.60876254305624</v>
          </cell>
          <cell r="M212">
            <v>9.5381080837459109E-2</v>
          </cell>
        </row>
        <row r="213">
          <cell r="A213" t="str">
            <v>J4006</v>
          </cell>
          <cell r="B213" t="str">
            <v>Lemon Juice - High titrable acid &gt;4.8</v>
          </cell>
          <cell r="E213" t="str">
            <v>Lemon Drum</v>
          </cell>
          <cell r="F213" t="str">
            <v>DR</v>
          </cell>
          <cell r="G213">
            <v>0</v>
          </cell>
          <cell r="H213">
            <v>191.4566037735849</v>
          </cell>
          <cell r="I213">
            <v>0</v>
          </cell>
          <cell r="J213">
            <v>7</v>
          </cell>
          <cell r="K213">
            <v>0</v>
          </cell>
          <cell r="L213">
            <v>2.60876254305624</v>
          </cell>
          <cell r="M213">
            <v>9.5381080837459109E-2</v>
          </cell>
        </row>
        <row r="214">
          <cell r="A214" t="str">
            <v>J4040</v>
          </cell>
          <cell r="B214" t="str">
            <v>Lemon Juice</v>
          </cell>
          <cell r="E214" t="str">
            <v>Lemon Drum</v>
          </cell>
          <cell r="F214" t="str">
            <v>DR</v>
          </cell>
          <cell r="G214">
            <v>1406981</v>
          </cell>
          <cell r="H214">
            <v>191.4566037735849</v>
          </cell>
          <cell r="I214">
            <v>7348.8246018606123</v>
          </cell>
          <cell r="J214">
            <v>7</v>
          </cell>
          <cell r="K214">
            <v>51441.772213024284</v>
          </cell>
          <cell r="L214">
            <v>2.60876254305624</v>
          </cell>
          <cell r="M214">
            <v>9.5381080837459109E-2</v>
          </cell>
        </row>
        <row r="215">
          <cell r="A215" t="str">
            <v>J4042</v>
          </cell>
          <cell r="B215" t="str">
            <v>Lemon Juice in drums</v>
          </cell>
          <cell r="E215" t="str">
            <v>Lemon Drum</v>
          </cell>
          <cell r="F215" t="str">
            <v>DR</v>
          </cell>
          <cell r="G215">
            <v>0</v>
          </cell>
          <cell r="H215">
            <v>191.4566037735849</v>
          </cell>
          <cell r="I215">
            <v>0</v>
          </cell>
          <cell r="J215">
            <v>7</v>
          </cell>
          <cell r="K215">
            <v>0</v>
          </cell>
          <cell r="L215">
            <v>2.60876254305624</v>
          </cell>
          <cell r="M215">
            <v>9.5381080837459109E-2</v>
          </cell>
        </row>
        <row r="216">
          <cell r="A216" t="str">
            <v>J4045</v>
          </cell>
          <cell r="B216" t="str">
            <v>Lemon Juice Drum [J4045]</v>
          </cell>
          <cell r="E216" t="str">
            <v>Lemon Drum</v>
          </cell>
          <cell r="F216" t="str">
            <v>DR</v>
          </cell>
          <cell r="G216">
            <v>0</v>
          </cell>
          <cell r="H216">
            <v>4</v>
          </cell>
          <cell r="I216">
            <v>0</v>
          </cell>
          <cell r="J216">
            <v>7</v>
          </cell>
          <cell r="K216">
            <v>0</v>
          </cell>
          <cell r="L216">
            <v>2.60876254305624</v>
          </cell>
          <cell r="M216">
            <v>4.5653344503484199</v>
          </cell>
        </row>
        <row r="217">
          <cell r="A217" t="str">
            <v>J4045P</v>
          </cell>
          <cell r="B217" t="str">
            <v>Lemon Juice Plastic Drum [J4045P]</v>
          </cell>
          <cell r="E217" t="str">
            <v>Lemon Drum</v>
          </cell>
          <cell r="F217" t="str">
            <v>DR</v>
          </cell>
          <cell r="G217">
            <v>0</v>
          </cell>
          <cell r="H217">
            <v>3.8765432098765431</v>
          </cell>
          <cell r="I217">
            <v>0</v>
          </cell>
          <cell r="J217">
            <v>7</v>
          </cell>
          <cell r="K217">
            <v>0</v>
          </cell>
          <cell r="L217">
            <v>2.60876254305624</v>
          </cell>
          <cell r="M217">
            <v>4.7107272672384974</v>
          </cell>
        </row>
        <row r="218">
          <cell r="A218" t="str">
            <v>J4046</v>
          </cell>
          <cell r="B218" t="str">
            <v>Lemon Juice Extraction Drum in Gallons</v>
          </cell>
          <cell r="E218" t="str">
            <v>Lemon Drum</v>
          </cell>
          <cell r="F218" t="str">
            <v>DR</v>
          </cell>
          <cell r="G218">
            <v>83695</v>
          </cell>
          <cell r="H218">
            <v>180</v>
          </cell>
          <cell r="I218">
            <v>464.97222222222223</v>
          </cell>
          <cell r="J218">
            <v>7</v>
          </cell>
          <cell r="K218">
            <v>3254.8055555555557</v>
          </cell>
          <cell r="L218">
            <v>2.60876254305624</v>
          </cell>
          <cell r="M218">
            <v>0.10145187667440933</v>
          </cell>
        </row>
        <row r="219">
          <cell r="A219" t="str">
            <v>J4047</v>
          </cell>
          <cell r="B219" t="str">
            <v>Lemon Juice Mexican Drum in Gallons</v>
          </cell>
          <cell r="E219" t="str">
            <v>Lemon Drum</v>
          </cell>
          <cell r="F219" t="str">
            <v>GL</v>
          </cell>
          <cell r="G219">
            <v>0</v>
          </cell>
          <cell r="H219">
            <v>192</v>
          </cell>
          <cell r="I219">
            <v>0</v>
          </cell>
          <cell r="J219">
            <v>7</v>
          </cell>
          <cell r="K219">
            <v>0</v>
          </cell>
          <cell r="L219">
            <v>2.60876254305624</v>
          </cell>
          <cell r="M219">
            <v>9.5111134382258752E-2</v>
          </cell>
        </row>
        <row r="220">
          <cell r="A220" t="str">
            <v>J4100</v>
          </cell>
          <cell r="B220" t="str">
            <v>Meyer Lemon Internal Drums</v>
          </cell>
          <cell r="E220" t="str">
            <v>Meyer Drum</v>
          </cell>
          <cell r="F220" t="str">
            <v>DR</v>
          </cell>
          <cell r="G220">
            <v>35465</v>
          </cell>
          <cell r="H220">
            <v>180</v>
          </cell>
          <cell r="I220">
            <v>197.02777777777777</v>
          </cell>
          <cell r="J220">
            <v>33</v>
          </cell>
          <cell r="K220">
            <v>6501.9166666666661</v>
          </cell>
          <cell r="L220">
            <v>2.60876254305624</v>
          </cell>
          <cell r="M220">
            <v>0.47827313289364404</v>
          </cell>
        </row>
        <row r="221">
          <cell r="A221" t="str">
            <v>J4101</v>
          </cell>
          <cell r="B221" t="str">
            <v>Meyer Lemon Juice</v>
          </cell>
          <cell r="E221" t="str">
            <v>Meyer Drum</v>
          </cell>
          <cell r="F221" t="str">
            <v>DR</v>
          </cell>
          <cell r="G221">
            <v>0</v>
          </cell>
          <cell r="H221">
            <v>180</v>
          </cell>
          <cell r="I221">
            <v>0</v>
          </cell>
          <cell r="J221">
            <v>33</v>
          </cell>
          <cell r="K221">
            <v>0</v>
          </cell>
          <cell r="L221">
            <v>2.60876254305624</v>
          </cell>
          <cell r="M221">
            <v>0.47827313289364404</v>
          </cell>
        </row>
        <row r="222">
          <cell r="A222" t="str">
            <v>J4102</v>
          </cell>
          <cell r="B222" t="str">
            <v>Meyer Lemon Juice Blend</v>
          </cell>
          <cell r="E222" t="str">
            <v>Meyer Drum</v>
          </cell>
          <cell r="F222" t="str">
            <v>GL</v>
          </cell>
          <cell r="G222">
            <v>0</v>
          </cell>
          <cell r="H222">
            <v>180</v>
          </cell>
          <cell r="I222">
            <v>0</v>
          </cell>
          <cell r="J222">
            <v>33</v>
          </cell>
          <cell r="K222">
            <v>0</v>
          </cell>
          <cell r="L222">
            <v>2.60876254305624</v>
          </cell>
          <cell r="M222">
            <v>0.47827313289364404</v>
          </cell>
        </row>
        <row r="223">
          <cell r="A223" t="str">
            <v>J4105</v>
          </cell>
          <cell r="B223" t="str">
            <v>Meyer Lemon Juice Internal WIP</v>
          </cell>
          <cell r="E223" t="str">
            <v>Meyer Drum</v>
          </cell>
          <cell r="F223" t="str">
            <v>GL</v>
          </cell>
          <cell r="G223">
            <v>5135</v>
          </cell>
          <cell r="H223">
            <v>180</v>
          </cell>
          <cell r="I223">
            <v>28.527777777777779</v>
          </cell>
          <cell r="J223">
            <v>33</v>
          </cell>
          <cell r="K223">
            <v>941.41666666666674</v>
          </cell>
          <cell r="L223">
            <v>2.60876254305624</v>
          </cell>
          <cell r="M223">
            <v>0.47827313289364404</v>
          </cell>
        </row>
        <row r="224">
          <cell r="A224" t="str">
            <v>J4517</v>
          </cell>
          <cell r="B224" t="str">
            <v>Sweetened Lemon Juice</v>
          </cell>
          <cell r="E224" t="str">
            <v>Lemon Drum</v>
          </cell>
          <cell r="F224" t="str">
            <v>GL</v>
          </cell>
          <cell r="G224">
            <v>0</v>
          </cell>
          <cell r="H224">
            <v>180</v>
          </cell>
          <cell r="I224">
            <v>0</v>
          </cell>
          <cell r="J224">
            <v>7</v>
          </cell>
          <cell r="K224">
            <v>0</v>
          </cell>
          <cell r="L224">
            <v>2.60876254305624</v>
          </cell>
          <cell r="M224">
            <v>0.10145187667440933</v>
          </cell>
        </row>
        <row r="225">
          <cell r="A225" t="str">
            <v>J4955</v>
          </cell>
          <cell r="B225" t="str">
            <v>High-Acid Lemon Juice Blend</v>
          </cell>
          <cell r="E225" t="str">
            <v>Lemon Drum</v>
          </cell>
          <cell r="F225" t="str">
            <v>GL</v>
          </cell>
          <cell r="G225">
            <v>1415</v>
          </cell>
          <cell r="H225">
            <v>180</v>
          </cell>
          <cell r="I225">
            <v>7.8611111111111107</v>
          </cell>
          <cell r="J225">
            <v>7</v>
          </cell>
          <cell r="K225">
            <v>55.027777777777771</v>
          </cell>
          <cell r="L225">
            <v>2.60876254305624</v>
          </cell>
          <cell r="M225">
            <v>0.10145187667440933</v>
          </cell>
        </row>
        <row r="226">
          <cell r="A226" t="str">
            <v>J5000</v>
          </cell>
          <cell r="B226" t="str">
            <v>Marg Mix Reg</v>
          </cell>
          <cell r="E226" t="str">
            <v>Other Juice Drum</v>
          </cell>
          <cell r="F226" t="str">
            <v>GL</v>
          </cell>
          <cell r="G226">
            <v>540</v>
          </cell>
          <cell r="H226">
            <v>180</v>
          </cell>
          <cell r="I226">
            <v>3</v>
          </cell>
          <cell r="J226">
            <v>26</v>
          </cell>
          <cell r="K226">
            <v>78</v>
          </cell>
          <cell r="L226">
            <v>2.60876254305624</v>
          </cell>
          <cell r="M226">
            <v>0.37682125621923468</v>
          </cell>
        </row>
        <row r="227">
          <cell r="A227" t="str">
            <v>J5005</v>
          </cell>
          <cell r="B227" t="str">
            <v>Marg Mix 3+1</v>
          </cell>
          <cell r="E227" t="str">
            <v>Other Juice Drum</v>
          </cell>
          <cell r="F227" t="str">
            <v>GL</v>
          </cell>
          <cell r="G227">
            <v>0</v>
          </cell>
          <cell r="H227">
            <v>180</v>
          </cell>
          <cell r="I227">
            <v>0</v>
          </cell>
          <cell r="J227">
            <v>26</v>
          </cell>
          <cell r="K227">
            <v>0</v>
          </cell>
          <cell r="L227">
            <v>2.60876254305624</v>
          </cell>
          <cell r="M227">
            <v>0.37682125621923468</v>
          </cell>
        </row>
        <row r="228">
          <cell r="A228" t="str">
            <v>J5014</v>
          </cell>
          <cell r="B228" t="str">
            <v>Rykoff Sexton Marg Mix</v>
          </cell>
          <cell r="E228" t="str">
            <v>Other Juice Drum</v>
          </cell>
          <cell r="F228" t="str">
            <v>GL</v>
          </cell>
          <cell r="G228">
            <v>10260</v>
          </cell>
          <cell r="H228">
            <v>180</v>
          </cell>
          <cell r="I228">
            <v>57</v>
          </cell>
          <cell r="J228">
            <v>26</v>
          </cell>
          <cell r="K228">
            <v>1482</v>
          </cell>
          <cell r="L228">
            <v>2.60876254305624</v>
          </cell>
          <cell r="M228">
            <v>0.37682125621923468</v>
          </cell>
        </row>
        <row r="229">
          <cell r="A229" t="str">
            <v>J5170</v>
          </cell>
          <cell r="B229" t="str">
            <v>Natural Brands 3+1 Lemonade Base &amp; Sour Mix</v>
          </cell>
          <cell r="E229" t="str">
            <v>Other Juice Drum</v>
          </cell>
          <cell r="F229" t="str">
            <v>GL</v>
          </cell>
          <cell r="G229">
            <v>2330</v>
          </cell>
          <cell r="H229">
            <v>180</v>
          </cell>
          <cell r="I229">
            <v>12.944444444444445</v>
          </cell>
          <cell r="J229">
            <v>26</v>
          </cell>
          <cell r="K229">
            <v>336.55555555555554</v>
          </cell>
          <cell r="L229">
            <v>2.60876254305624</v>
          </cell>
          <cell r="M229">
            <v>0.37682125621923468</v>
          </cell>
        </row>
        <row r="230">
          <cell r="A230" t="str">
            <v>J5204</v>
          </cell>
          <cell r="B230" t="str">
            <v>Sweet &amp; Sour Mix 3+1</v>
          </cell>
          <cell r="E230" t="str">
            <v>Other Juice Drum</v>
          </cell>
          <cell r="F230" t="str">
            <v>GL</v>
          </cell>
          <cell r="G230">
            <v>0</v>
          </cell>
          <cell r="H230">
            <v>180</v>
          </cell>
          <cell r="I230">
            <v>0</v>
          </cell>
          <cell r="J230">
            <v>26</v>
          </cell>
          <cell r="K230">
            <v>0</v>
          </cell>
          <cell r="L230">
            <v>2.60876254305624</v>
          </cell>
          <cell r="M230">
            <v>0.37682125621923468</v>
          </cell>
        </row>
        <row r="231">
          <cell r="A231" t="str">
            <v>J5806</v>
          </cell>
          <cell r="B231" t="str">
            <v>Lime Lemon Juice [J5806]</v>
          </cell>
          <cell r="E231" t="str">
            <v>Other Juice Drum</v>
          </cell>
          <cell r="F231" t="str">
            <v>GL</v>
          </cell>
          <cell r="G231">
            <v>0</v>
          </cell>
          <cell r="H231">
            <v>180</v>
          </cell>
          <cell r="I231">
            <v>0</v>
          </cell>
          <cell r="J231">
            <v>26</v>
          </cell>
          <cell r="K231">
            <v>0</v>
          </cell>
          <cell r="L231">
            <v>2.60876254305624</v>
          </cell>
          <cell r="M231">
            <v>0.37682125621923468</v>
          </cell>
        </row>
        <row r="232">
          <cell r="A232" t="str">
            <v>J6001</v>
          </cell>
          <cell r="B232" t="str">
            <v>Lime Juice</v>
          </cell>
          <cell r="E232" t="str">
            <v>Lime Drum</v>
          </cell>
          <cell r="F232" t="str">
            <v>GL</v>
          </cell>
          <cell r="G232">
            <v>340</v>
          </cell>
          <cell r="H232">
            <v>180</v>
          </cell>
          <cell r="I232">
            <v>1.8888888888888888</v>
          </cell>
          <cell r="J232">
            <v>9</v>
          </cell>
          <cell r="K232">
            <v>17</v>
          </cell>
          <cell r="L232">
            <v>2.60876254305624</v>
          </cell>
          <cell r="M232">
            <v>0.130438127152812</v>
          </cell>
        </row>
        <row r="233">
          <cell r="A233" t="str">
            <v>J6003</v>
          </cell>
          <cell r="B233" t="str">
            <v>Lime Juice Tote in Gallons</v>
          </cell>
          <cell r="E233" t="str">
            <v>Lime Tote</v>
          </cell>
          <cell r="F233" t="str">
            <v>GL</v>
          </cell>
          <cell r="G233">
            <v>73097</v>
          </cell>
          <cell r="H233">
            <v>382.19396103896105</v>
          </cell>
          <cell r="I233">
            <v>191.25629248900785</v>
          </cell>
          <cell r="J233">
            <v>8</v>
          </cell>
          <cell r="K233">
            <v>1530.0503399120628</v>
          </cell>
          <cell r="L233">
            <v>2.60876254305624</v>
          </cell>
          <cell r="M233">
            <v>5.4606044239203483E-2</v>
          </cell>
        </row>
        <row r="234">
          <cell r="A234" t="str">
            <v>J6006</v>
          </cell>
          <cell r="B234" t="str">
            <v>Lime Juice Internal Drum</v>
          </cell>
          <cell r="E234" t="str">
            <v>Lime Drum</v>
          </cell>
          <cell r="F234" t="str">
            <v>GL</v>
          </cell>
          <cell r="G234">
            <v>34565</v>
          </cell>
          <cell r="H234">
            <v>177.95454545454547</v>
          </cell>
          <cell r="I234">
            <v>194.23499361430393</v>
          </cell>
          <cell r="J234">
            <v>9</v>
          </cell>
          <cell r="K234">
            <v>1748.1149425287354</v>
          </cell>
          <cell r="L234">
            <v>2.60876254305624</v>
          </cell>
          <cell r="M234">
            <v>0.13193741597066042</v>
          </cell>
        </row>
        <row r="235">
          <cell r="A235" t="str">
            <v>J6040</v>
          </cell>
          <cell r="B235" t="str">
            <v>Lime Juice [J6040]</v>
          </cell>
          <cell r="E235" t="str">
            <v>Lime Drum</v>
          </cell>
          <cell r="F235" t="str">
            <v>GL</v>
          </cell>
          <cell r="G235">
            <v>2312257.4</v>
          </cell>
          <cell r="H235">
            <v>193.92056980056975</v>
          </cell>
          <cell r="I235">
            <v>11923.734559866203</v>
          </cell>
          <cell r="J235">
            <v>9</v>
          </cell>
          <cell r="K235">
            <v>107313.61103879583</v>
          </cell>
          <cell r="L235">
            <v>2.60876254305624</v>
          </cell>
          <cell r="M235">
            <v>0.12107463850612706</v>
          </cell>
        </row>
        <row r="236">
          <cell r="A236" t="str">
            <v>J6145</v>
          </cell>
          <cell r="B236" t="str">
            <v>Key Lime Juice Drum [J6145]</v>
          </cell>
          <cell r="E236" t="str">
            <v>Lime Drum</v>
          </cell>
          <cell r="F236" t="str">
            <v>DR</v>
          </cell>
          <cell r="G236">
            <v>0</v>
          </cell>
          <cell r="H236">
            <v>192</v>
          </cell>
          <cell r="I236">
            <v>0</v>
          </cell>
          <cell r="J236">
            <v>9</v>
          </cell>
          <cell r="K236">
            <v>0</v>
          </cell>
          <cell r="L236">
            <v>2.60876254305624</v>
          </cell>
          <cell r="M236">
            <v>0.12228574420576126</v>
          </cell>
        </row>
        <row r="237">
          <cell r="A237" t="str">
            <v>J6146</v>
          </cell>
          <cell r="B237" t="str">
            <v>Key Lime Juice Drum</v>
          </cell>
          <cell r="E237" t="str">
            <v>Lime Drum</v>
          </cell>
          <cell r="F237" t="str">
            <v>DR</v>
          </cell>
          <cell r="G237">
            <v>48240</v>
          </cell>
          <cell r="H237">
            <v>200</v>
          </cell>
          <cell r="I237">
            <v>241.2</v>
          </cell>
          <cell r="J237">
            <v>9</v>
          </cell>
          <cell r="K237">
            <v>2170.7999999999997</v>
          </cell>
          <cell r="L237">
            <v>2.60876254305624</v>
          </cell>
          <cell r="M237">
            <v>0.1173943144375308</v>
          </cell>
        </row>
        <row r="238">
          <cell r="A238" t="str">
            <v>J6585</v>
          </cell>
          <cell r="B238" t="str">
            <v>Limeade RTS Blend</v>
          </cell>
          <cell r="E238" t="str">
            <v>Other Juice Drum</v>
          </cell>
          <cell r="F238" t="str">
            <v>GL</v>
          </cell>
          <cell r="G238">
            <v>4230</v>
          </cell>
          <cell r="H238">
            <v>180</v>
          </cell>
          <cell r="I238">
            <v>23.5</v>
          </cell>
          <cell r="J238">
            <v>26</v>
          </cell>
          <cell r="K238">
            <v>611</v>
          </cell>
          <cell r="L238">
            <v>2.60876254305624</v>
          </cell>
          <cell r="M238">
            <v>0.37682125621923468</v>
          </cell>
        </row>
        <row r="239">
          <cell r="A239" t="str">
            <v>J6903</v>
          </cell>
          <cell r="B239" t="str">
            <v>Lime Juice Drum</v>
          </cell>
          <cell r="E239" t="str">
            <v>Lime Drum</v>
          </cell>
          <cell r="F239" t="str">
            <v>GL</v>
          </cell>
          <cell r="G239">
            <v>40995</v>
          </cell>
          <cell r="H239">
            <v>190</v>
          </cell>
          <cell r="I239">
            <v>215.76315789473685</v>
          </cell>
          <cell r="J239">
            <v>9</v>
          </cell>
          <cell r="K239">
            <v>1941.8684210526317</v>
          </cell>
          <cell r="L239">
            <v>2.60876254305624</v>
          </cell>
          <cell r="M239">
            <v>0.1235729625658219</v>
          </cell>
        </row>
        <row r="240">
          <cell r="A240" t="str">
            <v>J7010</v>
          </cell>
          <cell r="B240" t="str">
            <v>100% California Valencia Extraction</v>
          </cell>
          <cell r="E240" t="str">
            <v>OJ Drum</v>
          </cell>
          <cell r="F240" t="str">
            <v>DR</v>
          </cell>
          <cell r="G240">
            <v>1343</v>
          </cell>
          <cell r="H240">
            <v>167.72727272727272</v>
          </cell>
          <cell r="I240">
            <v>8.0070460704607047</v>
          </cell>
          <cell r="J240">
            <v>16</v>
          </cell>
          <cell r="K240">
            <v>128.11273712737128</v>
          </cell>
          <cell r="L240">
            <v>2.60876254305624</v>
          </cell>
          <cell r="M240">
            <v>0.24885756508287168</v>
          </cell>
        </row>
        <row r="241">
          <cell r="A241" t="str">
            <v>J7099</v>
          </cell>
          <cell r="B241" t="str">
            <v xml:space="preserve"> NFC Orange Mexican Top Note</v>
          </cell>
          <cell r="E241" t="str">
            <v>OJ Drum</v>
          </cell>
          <cell r="F241" t="str">
            <v>DR</v>
          </cell>
          <cell r="G241">
            <v>0</v>
          </cell>
          <cell r="H241">
            <v>167.72727272727272</v>
          </cell>
          <cell r="I241">
            <v>0</v>
          </cell>
          <cell r="J241">
            <v>16</v>
          </cell>
          <cell r="K241">
            <v>0</v>
          </cell>
          <cell r="L241">
            <v>2.60876254305624</v>
          </cell>
          <cell r="M241">
            <v>0.24885756508287168</v>
          </cell>
        </row>
        <row r="242">
          <cell r="A242" t="str">
            <v>J7300</v>
          </cell>
          <cell r="B242" t="str">
            <v>OJ Mixed Drum [J7300]</v>
          </cell>
          <cell r="E242" t="str">
            <v>OJ Drum</v>
          </cell>
          <cell r="F242" t="str">
            <v>DR</v>
          </cell>
          <cell r="G242">
            <v>0</v>
          </cell>
          <cell r="H242">
            <v>3.9836065573770494</v>
          </cell>
          <cell r="I242">
            <v>0</v>
          </cell>
          <cell r="J242">
            <v>16</v>
          </cell>
          <cell r="K242">
            <v>0</v>
          </cell>
          <cell r="L242">
            <v>2.60876254305624</v>
          </cell>
          <cell r="M242">
            <v>10.477992765526297</v>
          </cell>
        </row>
        <row r="243">
          <cell r="A243" t="str">
            <v>J7500</v>
          </cell>
          <cell r="B243" t="str">
            <v>OJ</v>
          </cell>
          <cell r="E243" t="str">
            <v>OJ Drum</v>
          </cell>
          <cell r="F243" t="str">
            <v>DR</v>
          </cell>
          <cell r="G243">
            <v>1125</v>
          </cell>
          <cell r="H243">
            <v>167.72727272727272</v>
          </cell>
          <cell r="I243">
            <v>6.7073170731707323</v>
          </cell>
          <cell r="J243">
            <v>16</v>
          </cell>
          <cell r="K243">
            <v>107.31707317073172</v>
          </cell>
          <cell r="L243">
            <v>2.60876254305624</v>
          </cell>
          <cell r="M243">
            <v>0.24885756508287168</v>
          </cell>
        </row>
        <row r="244">
          <cell r="A244" t="str">
            <v>J7510</v>
          </cell>
          <cell r="B244" t="str">
            <v>OJ Enhanced</v>
          </cell>
          <cell r="E244" t="str">
            <v>OJ Drum</v>
          </cell>
          <cell r="F244" t="str">
            <v>DR</v>
          </cell>
          <cell r="G244">
            <v>0</v>
          </cell>
          <cell r="H244">
            <v>167.72727272727272</v>
          </cell>
          <cell r="I244">
            <v>0</v>
          </cell>
          <cell r="J244">
            <v>16</v>
          </cell>
          <cell r="K244">
            <v>0</v>
          </cell>
          <cell r="L244">
            <v>2.60876254305624</v>
          </cell>
          <cell r="M244">
            <v>0.24885756508287168</v>
          </cell>
        </row>
        <row r="245">
          <cell r="A245" t="str">
            <v>J7512</v>
          </cell>
          <cell r="B245" t="str">
            <v>Debittered Navel OJ USA Internal Drum 45GL</v>
          </cell>
          <cell r="E245" t="str">
            <v>OJ Drum</v>
          </cell>
          <cell r="F245" t="str">
            <v>GL</v>
          </cell>
          <cell r="G245">
            <v>46255</v>
          </cell>
          <cell r="H245">
            <v>180</v>
          </cell>
          <cell r="I245">
            <v>256.97222222222223</v>
          </cell>
          <cell r="J245">
            <v>16</v>
          </cell>
          <cell r="K245">
            <v>4111.5555555555557</v>
          </cell>
          <cell r="L245">
            <v>2.60876254305624</v>
          </cell>
          <cell r="M245">
            <v>0.23189000382722133</v>
          </cell>
        </row>
        <row r="246">
          <cell r="A246" t="str">
            <v>J7540</v>
          </cell>
          <cell r="B246" t="str">
            <v>OJ No Pulp</v>
          </cell>
          <cell r="E246" t="str">
            <v>OJ Drum</v>
          </cell>
          <cell r="F246" t="str">
            <v>DR</v>
          </cell>
          <cell r="G246">
            <v>188859</v>
          </cell>
          <cell r="H246">
            <v>167.72727272727272</v>
          </cell>
          <cell r="I246">
            <v>1125.9886178861789</v>
          </cell>
          <cell r="J246">
            <v>16</v>
          </cell>
          <cell r="K246">
            <v>18015.817886178862</v>
          </cell>
          <cell r="L246">
            <v>2.60876254305624</v>
          </cell>
          <cell r="M246">
            <v>0.24885756508287168</v>
          </cell>
        </row>
        <row r="247">
          <cell r="A247" t="str">
            <v>J7545</v>
          </cell>
          <cell r="B247" t="str">
            <v>OJ Mexican Juice in Totes</v>
          </cell>
          <cell r="E247" t="str">
            <v>OJ Tote</v>
          </cell>
          <cell r="F247" t="str">
            <v>GL</v>
          </cell>
          <cell r="G247">
            <v>88953</v>
          </cell>
          <cell r="H247">
            <v>300</v>
          </cell>
          <cell r="I247">
            <v>296.51</v>
          </cell>
          <cell r="J247">
            <v>8</v>
          </cell>
          <cell r="K247">
            <v>2372.08</v>
          </cell>
          <cell r="L247">
            <v>2.60876254305624</v>
          </cell>
          <cell r="M247">
            <v>6.9567001148166399E-2</v>
          </cell>
        </row>
        <row r="248">
          <cell r="A248" t="str">
            <v>J7904</v>
          </cell>
          <cell r="B248" t="str">
            <v>100% California Valencia Orange Juice [J7904]</v>
          </cell>
          <cell r="E248" t="str">
            <v>OJ Drum</v>
          </cell>
          <cell r="F248" t="str">
            <v>DR</v>
          </cell>
          <cell r="G248">
            <v>0</v>
          </cell>
          <cell r="H248">
            <v>4</v>
          </cell>
          <cell r="I248">
            <v>0</v>
          </cell>
          <cell r="J248">
            <v>16</v>
          </cell>
          <cell r="K248">
            <v>0</v>
          </cell>
          <cell r="L248">
            <v>2.60876254305624</v>
          </cell>
          <cell r="M248">
            <v>10.43505017222496</v>
          </cell>
        </row>
        <row r="249">
          <cell r="A249" t="str">
            <v>J7904P</v>
          </cell>
          <cell r="B249" t="str">
            <v>OJ CA/AZ Valencia Plastic Drum [J7904P]</v>
          </cell>
          <cell r="E249" t="str">
            <v>OJ Drum</v>
          </cell>
          <cell r="F249" t="str">
            <v>DR</v>
          </cell>
          <cell r="G249">
            <v>0</v>
          </cell>
          <cell r="H249">
            <v>3.8615384615384616</v>
          </cell>
          <cell r="I249">
            <v>0</v>
          </cell>
          <cell r="J249">
            <v>16</v>
          </cell>
          <cell r="K249">
            <v>0</v>
          </cell>
          <cell r="L249">
            <v>2.60876254305624</v>
          </cell>
          <cell r="M249">
            <v>10.809215317842588</v>
          </cell>
        </row>
        <row r="250">
          <cell r="A250" t="str">
            <v>J7907</v>
          </cell>
          <cell r="B250" t="str">
            <v>OJ Mex Valencia Drum [J7907]</v>
          </cell>
          <cell r="E250" t="str">
            <v>OJ Drum</v>
          </cell>
          <cell r="F250" t="str">
            <v>DR</v>
          </cell>
          <cell r="G250">
            <v>0</v>
          </cell>
          <cell r="H250">
            <v>4</v>
          </cell>
          <cell r="I250">
            <v>0</v>
          </cell>
          <cell r="J250">
            <v>16</v>
          </cell>
          <cell r="K250">
            <v>0</v>
          </cell>
          <cell r="L250">
            <v>2.60876254305624</v>
          </cell>
          <cell r="M250">
            <v>10.43505017222496</v>
          </cell>
        </row>
        <row r="251">
          <cell r="A251" t="str">
            <v>J7912</v>
          </cell>
          <cell r="B251" t="str">
            <v>OJ CA Valencia Internal Drum in Gallons</v>
          </cell>
          <cell r="E251" t="str">
            <v>OJ Drum</v>
          </cell>
          <cell r="F251" t="str">
            <v>DR</v>
          </cell>
          <cell r="G251">
            <v>344535</v>
          </cell>
          <cell r="H251">
            <v>175.38340807174887</v>
          </cell>
          <cell r="I251">
            <v>1964.4674703724065</v>
          </cell>
          <cell r="J251">
            <v>16</v>
          </cell>
          <cell r="K251">
            <v>31431.479525958504</v>
          </cell>
          <cell r="L251">
            <v>2.60876254305624</v>
          </cell>
          <cell r="M251">
            <v>0.23799401065250161</v>
          </cell>
        </row>
        <row r="252">
          <cell r="A252" t="str">
            <v>J7914</v>
          </cell>
          <cell r="B252" t="str">
            <v>OJ Mexican Juice Internal Drum 45GL</v>
          </cell>
          <cell r="E252" t="str">
            <v>OJ Drum</v>
          </cell>
          <cell r="F252" t="str">
            <v>GL</v>
          </cell>
          <cell r="G252">
            <v>5310</v>
          </cell>
          <cell r="H252">
            <v>180</v>
          </cell>
          <cell r="I252">
            <v>29.5</v>
          </cell>
          <cell r="J252">
            <v>16</v>
          </cell>
          <cell r="K252">
            <v>472</v>
          </cell>
          <cell r="L252">
            <v>2.60876254305624</v>
          </cell>
          <cell r="M252">
            <v>0.23189000382722133</v>
          </cell>
        </row>
        <row r="253">
          <cell r="A253" t="str">
            <v>J8500</v>
          </cell>
          <cell r="B253" t="str">
            <v>Gft</v>
          </cell>
          <cell r="E253" t="str">
            <v>Other Juice Drum</v>
          </cell>
          <cell r="F253" t="str">
            <v>GL</v>
          </cell>
          <cell r="G253">
            <v>235</v>
          </cell>
          <cell r="H253">
            <v>180</v>
          </cell>
          <cell r="I253">
            <v>1.3055555555555556</v>
          </cell>
          <cell r="J253">
            <v>26</v>
          </cell>
          <cell r="K253">
            <v>33.944444444444443</v>
          </cell>
          <cell r="L253">
            <v>2.60876254305624</v>
          </cell>
          <cell r="M253">
            <v>0.37682125621923468</v>
          </cell>
        </row>
        <row r="254">
          <cell r="A254" t="str">
            <v>J8504</v>
          </cell>
          <cell r="B254" t="str">
            <v>Texas Rio Red Grapefruit Juice [J8504]</v>
          </cell>
          <cell r="E254" t="str">
            <v>Other Juice Drum</v>
          </cell>
          <cell r="F254" t="str">
            <v>GL</v>
          </cell>
          <cell r="G254">
            <v>52104</v>
          </cell>
          <cell r="H254">
            <v>192</v>
          </cell>
          <cell r="I254">
            <v>271.375</v>
          </cell>
          <cell r="J254">
            <v>26</v>
          </cell>
          <cell r="K254">
            <v>7055.75</v>
          </cell>
          <cell r="L254">
            <v>2.60876254305624</v>
          </cell>
          <cell r="M254">
            <v>0.3532699277055325</v>
          </cell>
        </row>
        <row r="255">
          <cell r="A255" t="str">
            <v>J8505</v>
          </cell>
          <cell r="B255" t="str">
            <v>Grapefruit Juice Internal Drum</v>
          </cell>
          <cell r="E255" t="str">
            <v>Other Juice Drum</v>
          </cell>
          <cell r="F255" t="str">
            <v>GL</v>
          </cell>
          <cell r="G255">
            <v>0</v>
          </cell>
          <cell r="H255">
            <v>165.92500000000001</v>
          </cell>
          <cell r="I255">
            <v>0</v>
          </cell>
          <cell r="J255">
            <v>26</v>
          </cell>
          <cell r="K255">
            <v>0</v>
          </cell>
          <cell r="L255">
            <v>2.60876254305624</v>
          </cell>
          <cell r="M255">
            <v>0.4087860546600105</v>
          </cell>
        </row>
        <row r="256">
          <cell r="A256" t="str">
            <v>J8506</v>
          </cell>
          <cell r="B256" t="str">
            <v>Grapefruit Juice USA Internal Drum</v>
          </cell>
          <cell r="E256" t="str">
            <v>Other Juice Drum</v>
          </cell>
          <cell r="F256" t="str">
            <v>GL</v>
          </cell>
          <cell r="G256">
            <v>28376</v>
          </cell>
          <cell r="H256">
            <v>165.92500000000001</v>
          </cell>
          <cell r="I256">
            <v>171.01702576465269</v>
          </cell>
          <cell r="J256">
            <v>26</v>
          </cell>
          <cell r="K256">
            <v>4446.4426698809702</v>
          </cell>
          <cell r="L256">
            <v>2.60876254305624</v>
          </cell>
          <cell r="M256">
            <v>0.4087860546600105</v>
          </cell>
        </row>
        <row r="257">
          <cell r="A257" t="str">
            <v>J9000</v>
          </cell>
          <cell r="B257" t="str">
            <v>LA RTB [J9000]</v>
          </cell>
          <cell r="E257" t="str">
            <v>Other Juice Drum</v>
          </cell>
          <cell r="F257" t="str">
            <v>GL</v>
          </cell>
          <cell r="G257">
            <v>855</v>
          </cell>
          <cell r="H257">
            <v>165</v>
          </cell>
          <cell r="I257">
            <v>5.1818181818181817</v>
          </cell>
          <cell r="J257">
            <v>26</v>
          </cell>
          <cell r="K257">
            <v>134.72727272727272</v>
          </cell>
          <cell r="L257">
            <v>2.60876254305624</v>
          </cell>
          <cell r="M257">
            <v>0.41107773405734693</v>
          </cell>
        </row>
        <row r="258">
          <cell r="A258" t="str">
            <v>J9163</v>
          </cell>
          <cell r="B258" t="str">
            <v>Panera 5+1 Agave LA Cond Alt Spec 3</v>
          </cell>
          <cell r="E258" t="str">
            <v>Other Juice Drum</v>
          </cell>
          <cell r="F258" t="str">
            <v>GL</v>
          </cell>
          <cell r="G258">
            <v>585</v>
          </cell>
          <cell r="H258">
            <v>180</v>
          </cell>
          <cell r="I258">
            <v>3.25</v>
          </cell>
          <cell r="J258">
            <v>26</v>
          </cell>
          <cell r="K258">
            <v>84.5</v>
          </cell>
          <cell r="L258">
            <v>2.60876254305624</v>
          </cell>
          <cell r="M258">
            <v>0.37682125621923468</v>
          </cell>
        </row>
        <row r="259">
          <cell r="A259" t="str">
            <v>J9250</v>
          </cell>
          <cell r="B259" t="str">
            <v>LA 2+1 RTB</v>
          </cell>
          <cell r="E259" t="str">
            <v>Other Juice Drum</v>
          </cell>
          <cell r="F259" t="str">
            <v>GL</v>
          </cell>
          <cell r="G259">
            <v>0</v>
          </cell>
          <cell r="H259">
            <v>180</v>
          </cell>
          <cell r="I259">
            <v>0</v>
          </cell>
          <cell r="J259">
            <v>26</v>
          </cell>
          <cell r="K259">
            <v>0</v>
          </cell>
          <cell r="L259">
            <v>2.60876254305624</v>
          </cell>
          <cell r="M259">
            <v>0.37682125621923468</v>
          </cell>
        </row>
        <row r="260">
          <cell r="A260" t="str">
            <v>J9314</v>
          </cell>
          <cell r="B260" t="str">
            <v>Meyer LA</v>
          </cell>
          <cell r="E260" t="str">
            <v>Other Juice Drum</v>
          </cell>
          <cell r="F260" t="str">
            <v>GL</v>
          </cell>
          <cell r="G260">
            <v>0</v>
          </cell>
          <cell r="H260">
            <v>180</v>
          </cell>
          <cell r="I260">
            <v>0</v>
          </cell>
          <cell r="J260">
            <v>26</v>
          </cell>
          <cell r="K260">
            <v>0</v>
          </cell>
          <cell r="L260">
            <v>2.60876254305624</v>
          </cell>
          <cell r="M260">
            <v>0.37682125621923468</v>
          </cell>
        </row>
        <row r="261">
          <cell r="A261" t="str">
            <v>J9400</v>
          </cell>
          <cell r="B261" t="str">
            <v>LA 4+1 RTB</v>
          </cell>
          <cell r="E261" t="str">
            <v>Other Juice Drum</v>
          </cell>
          <cell r="F261" t="str">
            <v>GL</v>
          </cell>
          <cell r="G261">
            <v>270</v>
          </cell>
          <cell r="H261">
            <v>180</v>
          </cell>
          <cell r="I261">
            <v>1.5</v>
          </cell>
          <cell r="J261">
            <v>26</v>
          </cell>
          <cell r="K261">
            <v>39</v>
          </cell>
          <cell r="L261">
            <v>2.60876254305624</v>
          </cell>
          <cell r="M261">
            <v>0.37682125621923468</v>
          </cell>
        </row>
        <row r="262">
          <cell r="A262" t="str">
            <v>J9405</v>
          </cell>
          <cell r="B262" t="str">
            <v>LA Fatburger 4+1 RTB [J9405]</v>
          </cell>
          <cell r="E262" t="str">
            <v>Other Juice Drum</v>
          </cell>
          <cell r="F262" t="str">
            <v>GL</v>
          </cell>
          <cell r="G262">
            <v>0</v>
          </cell>
          <cell r="H262">
            <v>180</v>
          </cell>
          <cell r="I262">
            <v>0</v>
          </cell>
          <cell r="J262">
            <v>26</v>
          </cell>
          <cell r="K262">
            <v>0</v>
          </cell>
          <cell r="L262">
            <v>2.60876254305624</v>
          </cell>
          <cell r="M262">
            <v>0.37682125621923468</v>
          </cell>
        </row>
        <row r="263">
          <cell r="A263" t="str">
            <v>J9500</v>
          </cell>
          <cell r="B263" t="str">
            <v>LA 5+1 RTB</v>
          </cell>
          <cell r="E263" t="str">
            <v>Other Juice Drum</v>
          </cell>
          <cell r="F263" t="str">
            <v>GL</v>
          </cell>
          <cell r="G263">
            <v>4995</v>
          </cell>
          <cell r="H263">
            <v>180</v>
          </cell>
          <cell r="I263">
            <v>27.75</v>
          </cell>
          <cell r="J263">
            <v>26</v>
          </cell>
          <cell r="K263">
            <v>721.5</v>
          </cell>
          <cell r="L263">
            <v>2.60876254305624</v>
          </cell>
          <cell r="M263">
            <v>0.37682125621923468</v>
          </cell>
        </row>
        <row r="264">
          <cell r="A264" t="str">
            <v>J9604</v>
          </cell>
          <cell r="B264" t="str">
            <v>LA Strw 3+1 RTB</v>
          </cell>
          <cell r="E264" t="str">
            <v>Other Juice Drum</v>
          </cell>
          <cell r="F264" t="str">
            <v>GL</v>
          </cell>
          <cell r="G264">
            <v>80</v>
          </cell>
          <cell r="H264">
            <v>180</v>
          </cell>
          <cell r="I264">
            <v>0.44444444444444442</v>
          </cell>
          <cell r="J264">
            <v>26</v>
          </cell>
          <cell r="K264">
            <v>11.555555555555555</v>
          </cell>
          <cell r="L264">
            <v>2.60876254305624</v>
          </cell>
          <cell r="M264">
            <v>0.37682125621923468</v>
          </cell>
        </row>
        <row r="265">
          <cell r="A265" t="str">
            <v>J9610</v>
          </cell>
          <cell r="B265" t="str">
            <v>LA Strw RTB</v>
          </cell>
          <cell r="E265" t="str">
            <v>Other Juice Drum</v>
          </cell>
          <cell r="F265" t="str">
            <v>GL</v>
          </cell>
          <cell r="G265">
            <v>0</v>
          </cell>
          <cell r="H265">
            <v>180</v>
          </cell>
          <cell r="I265">
            <v>0</v>
          </cell>
          <cell r="J265">
            <v>26</v>
          </cell>
          <cell r="K265">
            <v>0</v>
          </cell>
          <cell r="L265">
            <v>2.60876254305624</v>
          </cell>
          <cell r="M265">
            <v>0.37682125621923468</v>
          </cell>
        </row>
        <row r="266">
          <cell r="A266" t="str">
            <v>J9700</v>
          </cell>
          <cell r="B266" t="str">
            <v>LA Auntie Annes 3+1 RTB</v>
          </cell>
          <cell r="E266" t="str">
            <v>Other Juice Drum</v>
          </cell>
          <cell r="F266" t="str">
            <v>GL</v>
          </cell>
          <cell r="G266">
            <v>0</v>
          </cell>
          <cell r="H266">
            <v>180</v>
          </cell>
          <cell r="I266">
            <v>0</v>
          </cell>
          <cell r="J266">
            <v>26</v>
          </cell>
          <cell r="K266">
            <v>0</v>
          </cell>
          <cell r="L266">
            <v>2.60876254305624</v>
          </cell>
          <cell r="M266">
            <v>0.37682125621923468</v>
          </cell>
        </row>
        <row r="267">
          <cell r="A267" t="str">
            <v>L01015N</v>
          </cell>
          <cell r="B267" t="str">
            <v>Orange Juice 11.5 oz Nutritional Label</v>
          </cell>
          <cell r="E267" t="str">
            <v>Label</v>
          </cell>
          <cell r="F267" t="str">
            <v>EA</v>
          </cell>
          <cell r="G267">
            <v>0</v>
          </cell>
          <cell r="H267">
            <v>100000</v>
          </cell>
          <cell r="I267">
            <v>0</v>
          </cell>
          <cell r="J267">
            <v>6</v>
          </cell>
          <cell r="K267">
            <v>0</v>
          </cell>
          <cell r="L267">
            <v>2.60876254305624</v>
          </cell>
          <cell r="M267">
            <v>1.5652575258337439E-4</v>
          </cell>
        </row>
        <row r="268">
          <cell r="A268" t="str">
            <v>L01015V3</v>
          </cell>
          <cell r="B268" t="str">
            <v>Orange Juice 11.5 oz V3</v>
          </cell>
          <cell r="E268" t="str">
            <v>Label</v>
          </cell>
          <cell r="F268" t="str">
            <v>EA</v>
          </cell>
          <cell r="G268">
            <v>0</v>
          </cell>
          <cell r="H268">
            <v>100000</v>
          </cell>
          <cell r="I268">
            <v>0</v>
          </cell>
          <cell r="J268">
            <v>6</v>
          </cell>
          <cell r="K268">
            <v>0</v>
          </cell>
          <cell r="L268">
            <v>2.60876254305624</v>
          </cell>
          <cell r="M268">
            <v>1.5652575258337439E-4</v>
          </cell>
        </row>
        <row r="269">
          <cell r="A269" t="str">
            <v>L0102</v>
          </cell>
          <cell r="B269" t="str">
            <v>SO Bloody Mary Mix 32oz</v>
          </cell>
          <cell r="E269" t="str">
            <v>Label</v>
          </cell>
          <cell r="F269" t="str">
            <v>EA</v>
          </cell>
          <cell r="G269">
            <v>0</v>
          </cell>
          <cell r="H269">
            <v>100000</v>
          </cell>
          <cell r="I269">
            <v>0</v>
          </cell>
          <cell r="J269">
            <v>6</v>
          </cell>
          <cell r="K269">
            <v>0</v>
          </cell>
          <cell r="L269">
            <v>2.60876254305624</v>
          </cell>
          <cell r="M269">
            <v>1.5652575258337439E-4</v>
          </cell>
        </row>
        <row r="270">
          <cell r="A270" t="str">
            <v>L0102N</v>
          </cell>
          <cell r="B270" t="str">
            <v>SO Bloody Mary Mix 32oz Nutrition</v>
          </cell>
          <cell r="E270" t="str">
            <v>Label</v>
          </cell>
          <cell r="F270" t="str">
            <v>EA</v>
          </cell>
          <cell r="G270">
            <v>0</v>
          </cell>
          <cell r="H270">
            <v>100000</v>
          </cell>
          <cell r="I270">
            <v>0</v>
          </cell>
          <cell r="J270">
            <v>6</v>
          </cell>
          <cell r="K270">
            <v>0</v>
          </cell>
          <cell r="L270">
            <v>2.60876254305624</v>
          </cell>
          <cell r="M270">
            <v>1.5652575258337439E-4</v>
          </cell>
        </row>
        <row r="271">
          <cell r="A271" t="str">
            <v>L0103LFV2</v>
          </cell>
          <cell r="B271" t="str">
            <v>Lemon Juice Gln FZN Version 2</v>
          </cell>
          <cell r="E271" t="str">
            <v>Label</v>
          </cell>
          <cell r="F271" t="str">
            <v>EA</v>
          </cell>
          <cell r="G271">
            <v>20000</v>
          </cell>
          <cell r="H271">
            <v>100000</v>
          </cell>
          <cell r="I271">
            <v>0.2</v>
          </cell>
          <cell r="J271">
            <v>6</v>
          </cell>
          <cell r="K271">
            <v>1.2000000000000002</v>
          </cell>
          <cell r="L271">
            <v>2.60876254305624</v>
          </cell>
          <cell r="M271">
            <v>1.5652575258337439E-4</v>
          </cell>
        </row>
        <row r="272">
          <cell r="A272" t="str">
            <v>L0103LV2</v>
          </cell>
          <cell r="B272" t="str">
            <v>Lemon Juice Gln Version 2 [L0103LV2]</v>
          </cell>
          <cell r="E272" t="str">
            <v>Label</v>
          </cell>
          <cell r="F272" t="str">
            <v>EA</v>
          </cell>
          <cell r="G272">
            <v>180000</v>
          </cell>
          <cell r="H272">
            <v>100000</v>
          </cell>
          <cell r="I272">
            <v>1.8</v>
          </cell>
          <cell r="J272">
            <v>6</v>
          </cell>
          <cell r="K272">
            <v>10.8</v>
          </cell>
          <cell r="L272">
            <v>2.60876254305624</v>
          </cell>
          <cell r="M272">
            <v>1.5652575258337439E-4</v>
          </cell>
        </row>
        <row r="273">
          <cell r="A273" t="str">
            <v>L0103LV3</v>
          </cell>
          <cell r="B273" t="str">
            <v>Lemon Juice Gln Version 3</v>
          </cell>
          <cell r="E273" t="str">
            <v>Label</v>
          </cell>
          <cell r="F273" t="str">
            <v>EA</v>
          </cell>
          <cell r="G273">
            <v>380000</v>
          </cell>
          <cell r="H273">
            <v>100000</v>
          </cell>
          <cell r="I273">
            <v>3.8</v>
          </cell>
          <cell r="J273">
            <v>6</v>
          </cell>
          <cell r="K273">
            <v>22.799999999999997</v>
          </cell>
          <cell r="L273">
            <v>2.60876254305624</v>
          </cell>
          <cell r="M273">
            <v>1.5652575258337439E-4</v>
          </cell>
        </row>
        <row r="274">
          <cell r="A274" t="str">
            <v>L0103SF</v>
          </cell>
          <cell r="B274" t="str">
            <v>Lemon Juice Qt FZN</v>
          </cell>
          <cell r="E274" t="str">
            <v>Label</v>
          </cell>
          <cell r="F274" t="str">
            <v>EA</v>
          </cell>
          <cell r="G274">
            <v>20000</v>
          </cell>
          <cell r="H274">
            <v>100000</v>
          </cell>
          <cell r="I274">
            <v>0.2</v>
          </cell>
          <cell r="J274">
            <v>6</v>
          </cell>
          <cell r="K274">
            <v>1.2000000000000002</v>
          </cell>
          <cell r="L274">
            <v>2.60876254305624</v>
          </cell>
          <cell r="M274">
            <v>1.5652575258337439E-4</v>
          </cell>
        </row>
        <row r="275">
          <cell r="A275" t="str">
            <v>L0103SNV2</v>
          </cell>
          <cell r="B275" t="str">
            <v>Lemon Juice Qt Nutrition v.2</v>
          </cell>
          <cell r="E275" t="str">
            <v>Label</v>
          </cell>
          <cell r="F275" t="str">
            <v>EA</v>
          </cell>
          <cell r="G275">
            <v>230000</v>
          </cell>
          <cell r="H275">
            <v>100000</v>
          </cell>
          <cell r="I275">
            <v>2.2999999999999998</v>
          </cell>
          <cell r="J275">
            <v>6</v>
          </cell>
          <cell r="K275">
            <v>13.799999999999999</v>
          </cell>
          <cell r="L275">
            <v>2.60876254305624</v>
          </cell>
          <cell r="M275">
            <v>1.5652575258337439E-4</v>
          </cell>
        </row>
        <row r="276">
          <cell r="A276" t="str">
            <v>L0103SNV3</v>
          </cell>
          <cell r="B276" t="str">
            <v>Lemon Juice Qt Nutrition V3</v>
          </cell>
          <cell r="E276" t="str">
            <v>Label</v>
          </cell>
          <cell r="F276" t="str">
            <v>EA</v>
          </cell>
          <cell r="G276">
            <v>20000</v>
          </cell>
          <cell r="H276">
            <v>100000</v>
          </cell>
          <cell r="I276">
            <v>0.2</v>
          </cell>
          <cell r="J276">
            <v>6</v>
          </cell>
          <cell r="K276">
            <v>1.2000000000000002</v>
          </cell>
          <cell r="L276">
            <v>2.60876254305624</v>
          </cell>
          <cell r="M276">
            <v>1.5652575258337439E-4</v>
          </cell>
        </row>
        <row r="277">
          <cell r="A277" t="str">
            <v>L0103SV2</v>
          </cell>
          <cell r="B277" t="str">
            <v>Lemon Juice Qt v.2.</v>
          </cell>
          <cell r="E277" t="str">
            <v>Label</v>
          </cell>
          <cell r="F277" t="str">
            <v>EA</v>
          </cell>
          <cell r="G277">
            <v>235000</v>
          </cell>
          <cell r="H277">
            <v>100000</v>
          </cell>
          <cell r="I277">
            <v>2.35</v>
          </cell>
          <cell r="J277">
            <v>6</v>
          </cell>
          <cell r="K277">
            <v>14.100000000000001</v>
          </cell>
          <cell r="L277">
            <v>2.60876254305624</v>
          </cell>
          <cell r="M277">
            <v>1.5652575258337439E-4</v>
          </cell>
        </row>
        <row r="278">
          <cell r="A278" t="str">
            <v>L0103SV3</v>
          </cell>
          <cell r="B278" t="str">
            <v>Lemon Juice Qt V3</v>
          </cell>
          <cell r="E278" t="str">
            <v>Label</v>
          </cell>
          <cell r="F278" t="str">
            <v>EA</v>
          </cell>
          <cell r="G278">
            <v>10000</v>
          </cell>
          <cell r="H278">
            <v>100000</v>
          </cell>
          <cell r="I278">
            <v>0.1</v>
          </cell>
          <cell r="J278">
            <v>6</v>
          </cell>
          <cell r="K278">
            <v>0.60000000000000009</v>
          </cell>
          <cell r="L278">
            <v>2.60876254305624</v>
          </cell>
          <cell r="M278">
            <v>1.5652575258337439E-4</v>
          </cell>
        </row>
        <row r="279">
          <cell r="A279" t="str">
            <v>L0104L</v>
          </cell>
          <cell r="B279" t="str">
            <v>Lime Juice Gln [L0104L]</v>
          </cell>
          <cell r="E279" t="str">
            <v>Label</v>
          </cell>
          <cell r="F279" t="str">
            <v>EA</v>
          </cell>
          <cell r="G279">
            <v>210000</v>
          </cell>
          <cell r="H279">
            <v>100000</v>
          </cell>
          <cell r="I279">
            <v>2.1</v>
          </cell>
          <cell r="J279">
            <v>6</v>
          </cell>
          <cell r="K279">
            <v>12.600000000000001</v>
          </cell>
          <cell r="L279">
            <v>2.60876254305624</v>
          </cell>
          <cell r="M279">
            <v>1.5652575258337439E-4</v>
          </cell>
        </row>
        <row r="280">
          <cell r="A280" t="str">
            <v>L0104LV2</v>
          </cell>
          <cell r="B280" t="str">
            <v>Lime Juice Gln Version 2</v>
          </cell>
          <cell r="E280" t="str">
            <v>Label</v>
          </cell>
          <cell r="F280" t="str">
            <v>EA</v>
          </cell>
          <cell r="G280">
            <v>310000</v>
          </cell>
          <cell r="H280">
            <v>100000</v>
          </cell>
          <cell r="I280">
            <v>3.1</v>
          </cell>
          <cell r="J280">
            <v>6</v>
          </cell>
          <cell r="K280">
            <v>18.600000000000001</v>
          </cell>
          <cell r="L280">
            <v>2.60876254305624</v>
          </cell>
          <cell r="M280">
            <v>1.5652575258337439E-4</v>
          </cell>
        </row>
        <row r="281">
          <cell r="A281" t="str">
            <v>L0104S</v>
          </cell>
          <cell r="B281" t="str">
            <v>Lime Juice Qt</v>
          </cell>
          <cell r="E281" t="str">
            <v>Label</v>
          </cell>
          <cell r="F281" t="str">
            <v>EA</v>
          </cell>
          <cell r="G281">
            <v>395000</v>
          </cell>
          <cell r="H281">
            <v>100000</v>
          </cell>
          <cell r="I281">
            <v>3.95</v>
          </cell>
          <cell r="J281">
            <v>6</v>
          </cell>
          <cell r="K281">
            <v>23.700000000000003</v>
          </cell>
          <cell r="L281">
            <v>2.60876254305624</v>
          </cell>
          <cell r="M281">
            <v>1.5652575258337439E-4</v>
          </cell>
        </row>
        <row r="282">
          <cell r="A282" t="str">
            <v>L0104SF</v>
          </cell>
          <cell r="B282" t="str">
            <v>Lime Juice Qt FZN</v>
          </cell>
          <cell r="E282" t="str">
            <v>Label</v>
          </cell>
          <cell r="F282" t="str">
            <v>EA</v>
          </cell>
          <cell r="G282">
            <v>35000</v>
          </cell>
          <cell r="H282">
            <v>100000</v>
          </cell>
          <cell r="I282">
            <v>0.35</v>
          </cell>
          <cell r="J282">
            <v>6</v>
          </cell>
          <cell r="K282">
            <v>2.0999999999999996</v>
          </cell>
          <cell r="L282">
            <v>2.60876254305624</v>
          </cell>
          <cell r="M282">
            <v>1.5652575258337439E-4</v>
          </cell>
        </row>
        <row r="283">
          <cell r="A283" t="str">
            <v>L0104SN</v>
          </cell>
          <cell r="B283" t="str">
            <v>Lime Juice Qt Nutrition</v>
          </cell>
          <cell r="E283" t="str">
            <v>Label</v>
          </cell>
          <cell r="F283" t="str">
            <v>EA</v>
          </cell>
          <cell r="G283">
            <v>385000</v>
          </cell>
          <cell r="H283">
            <v>100000</v>
          </cell>
          <cell r="I283">
            <v>3.85</v>
          </cell>
          <cell r="J283">
            <v>6</v>
          </cell>
          <cell r="K283">
            <v>23.1</v>
          </cell>
          <cell r="L283">
            <v>2.60876254305624</v>
          </cell>
          <cell r="M283">
            <v>1.5652575258337439E-4</v>
          </cell>
        </row>
        <row r="284">
          <cell r="A284" t="str">
            <v>L0104SNV2</v>
          </cell>
          <cell r="B284" t="str">
            <v>Lime Juice Qt Nutrition Version 2</v>
          </cell>
          <cell r="E284" t="str">
            <v>Label</v>
          </cell>
          <cell r="F284" t="str">
            <v>EA</v>
          </cell>
          <cell r="G284">
            <v>90000</v>
          </cell>
          <cell r="H284">
            <v>100000</v>
          </cell>
          <cell r="I284">
            <v>0.9</v>
          </cell>
          <cell r="J284">
            <v>6</v>
          </cell>
          <cell r="K284">
            <v>5.4</v>
          </cell>
          <cell r="L284">
            <v>2.60876254305624</v>
          </cell>
          <cell r="M284">
            <v>1.5652575258337439E-4</v>
          </cell>
        </row>
        <row r="285">
          <cell r="A285" t="str">
            <v>L0104SV2</v>
          </cell>
          <cell r="B285" t="str">
            <v>Lime Juice Qt Version 2</v>
          </cell>
          <cell r="E285" t="str">
            <v>Label</v>
          </cell>
          <cell r="F285" t="str">
            <v>EA</v>
          </cell>
          <cell r="G285">
            <v>90000</v>
          </cell>
          <cell r="H285">
            <v>100000</v>
          </cell>
          <cell r="I285">
            <v>0.9</v>
          </cell>
          <cell r="J285">
            <v>6</v>
          </cell>
          <cell r="K285">
            <v>5.4</v>
          </cell>
          <cell r="L285">
            <v>2.60876254305624</v>
          </cell>
          <cell r="M285">
            <v>1.5652575258337439E-4</v>
          </cell>
        </row>
        <row r="286">
          <cell r="A286" t="str">
            <v>L0105L</v>
          </cell>
          <cell r="B286" t="str">
            <v>Marg Mix Gln</v>
          </cell>
          <cell r="E286" t="str">
            <v>Label</v>
          </cell>
          <cell r="F286" t="str">
            <v>EA</v>
          </cell>
          <cell r="G286">
            <v>35000</v>
          </cell>
          <cell r="H286">
            <v>100000</v>
          </cell>
          <cell r="I286">
            <v>0.35</v>
          </cell>
          <cell r="J286">
            <v>6</v>
          </cell>
          <cell r="K286">
            <v>2.0999999999999996</v>
          </cell>
          <cell r="L286">
            <v>2.60876254305624</v>
          </cell>
          <cell r="M286">
            <v>1.5652575258337439E-4</v>
          </cell>
        </row>
        <row r="287">
          <cell r="A287" t="str">
            <v>L0105LV2</v>
          </cell>
          <cell r="B287" t="str">
            <v>Marg Mix Gln</v>
          </cell>
          <cell r="E287" t="str">
            <v>Label</v>
          </cell>
          <cell r="F287" t="str">
            <v>EA</v>
          </cell>
          <cell r="G287">
            <v>60000</v>
          </cell>
          <cell r="H287">
            <v>100000</v>
          </cell>
          <cell r="I287">
            <v>0.6</v>
          </cell>
          <cell r="J287">
            <v>6</v>
          </cell>
          <cell r="K287">
            <v>3.5999999999999996</v>
          </cell>
          <cell r="L287">
            <v>2.60876254305624</v>
          </cell>
          <cell r="M287">
            <v>1.5652575258337439E-4</v>
          </cell>
        </row>
        <row r="288">
          <cell r="A288" t="str">
            <v>L01062FV2</v>
          </cell>
          <cell r="B288" t="str">
            <v>SOI Margarita Mix 3+1 HGln V2</v>
          </cell>
          <cell r="E288" t="str">
            <v>Label</v>
          </cell>
          <cell r="F288" t="str">
            <v>EA</v>
          </cell>
          <cell r="G288">
            <v>30000</v>
          </cell>
          <cell r="H288">
            <v>100000</v>
          </cell>
          <cell r="I288">
            <v>0.3</v>
          </cell>
          <cell r="J288">
            <v>6</v>
          </cell>
          <cell r="K288">
            <v>1.7999999999999998</v>
          </cell>
          <cell r="L288">
            <v>2.60876254305624</v>
          </cell>
          <cell r="M288">
            <v>1.5652575258337439E-4</v>
          </cell>
        </row>
        <row r="289">
          <cell r="A289" t="str">
            <v>L0106LV2</v>
          </cell>
          <cell r="B289" t="str">
            <v>Marg Mix Cond Gln V2</v>
          </cell>
          <cell r="E289" t="str">
            <v>Label</v>
          </cell>
          <cell r="F289" t="str">
            <v>EA</v>
          </cell>
          <cell r="G289">
            <v>25000</v>
          </cell>
          <cell r="H289">
            <v>100000</v>
          </cell>
          <cell r="I289">
            <v>0.25</v>
          </cell>
          <cell r="J289">
            <v>6</v>
          </cell>
          <cell r="K289">
            <v>1.5</v>
          </cell>
          <cell r="L289">
            <v>2.60876254305624</v>
          </cell>
          <cell r="M289">
            <v>1.5652575258337439E-4</v>
          </cell>
        </row>
        <row r="290">
          <cell r="A290" t="str">
            <v>L0106LV3</v>
          </cell>
          <cell r="B290" t="str">
            <v>Marg Mix Cond Gln V3</v>
          </cell>
          <cell r="E290" t="str">
            <v>Label</v>
          </cell>
          <cell r="F290" t="str">
            <v>EA</v>
          </cell>
          <cell r="G290">
            <v>80000</v>
          </cell>
          <cell r="H290">
            <v>100000</v>
          </cell>
          <cell r="I290">
            <v>0.8</v>
          </cell>
          <cell r="J290">
            <v>6</v>
          </cell>
          <cell r="K290">
            <v>4.8000000000000007</v>
          </cell>
          <cell r="L290">
            <v>2.60876254305624</v>
          </cell>
          <cell r="M290">
            <v>1.5652575258337439E-4</v>
          </cell>
        </row>
        <row r="291">
          <cell r="A291" t="str">
            <v>L0110LN</v>
          </cell>
          <cell r="B291" t="str">
            <v>(AZ)SOI LA Lg Nutrition</v>
          </cell>
          <cell r="E291" t="str">
            <v>Label</v>
          </cell>
          <cell r="F291" t="str">
            <v>EA</v>
          </cell>
          <cell r="G291">
            <v>60000</v>
          </cell>
          <cell r="H291">
            <v>100000</v>
          </cell>
          <cell r="I291">
            <v>0.6</v>
          </cell>
          <cell r="J291">
            <v>6</v>
          </cell>
          <cell r="K291">
            <v>3.5999999999999996</v>
          </cell>
          <cell r="L291">
            <v>2.60876254305624</v>
          </cell>
          <cell r="M291">
            <v>1.5652575258337439E-4</v>
          </cell>
        </row>
        <row r="292">
          <cell r="A292" t="str">
            <v>L0110LV2</v>
          </cell>
          <cell r="B292" t="str">
            <v>(AZ)SOI LA Lg v.2.</v>
          </cell>
          <cell r="E292" t="str">
            <v>Label</v>
          </cell>
          <cell r="F292" t="str">
            <v>EA</v>
          </cell>
          <cell r="G292">
            <v>0</v>
          </cell>
          <cell r="H292">
            <v>100000</v>
          </cell>
          <cell r="I292">
            <v>0</v>
          </cell>
          <cell r="J292">
            <v>6</v>
          </cell>
          <cell r="K292">
            <v>0</v>
          </cell>
          <cell r="L292">
            <v>2.60876254305624</v>
          </cell>
          <cell r="M292">
            <v>1.5652575258337439E-4</v>
          </cell>
        </row>
        <row r="293">
          <cell r="A293" t="str">
            <v>L011183</v>
          </cell>
          <cell r="B293" t="str">
            <v>Creative Bev Sweet Lemon Juice Hgln Fzn</v>
          </cell>
          <cell r="E293" t="str">
            <v>Label</v>
          </cell>
          <cell r="F293" t="str">
            <v>EA</v>
          </cell>
          <cell r="G293">
            <v>15000</v>
          </cell>
          <cell r="H293">
            <v>100000</v>
          </cell>
          <cell r="I293">
            <v>0.15</v>
          </cell>
          <cell r="J293">
            <v>6</v>
          </cell>
          <cell r="K293">
            <v>0.89999999999999991</v>
          </cell>
          <cell r="L293">
            <v>2.60876254305624</v>
          </cell>
          <cell r="M293">
            <v>1.5652575258337439E-4</v>
          </cell>
        </row>
        <row r="294">
          <cell r="A294" t="str">
            <v>L0111LV2</v>
          </cell>
          <cell r="B294" t="str">
            <v>LA 4+1 Gln v2</v>
          </cell>
          <cell r="E294" t="str">
            <v>Label</v>
          </cell>
          <cell r="F294" t="str">
            <v>EA</v>
          </cell>
          <cell r="G294">
            <v>60000</v>
          </cell>
          <cell r="H294">
            <v>100000</v>
          </cell>
          <cell r="I294">
            <v>0.6</v>
          </cell>
          <cell r="J294">
            <v>6</v>
          </cell>
          <cell r="K294">
            <v>3.5999999999999996</v>
          </cell>
          <cell r="L294">
            <v>2.60876254305624</v>
          </cell>
          <cell r="M294">
            <v>1.5652575258337439E-4</v>
          </cell>
        </row>
        <row r="295">
          <cell r="A295" t="str">
            <v>L0111LV3</v>
          </cell>
          <cell r="B295" t="str">
            <v>LA 4+1 Gln v3</v>
          </cell>
          <cell r="E295" t="str">
            <v>Label</v>
          </cell>
          <cell r="F295" t="str">
            <v>EA</v>
          </cell>
          <cell r="G295">
            <v>80000</v>
          </cell>
          <cell r="H295">
            <v>100000</v>
          </cell>
          <cell r="I295">
            <v>0.8</v>
          </cell>
          <cell r="J295">
            <v>6</v>
          </cell>
          <cell r="K295">
            <v>4.8000000000000007</v>
          </cell>
          <cell r="L295">
            <v>2.60876254305624</v>
          </cell>
          <cell r="M295">
            <v>1.5652575258337439E-4</v>
          </cell>
        </row>
        <row r="296">
          <cell r="A296" t="str">
            <v>L01132F</v>
          </cell>
          <cell r="B296" t="str">
            <v>SOI 3+1 Sweet LA Mix HGln [L01132F]</v>
          </cell>
          <cell r="E296" t="str">
            <v>Label</v>
          </cell>
          <cell r="F296" t="str">
            <v>EA</v>
          </cell>
          <cell r="G296">
            <v>10000</v>
          </cell>
          <cell r="H296">
            <v>100000</v>
          </cell>
          <cell r="I296">
            <v>0.1</v>
          </cell>
          <cell r="J296">
            <v>6</v>
          </cell>
          <cell r="K296">
            <v>0.60000000000000009</v>
          </cell>
          <cell r="L296">
            <v>2.60876254305624</v>
          </cell>
          <cell r="M296">
            <v>1.5652575258337439E-4</v>
          </cell>
        </row>
        <row r="297">
          <cell r="A297" t="str">
            <v>L011402</v>
          </cell>
          <cell r="B297" t="str">
            <v>High-Acid Lemon Juice Blend REF 4pk/128oz</v>
          </cell>
          <cell r="E297" t="str">
            <v>Label</v>
          </cell>
          <cell r="F297" t="str">
            <v>EA</v>
          </cell>
          <cell r="G297">
            <v>50000</v>
          </cell>
          <cell r="H297">
            <v>100000</v>
          </cell>
          <cell r="I297">
            <v>0.5</v>
          </cell>
          <cell r="J297">
            <v>6</v>
          </cell>
          <cell r="K297">
            <v>3</v>
          </cell>
          <cell r="L297">
            <v>2.60876254305624</v>
          </cell>
          <cell r="M297">
            <v>1.5652575258337439E-4</v>
          </cell>
        </row>
        <row r="298">
          <cell r="A298" t="str">
            <v>L01141</v>
          </cell>
          <cell r="B298" t="str">
            <v>SOI LA 2+1</v>
          </cell>
          <cell r="E298" t="str">
            <v>Label</v>
          </cell>
          <cell r="F298" t="str">
            <v>EA</v>
          </cell>
          <cell r="G298">
            <v>10000</v>
          </cell>
          <cell r="H298">
            <v>100000</v>
          </cell>
          <cell r="I298">
            <v>0.1</v>
          </cell>
          <cell r="J298">
            <v>6</v>
          </cell>
          <cell r="K298">
            <v>0.60000000000000009</v>
          </cell>
          <cell r="L298">
            <v>2.60876254305624</v>
          </cell>
          <cell r="M298">
            <v>1.5652575258337439E-4</v>
          </cell>
        </row>
        <row r="299">
          <cell r="A299" t="str">
            <v>L011492</v>
          </cell>
          <cell r="B299" t="str">
            <v>50/50 Lemon Lime Juice HGln v.1</v>
          </cell>
          <cell r="E299" t="str">
            <v>Label</v>
          </cell>
          <cell r="F299" t="str">
            <v>EA</v>
          </cell>
          <cell r="G299">
            <v>0</v>
          </cell>
          <cell r="H299">
            <v>100000</v>
          </cell>
          <cell r="I299">
            <v>0</v>
          </cell>
          <cell r="J299">
            <v>6</v>
          </cell>
          <cell r="K299">
            <v>0</v>
          </cell>
          <cell r="L299">
            <v>2.60876254305624</v>
          </cell>
          <cell r="M299">
            <v>1.5652575258337439E-4</v>
          </cell>
        </row>
        <row r="300">
          <cell r="A300" t="str">
            <v>L01260</v>
          </cell>
          <cell r="B300" t="str">
            <v>SO Straw LA 32oz RTS</v>
          </cell>
          <cell r="E300" t="str">
            <v>Label</v>
          </cell>
          <cell r="F300" t="str">
            <v>EA</v>
          </cell>
          <cell r="G300">
            <v>0</v>
          </cell>
          <cell r="H300">
            <v>100000</v>
          </cell>
          <cell r="I300">
            <v>0</v>
          </cell>
          <cell r="J300">
            <v>6</v>
          </cell>
          <cell r="K300">
            <v>0</v>
          </cell>
          <cell r="L300">
            <v>2.60876254305624</v>
          </cell>
          <cell r="M300">
            <v>1.5652575258337439E-4</v>
          </cell>
        </row>
        <row r="301">
          <cell r="A301" t="str">
            <v>L01260N</v>
          </cell>
          <cell r="B301" t="str">
            <v>SO Straw LA 32oz RTS Nutrition</v>
          </cell>
          <cell r="E301" t="str">
            <v>Label</v>
          </cell>
          <cell r="F301" t="str">
            <v>EA</v>
          </cell>
          <cell r="G301">
            <v>0</v>
          </cell>
          <cell r="H301">
            <v>100000</v>
          </cell>
          <cell r="I301">
            <v>0</v>
          </cell>
          <cell r="J301">
            <v>6</v>
          </cell>
          <cell r="K301">
            <v>0</v>
          </cell>
          <cell r="L301">
            <v>2.60876254305624</v>
          </cell>
          <cell r="M301">
            <v>1.5652575258337439E-4</v>
          </cell>
        </row>
        <row r="302">
          <cell r="A302" t="str">
            <v>L01282F</v>
          </cell>
          <cell r="B302" t="str">
            <v>3+1 Sweet Strw LA FZN 61.5 oz v1</v>
          </cell>
          <cell r="E302" t="str">
            <v>Label</v>
          </cell>
          <cell r="F302" t="str">
            <v>EA</v>
          </cell>
          <cell r="G302">
            <v>15000</v>
          </cell>
          <cell r="H302">
            <v>100000</v>
          </cell>
          <cell r="I302">
            <v>0.15</v>
          </cell>
          <cell r="J302">
            <v>6</v>
          </cell>
          <cell r="K302">
            <v>0.89999999999999991</v>
          </cell>
          <cell r="L302">
            <v>2.60876254305624</v>
          </cell>
          <cell r="M302">
            <v>1.5652575258337439E-4</v>
          </cell>
        </row>
        <row r="303">
          <cell r="A303" t="str">
            <v>L01282FV2</v>
          </cell>
          <cell r="B303" t="str">
            <v>3+1 Sweet Strw LA FZN 61.5 oz Version 2</v>
          </cell>
          <cell r="E303" t="str">
            <v>Label</v>
          </cell>
          <cell r="F303" t="str">
            <v>EA</v>
          </cell>
          <cell r="G303">
            <v>30000</v>
          </cell>
          <cell r="H303">
            <v>100000</v>
          </cell>
          <cell r="I303">
            <v>0.3</v>
          </cell>
          <cell r="J303">
            <v>6</v>
          </cell>
          <cell r="K303">
            <v>1.7999999999999998</v>
          </cell>
          <cell r="L303">
            <v>2.60876254305624</v>
          </cell>
          <cell r="M303">
            <v>1.5652575258337439E-4</v>
          </cell>
        </row>
        <row r="304">
          <cell r="A304" t="str">
            <v>L0128L</v>
          </cell>
          <cell r="B304" t="str">
            <v>LA Strw 3+1 Gln</v>
          </cell>
          <cell r="E304" t="str">
            <v>Label</v>
          </cell>
          <cell r="F304" t="str">
            <v>EA</v>
          </cell>
          <cell r="G304">
            <v>10000</v>
          </cell>
          <cell r="H304">
            <v>100000</v>
          </cell>
          <cell r="I304">
            <v>0.1</v>
          </cell>
          <cell r="J304">
            <v>6</v>
          </cell>
          <cell r="K304">
            <v>0.60000000000000009</v>
          </cell>
          <cell r="L304">
            <v>2.60876254305624</v>
          </cell>
          <cell r="M304">
            <v>1.5652575258337439E-4</v>
          </cell>
        </row>
        <row r="305">
          <cell r="A305" t="str">
            <v>L0128LV2</v>
          </cell>
          <cell r="B305" t="str">
            <v>LA Strw 3+1 Gln Version 2</v>
          </cell>
          <cell r="E305" t="str">
            <v>Label</v>
          </cell>
          <cell r="F305" t="str">
            <v>EA</v>
          </cell>
          <cell r="G305">
            <v>50000</v>
          </cell>
          <cell r="H305">
            <v>100000</v>
          </cell>
          <cell r="I305">
            <v>0.5</v>
          </cell>
          <cell r="J305">
            <v>6</v>
          </cell>
          <cell r="K305">
            <v>3</v>
          </cell>
          <cell r="L305">
            <v>2.60876254305624</v>
          </cell>
          <cell r="M305">
            <v>1.5652575258337439E-4</v>
          </cell>
        </row>
        <row r="306">
          <cell r="A306" t="str">
            <v>L01301</v>
          </cell>
          <cell r="B306" t="str">
            <v>Orange Juice NP Gln</v>
          </cell>
          <cell r="E306" t="str">
            <v>Label</v>
          </cell>
          <cell r="F306" t="str">
            <v>EA</v>
          </cell>
          <cell r="G306">
            <v>60000</v>
          </cell>
          <cell r="H306">
            <v>100000</v>
          </cell>
          <cell r="I306">
            <v>0.6</v>
          </cell>
          <cell r="J306">
            <v>6</v>
          </cell>
          <cell r="K306">
            <v>3.5999999999999996</v>
          </cell>
          <cell r="L306">
            <v>2.60876254305624</v>
          </cell>
          <cell r="M306">
            <v>1.5652575258337439E-4</v>
          </cell>
        </row>
        <row r="307">
          <cell r="A307" t="str">
            <v>L01301V2</v>
          </cell>
          <cell r="B307" t="str">
            <v>Orange Juice NP Gln Version 2</v>
          </cell>
          <cell r="E307" t="str">
            <v>Label</v>
          </cell>
          <cell r="F307" t="str">
            <v>EA</v>
          </cell>
          <cell r="G307">
            <v>30000</v>
          </cell>
          <cell r="H307">
            <v>100000</v>
          </cell>
          <cell r="I307">
            <v>0.3</v>
          </cell>
          <cell r="J307">
            <v>6</v>
          </cell>
          <cell r="K307">
            <v>1.7999999999999998</v>
          </cell>
          <cell r="L307">
            <v>2.60876254305624</v>
          </cell>
          <cell r="M307">
            <v>1.5652575258337439E-4</v>
          </cell>
        </row>
        <row r="308">
          <cell r="A308" t="str">
            <v>L01303N</v>
          </cell>
          <cell r="B308" t="str">
            <v>Orange Juice Qt Nutrition</v>
          </cell>
          <cell r="E308" t="str">
            <v>Label</v>
          </cell>
          <cell r="F308" t="str">
            <v>EA</v>
          </cell>
          <cell r="G308">
            <v>50000</v>
          </cell>
          <cell r="H308">
            <v>100000</v>
          </cell>
          <cell r="I308">
            <v>0.5</v>
          </cell>
          <cell r="J308">
            <v>6</v>
          </cell>
          <cell r="K308">
            <v>3</v>
          </cell>
          <cell r="L308">
            <v>2.60876254305624</v>
          </cell>
          <cell r="M308">
            <v>1.5652575258337439E-4</v>
          </cell>
        </row>
        <row r="309">
          <cell r="A309" t="str">
            <v>L01303V2</v>
          </cell>
          <cell r="B309" t="str">
            <v>Orange Juice Qt V2</v>
          </cell>
          <cell r="E309" t="str">
            <v>Label</v>
          </cell>
          <cell r="F309" t="str">
            <v>EA</v>
          </cell>
          <cell r="G309">
            <v>70000</v>
          </cell>
          <cell r="H309">
            <v>100000</v>
          </cell>
          <cell r="I309">
            <v>0.7</v>
          </cell>
          <cell r="J309">
            <v>6</v>
          </cell>
          <cell r="K309">
            <v>4.1999999999999993</v>
          </cell>
          <cell r="L309">
            <v>2.60876254305624</v>
          </cell>
          <cell r="M309">
            <v>1.5652575258337439E-4</v>
          </cell>
        </row>
        <row r="310">
          <cell r="A310" t="str">
            <v>L01307F</v>
          </cell>
          <cell r="B310" t="str">
            <v>NP Orange Juice 61.5oz FZN v1 [L01307F]</v>
          </cell>
          <cell r="E310" t="str">
            <v>Label</v>
          </cell>
          <cell r="F310" t="str">
            <v>EA</v>
          </cell>
          <cell r="G310">
            <v>20000</v>
          </cell>
          <cell r="H310">
            <v>100000</v>
          </cell>
          <cell r="I310">
            <v>0.2</v>
          </cell>
          <cell r="J310">
            <v>6</v>
          </cell>
          <cell r="K310">
            <v>1.2000000000000002</v>
          </cell>
          <cell r="L310">
            <v>2.60876254305624</v>
          </cell>
          <cell r="M310">
            <v>1.5652575258337439E-4</v>
          </cell>
        </row>
        <row r="311">
          <cell r="A311" t="str">
            <v>L01309</v>
          </cell>
          <cell r="B311" t="str">
            <v>Sojo 100% Valencia OJ 61.5oz FZN</v>
          </cell>
          <cell r="E311" t="str">
            <v>Label</v>
          </cell>
          <cell r="F311" t="str">
            <v>EA</v>
          </cell>
          <cell r="G311">
            <v>0</v>
          </cell>
          <cell r="H311">
            <v>100000</v>
          </cell>
          <cell r="I311">
            <v>0</v>
          </cell>
          <cell r="J311">
            <v>6</v>
          </cell>
          <cell r="K311">
            <v>0</v>
          </cell>
          <cell r="L311">
            <v>2.60876254305624</v>
          </cell>
          <cell r="M311">
            <v>1.5652575258337439E-4</v>
          </cell>
        </row>
        <row r="312">
          <cell r="A312" t="str">
            <v>L01309N</v>
          </cell>
          <cell r="B312" t="str">
            <v>Sojo 100% Valencia OJ 61.5oz FZN Nutrition</v>
          </cell>
          <cell r="E312" t="str">
            <v>Label</v>
          </cell>
          <cell r="F312" t="str">
            <v>EA</v>
          </cell>
          <cell r="G312">
            <v>0</v>
          </cell>
          <cell r="H312">
            <v>100000</v>
          </cell>
          <cell r="I312">
            <v>0</v>
          </cell>
          <cell r="J312">
            <v>6</v>
          </cell>
          <cell r="K312">
            <v>0</v>
          </cell>
          <cell r="L312">
            <v>2.60876254305624</v>
          </cell>
          <cell r="M312">
            <v>1.5652575258337439E-4</v>
          </cell>
        </row>
        <row r="313">
          <cell r="A313" t="str">
            <v>L013112</v>
          </cell>
          <cell r="B313" t="str">
            <v>SO Frozen Grapefruit 30.5oz</v>
          </cell>
          <cell r="E313" t="str">
            <v>Label</v>
          </cell>
          <cell r="F313" t="str">
            <v>EA</v>
          </cell>
          <cell r="G313">
            <v>0</v>
          </cell>
          <cell r="H313">
            <v>100000</v>
          </cell>
          <cell r="I313">
            <v>0</v>
          </cell>
          <cell r="J313">
            <v>6</v>
          </cell>
          <cell r="K313">
            <v>0</v>
          </cell>
          <cell r="L313">
            <v>2.60876254305624</v>
          </cell>
          <cell r="M313">
            <v>1.5652575258337439E-4</v>
          </cell>
        </row>
        <row r="314">
          <cell r="A314" t="str">
            <v>L01317</v>
          </cell>
          <cell r="B314" t="str">
            <v>SO NP Valencia 61.5oz FZN</v>
          </cell>
          <cell r="E314" t="str">
            <v>Label</v>
          </cell>
          <cell r="F314" t="str">
            <v>EA</v>
          </cell>
          <cell r="G314">
            <v>0</v>
          </cell>
          <cell r="H314">
            <v>100000</v>
          </cell>
          <cell r="I314">
            <v>0</v>
          </cell>
          <cell r="J314">
            <v>6</v>
          </cell>
          <cell r="K314">
            <v>0</v>
          </cell>
          <cell r="L314">
            <v>2.60876254305624</v>
          </cell>
          <cell r="M314">
            <v>1.5652575258337439E-4</v>
          </cell>
        </row>
        <row r="315">
          <cell r="A315" t="str">
            <v>L01317N</v>
          </cell>
          <cell r="B315" t="str">
            <v>SO NP Valencia 61.5oz FZN Nutrition</v>
          </cell>
          <cell r="E315" t="str">
            <v>Label</v>
          </cell>
          <cell r="F315" t="str">
            <v>EA</v>
          </cell>
          <cell r="G315">
            <v>0</v>
          </cell>
          <cell r="H315">
            <v>100000</v>
          </cell>
          <cell r="I315">
            <v>0</v>
          </cell>
          <cell r="J315">
            <v>6</v>
          </cell>
          <cell r="K315">
            <v>0</v>
          </cell>
          <cell r="L315">
            <v>2.60876254305624</v>
          </cell>
          <cell r="M315">
            <v>1.5652575258337439E-4</v>
          </cell>
        </row>
        <row r="316">
          <cell r="A316" t="str">
            <v>L0131L</v>
          </cell>
          <cell r="B316" t="str">
            <v>Gft Juice 6 Pk HGln</v>
          </cell>
          <cell r="E316" t="str">
            <v>Label</v>
          </cell>
          <cell r="F316" t="str">
            <v>EA</v>
          </cell>
          <cell r="G316">
            <v>240000</v>
          </cell>
          <cell r="H316">
            <v>100000</v>
          </cell>
          <cell r="I316">
            <v>2.4</v>
          </cell>
          <cell r="J316">
            <v>6</v>
          </cell>
          <cell r="K316">
            <v>14.399999999999999</v>
          </cell>
          <cell r="L316">
            <v>2.60876254305624</v>
          </cell>
          <cell r="M316">
            <v>1.5652575258337439E-4</v>
          </cell>
        </row>
        <row r="317">
          <cell r="A317" t="str">
            <v>L0131LN</v>
          </cell>
          <cell r="B317" t="str">
            <v>Gft Juice 6 Pk HGln Nutrition</v>
          </cell>
          <cell r="E317" t="str">
            <v>Label</v>
          </cell>
          <cell r="F317" t="str">
            <v>EA</v>
          </cell>
          <cell r="G317">
            <v>225000</v>
          </cell>
          <cell r="H317">
            <v>100000</v>
          </cell>
          <cell r="I317">
            <v>2.25</v>
          </cell>
          <cell r="J317">
            <v>6</v>
          </cell>
          <cell r="K317">
            <v>13.5</v>
          </cell>
          <cell r="L317">
            <v>2.60876254305624</v>
          </cell>
          <cell r="M317">
            <v>1.5652575258337439E-4</v>
          </cell>
        </row>
        <row r="318">
          <cell r="A318" t="str">
            <v>L0131LNV2</v>
          </cell>
          <cell r="B318" t="str">
            <v>Gft Juice 6 Pk HGln Nutrition Version 2</v>
          </cell>
          <cell r="E318" t="str">
            <v>Label</v>
          </cell>
          <cell r="F318" t="str">
            <v>EA</v>
          </cell>
          <cell r="G318">
            <v>10000</v>
          </cell>
          <cell r="H318">
            <v>100000</v>
          </cell>
          <cell r="I318">
            <v>0.1</v>
          </cell>
          <cell r="J318">
            <v>6</v>
          </cell>
          <cell r="K318">
            <v>0.60000000000000009</v>
          </cell>
          <cell r="L318">
            <v>2.60876254305624</v>
          </cell>
          <cell r="M318">
            <v>1.5652575258337439E-4</v>
          </cell>
        </row>
        <row r="319">
          <cell r="A319" t="str">
            <v>L0131LV2</v>
          </cell>
          <cell r="B319" t="str">
            <v>Gft Juice 6 Pk HGln Version 2</v>
          </cell>
          <cell r="E319" t="str">
            <v>Label</v>
          </cell>
          <cell r="F319" t="str">
            <v>EA</v>
          </cell>
          <cell r="G319">
            <v>20000</v>
          </cell>
          <cell r="H319">
            <v>100000</v>
          </cell>
          <cell r="I319">
            <v>0.2</v>
          </cell>
          <cell r="J319">
            <v>6</v>
          </cell>
          <cell r="K319">
            <v>1.2000000000000002</v>
          </cell>
          <cell r="L319">
            <v>2.60876254305624</v>
          </cell>
          <cell r="M319">
            <v>1.5652575258337439E-4</v>
          </cell>
        </row>
        <row r="320">
          <cell r="A320" t="str">
            <v>L01333</v>
          </cell>
          <cell r="B320" t="str">
            <v>Snooze Orange Juice Gln RTS</v>
          </cell>
          <cell r="E320" t="str">
            <v>Label</v>
          </cell>
          <cell r="F320" t="str">
            <v>EA</v>
          </cell>
          <cell r="G320">
            <v>63883</v>
          </cell>
          <cell r="H320">
            <v>100000</v>
          </cell>
          <cell r="I320">
            <v>0.63883000000000001</v>
          </cell>
          <cell r="J320">
            <v>6</v>
          </cell>
          <cell r="K320">
            <v>3.8329800000000001</v>
          </cell>
          <cell r="L320">
            <v>2.60876254305624</v>
          </cell>
          <cell r="M320">
            <v>1.5652575258337439E-4</v>
          </cell>
        </row>
        <row r="321">
          <cell r="A321" t="str">
            <v>L01333N</v>
          </cell>
          <cell r="B321" t="str">
            <v>Snooze Orange Juice Gln RTS Nutrition</v>
          </cell>
          <cell r="E321" t="str">
            <v>Label</v>
          </cell>
          <cell r="F321" t="str">
            <v>EA</v>
          </cell>
          <cell r="G321">
            <v>63885</v>
          </cell>
          <cell r="H321">
            <v>100000</v>
          </cell>
          <cell r="I321">
            <v>0.63885000000000003</v>
          </cell>
          <cell r="J321">
            <v>6</v>
          </cell>
          <cell r="K321">
            <v>3.8331</v>
          </cell>
          <cell r="L321">
            <v>2.60876254305624</v>
          </cell>
          <cell r="M321">
            <v>1.5652575258337439E-4</v>
          </cell>
        </row>
        <row r="322">
          <cell r="A322" t="str">
            <v>L01372V4</v>
          </cell>
          <cell r="B322" t="str">
            <v>SO Limeade 3+1 Fzn HGln V4</v>
          </cell>
          <cell r="E322" t="str">
            <v>Label</v>
          </cell>
          <cell r="F322" t="str">
            <v>EA</v>
          </cell>
          <cell r="G322">
            <v>20000</v>
          </cell>
          <cell r="H322">
            <v>100000</v>
          </cell>
          <cell r="I322">
            <v>0.2</v>
          </cell>
          <cell r="J322">
            <v>6</v>
          </cell>
          <cell r="K322">
            <v>1.2000000000000002</v>
          </cell>
          <cell r="L322">
            <v>2.60876254305624</v>
          </cell>
          <cell r="M322">
            <v>1.5652575258337439E-4</v>
          </cell>
        </row>
        <row r="323">
          <cell r="A323" t="str">
            <v>L01378</v>
          </cell>
          <cell r="B323" t="str">
            <v>SO Limeade RTS Gln</v>
          </cell>
          <cell r="E323" t="str">
            <v>Label</v>
          </cell>
          <cell r="F323" t="str">
            <v>EA</v>
          </cell>
          <cell r="G323">
            <v>10000</v>
          </cell>
          <cell r="H323">
            <v>100000</v>
          </cell>
          <cell r="I323">
            <v>0.1</v>
          </cell>
          <cell r="J323">
            <v>6</v>
          </cell>
          <cell r="K323">
            <v>0.60000000000000009</v>
          </cell>
          <cell r="L323">
            <v>2.60876254305624</v>
          </cell>
          <cell r="M323">
            <v>1.5652575258337439E-4</v>
          </cell>
        </row>
        <row r="324">
          <cell r="A324" t="str">
            <v>L01652F</v>
          </cell>
          <cell r="B324" t="str">
            <v>SOI Sweet &amp; Sour Mix 3+1</v>
          </cell>
          <cell r="E324" t="str">
            <v>Label</v>
          </cell>
          <cell r="F324" t="str">
            <v>EA</v>
          </cell>
          <cell r="G324">
            <v>0</v>
          </cell>
          <cell r="H324">
            <v>100000</v>
          </cell>
          <cell r="I324">
            <v>0</v>
          </cell>
          <cell r="J324">
            <v>6</v>
          </cell>
          <cell r="K324">
            <v>0</v>
          </cell>
          <cell r="L324">
            <v>2.60876254305624</v>
          </cell>
          <cell r="M324">
            <v>1.5652575258337439E-4</v>
          </cell>
        </row>
        <row r="325">
          <cell r="A325" t="str">
            <v>L01652FNV2</v>
          </cell>
          <cell r="B325" t="str">
            <v>SOI Sweet &amp; Sour Mix 3+1 Nutrition V2</v>
          </cell>
          <cell r="E325" t="str">
            <v>Label</v>
          </cell>
          <cell r="F325" t="str">
            <v>EA</v>
          </cell>
          <cell r="G325">
            <v>0</v>
          </cell>
          <cell r="H325">
            <v>100000</v>
          </cell>
          <cell r="I325">
            <v>0</v>
          </cell>
          <cell r="J325">
            <v>6</v>
          </cell>
          <cell r="K325">
            <v>0</v>
          </cell>
          <cell r="L325">
            <v>2.60876254305624</v>
          </cell>
          <cell r="M325">
            <v>1.5652575258337439E-4</v>
          </cell>
        </row>
        <row r="326">
          <cell r="A326" t="str">
            <v>L01672FV2</v>
          </cell>
          <cell r="B326" t="str">
            <v>Apple Cider 61.5oz FZN V2</v>
          </cell>
          <cell r="E326" t="str">
            <v>Label</v>
          </cell>
          <cell r="F326" t="str">
            <v>EA</v>
          </cell>
          <cell r="G326">
            <v>0</v>
          </cell>
          <cell r="H326">
            <v>100000</v>
          </cell>
          <cell r="I326">
            <v>0</v>
          </cell>
          <cell r="J326">
            <v>6</v>
          </cell>
          <cell r="K326">
            <v>0</v>
          </cell>
          <cell r="L326">
            <v>2.60876254305624</v>
          </cell>
          <cell r="M326">
            <v>1.5652575258337439E-4</v>
          </cell>
        </row>
        <row r="327">
          <cell r="A327" t="str">
            <v>L01672NFV2</v>
          </cell>
          <cell r="B327" t="str">
            <v>Apple Cider Nut 61.5oz FZN V2</v>
          </cell>
          <cell r="E327" t="str">
            <v>Label</v>
          </cell>
          <cell r="F327" t="str">
            <v>EA</v>
          </cell>
          <cell r="G327">
            <v>0</v>
          </cell>
          <cell r="H327">
            <v>100000</v>
          </cell>
          <cell r="I327">
            <v>0</v>
          </cell>
          <cell r="J327">
            <v>6</v>
          </cell>
          <cell r="K327">
            <v>0</v>
          </cell>
          <cell r="L327">
            <v>2.60876254305624</v>
          </cell>
          <cell r="M327">
            <v>1.5652575258337439E-4</v>
          </cell>
        </row>
        <row r="328">
          <cell r="A328" t="str">
            <v>L01860</v>
          </cell>
          <cell r="B328" t="str">
            <v>SOI Pineapple Juice 30.5oz [L01860]</v>
          </cell>
          <cell r="E328" t="str">
            <v>Label</v>
          </cell>
          <cell r="F328" t="str">
            <v>EA</v>
          </cell>
          <cell r="G328">
            <v>0</v>
          </cell>
          <cell r="H328">
            <v>100000</v>
          </cell>
          <cell r="I328">
            <v>0</v>
          </cell>
          <cell r="J328">
            <v>6</v>
          </cell>
          <cell r="K328">
            <v>0</v>
          </cell>
          <cell r="L328">
            <v>2.60876254305624</v>
          </cell>
          <cell r="M328">
            <v>1.5652575258337439E-4</v>
          </cell>
        </row>
        <row r="329">
          <cell r="A329" t="str">
            <v>L02020</v>
          </cell>
          <cell r="B329" t="str">
            <v>SO Bloody Mary Mix 64oz</v>
          </cell>
          <cell r="E329" t="str">
            <v>Label</v>
          </cell>
          <cell r="F329" t="str">
            <v>EA</v>
          </cell>
          <cell r="G329">
            <v>30000</v>
          </cell>
          <cell r="H329">
            <v>100000</v>
          </cell>
          <cell r="I329">
            <v>0.3</v>
          </cell>
          <cell r="J329">
            <v>6</v>
          </cell>
          <cell r="K329">
            <v>1.7999999999999998</v>
          </cell>
          <cell r="L329">
            <v>2.60876254305624</v>
          </cell>
          <cell r="M329">
            <v>1.5652575258337439E-4</v>
          </cell>
        </row>
        <row r="330">
          <cell r="A330" t="str">
            <v>L02020V2</v>
          </cell>
          <cell r="B330" t="str">
            <v>SO Bloody Mary Mix 64oz Version 2</v>
          </cell>
          <cell r="E330" t="str">
            <v>Label</v>
          </cell>
          <cell r="F330" t="str">
            <v>EA</v>
          </cell>
          <cell r="G330">
            <v>20000</v>
          </cell>
          <cell r="H330">
            <v>100000</v>
          </cell>
          <cell r="I330">
            <v>0.2</v>
          </cell>
          <cell r="J330">
            <v>6</v>
          </cell>
          <cell r="K330">
            <v>1.2000000000000002</v>
          </cell>
          <cell r="L330">
            <v>2.60876254305624</v>
          </cell>
          <cell r="M330">
            <v>1.5652575258337439E-4</v>
          </cell>
        </row>
        <row r="331">
          <cell r="A331" t="str">
            <v>L02112V2</v>
          </cell>
          <cell r="B331" t="str">
            <v>Old Fashioned Lemonade Mix V2</v>
          </cell>
          <cell r="E331" t="str">
            <v>Label</v>
          </cell>
          <cell r="F331" t="str">
            <v>EA</v>
          </cell>
          <cell r="G331">
            <v>35000</v>
          </cell>
          <cell r="H331">
            <v>100000</v>
          </cell>
          <cell r="I331">
            <v>0.35</v>
          </cell>
          <cell r="J331">
            <v>6</v>
          </cell>
          <cell r="K331">
            <v>2.0999999999999996</v>
          </cell>
          <cell r="L331">
            <v>2.60876254305624</v>
          </cell>
          <cell r="M331">
            <v>1.5652575258337439E-4</v>
          </cell>
        </row>
        <row r="332">
          <cell r="A332" t="str">
            <v>L02132V3</v>
          </cell>
          <cell r="B332" t="str">
            <v>LA 3+1 Gln v.3</v>
          </cell>
          <cell r="E332" t="str">
            <v>Label</v>
          </cell>
          <cell r="F332" t="str">
            <v>EA</v>
          </cell>
          <cell r="G332">
            <v>20000</v>
          </cell>
          <cell r="H332">
            <v>100000</v>
          </cell>
          <cell r="I332">
            <v>0.2</v>
          </cell>
          <cell r="J332">
            <v>6</v>
          </cell>
          <cell r="K332">
            <v>1.2000000000000002</v>
          </cell>
          <cell r="L332">
            <v>2.60876254305624</v>
          </cell>
          <cell r="M332">
            <v>1.5652575258337439E-4</v>
          </cell>
        </row>
        <row r="333">
          <cell r="A333" t="str">
            <v>L02132V4</v>
          </cell>
          <cell r="B333" t="str">
            <v>LA 3+1 Gln Version 4</v>
          </cell>
          <cell r="E333" t="str">
            <v>Label</v>
          </cell>
          <cell r="F333" t="str">
            <v>EA</v>
          </cell>
          <cell r="G333">
            <v>30000</v>
          </cell>
          <cell r="H333">
            <v>100000</v>
          </cell>
          <cell r="I333">
            <v>0.3</v>
          </cell>
          <cell r="J333">
            <v>6</v>
          </cell>
          <cell r="K333">
            <v>1.7999999999999998</v>
          </cell>
          <cell r="L333">
            <v>2.60876254305624</v>
          </cell>
          <cell r="M333">
            <v>1.5652575258337439E-4</v>
          </cell>
        </row>
        <row r="334">
          <cell r="A334" t="str">
            <v>L030312V2</v>
          </cell>
          <cell r="B334" t="str">
            <v>Sysco Lemon Juice Gln v.2</v>
          </cell>
          <cell r="E334" t="str">
            <v>Label</v>
          </cell>
          <cell r="F334" t="str">
            <v>EA</v>
          </cell>
          <cell r="G334">
            <v>234825</v>
          </cell>
          <cell r="H334">
            <v>100000</v>
          </cell>
          <cell r="I334">
            <v>2.3482500000000002</v>
          </cell>
          <cell r="J334">
            <v>6</v>
          </cell>
          <cell r="K334">
            <v>14.089500000000001</v>
          </cell>
          <cell r="L334">
            <v>2.60876254305624</v>
          </cell>
          <cell r="M334">
            <v>1.5652575258337439E-4</v>
          </cell>
        </row>
        <row r="335">
          <cell r="A335" t="str">
            <v>L03032</v>
          </cell>
          <cell r="B335" t="str">
            <v>Lemon Juice HGln</v>
          </cell>
          <cell r="E335" t="str">
            <v>Label</v>
          </cell>
          <cell r="F335" t="str">
            <v>EA</v>
          </cell>
          <cell r="G335">
            <v>305000</v>
          </cell>
          <cell r="H335">
            <v>100000</v>
          </cell>
          <cell r="I335">
            <v>3.05</v>
          </cell>
          <cell r="J335">
            <v>6</v>
          </cell>
          <cell r="K335">
            <v>18.299999999999997</v>
          </cell>
          <cell r="L335">
            <v>2.60876254305624</v>
          </cell>
          <cell r="M335">
            <v>1.5652575258337439E-4</v>
          </cell>
        </row>
        <row r="336">
          <cell r="A336" t="str">
            <v>L030412</v>
          </cell>
          <cell r="B336" t="str">
            <v>Sysco Lime Juice Gln v1.</v>
          </cell>
          <cell r="E336" t="str">
            <v>Label</v>
          </cell>
          <cell r="F336" t="str">
            <v>EA</v>
          </cell>
          <cell r="G336">
            <v>280000</v>
          </cell>
          <cell r="H336">
            <v>100000</v>
          </cell>
          <cell r="I336">
            <v>2.8</v>
          </cell>
          <cell r="J336">
            <v>6</v>
          </cell>
          <cell r="K336">
            <v>16.799999999999997</v>
          </cell>
          <cell r="L336">
            <v>2.60876254305624</v>
          </cell>
          <cell r="M336">
            <v>1.5652575258337439E-4</v>
          </cell>
        </row>
        <row r="337">
          <cell r="A337" t="str">
            <v>L03043</v>
          </cell>
          <cell r="B337" t="str">
            <v>Lime Juice Qt [L03043]</v>
          </cell>
          <cell r="E337" t="str">
            <v>Label</v>
          </cell>
          <cell r="F337" t="str">
            <v>EA</v>
          </cell>
          <cell r="G337">
            <v>529795</v>
          </cell>
          <cell r="H337">
            <v>100000</v>
          </cell>
          <cell r="I337">
            <v>5.2979500000000002</v>
          </cell>
          <cell r="J337">
            <v>6</v>
          </cell>
          <cell r="K337">
            <v>31.787700000000001</v>
          </cell>
          <cell r="L337">
            <v>2.60876254305624</v>
          </cell>
          <cell r="M337">
            <v>1.5652575258337439E-4</v>
          </cell>
        </row>
        <row r="338">
          <cell r="A338" t="str">
            <v>L03101</v>
          </cell>
          <cell r="B338" t="str">
            <v>LA Gln</v>
          </cell>
          <cell r="E338" t="str">
            <v>Label</v>
          </cell>
          <cell r="F338" t="str">
            <v>EA</v>
          </cell>
          <cell r="G338">
            <v>230000</v>
          </cell>
          <cell r="H338">
            <v>100000</v>
          </cell>
          <cell r="I338">
            <v>2.2999999999999998</v>
          </cell>
          <cell r="J338">
            <v>6</v>
          </cell>
          <cell r="K338">
            <v>13.799999999999999</v>
          </cell>
          <cell r="L338">
            <v>2.60876254305624</v>
          </cell>
          <cell r="M338">
            <v>1.5652575258337439E-4</v>
          </cell>
        </row>
        <row r="339">
          <cell r="A339" t="str">
            <v>L03301</v>
          </cell>
          <cell r="B339" t="str">
            <v>Orange Juice Gln</v>
          </cell>
          <cell r="E339" t="str">
            <v>Label</v>
          </cell>
          <cell r="F339" t="str">
            <v>EA</v>
          </cell>
          <cell r="G339">
            <v>830516</v>
          </cell>
          <cell r="H339">
            <v>100000</v>
          </cell>
          <cell r="I339">
            <v>8.3051600000000008</v>
          </cell>
          <cell r="J339">
            <v>6</v>
          </cell>
          <cell r="K339">
            <v>49.830960000000005</v>
          </cell>
          <cell r="L339">
            <v>2.60876254305624</v>
          </cell>
          <cell r="M339">
            <v>1.5652575258337439E-4</v>
          </cell>
        </row>
        <row r="340">
          <cell r="A340" t="str">
            <v>L03301NP</v>
          </cell>
          <cell r="B340" t="str">
            <v>NP Orange Juice Gln v1.</v>
          </cell>
          <cell r="E340" t="str">
            <v>Label</v>
          </cell>
          <cell r="F340" t="str">
            <v>EA</v>
          </cell>
          <cell r="G340">
            <v>330000</v>
          </cell>
          <cell r="H340">
            <v>100000</v>
          </cell>
          <cell r="I340">
            <v>3.3</v>
          </cell>
          <cell r="J340">
            <v>6</v>
          </cell>
          <cell r="K340">
            <v>19.799999999999997</v>
          </cell>
          <cell r="L340">
            <v>2.60876254305624</v>
          </cell>
          <cell r="M340">
            <v>1.5652575258337439E-4</v>
          </cell>
        </row>
        <row r="341">
          <cell r="A341" t="str">
            <v>L03312</v>
          </cell>
          <cell r="B341" t="str">
            <v>Gft Juice HGln</v>
          </cell>
          <cell r="E341" t="str">
            <v>Label</v>
          </cell>
          <cell r="F341" t="str">
            <v>EA</v>
          </cell>
          <cell r="G341">
            <v>0</v>
          </cell>
          <cell r="H341">
            <v>100000</v>
          </cell>
          <cell r="I341">
            <v>0</v>
          </cell>
          <cell r="J341">
            <v>6</v>
          </cell>
          <cell r="K341">
            <v>0</v>
          </cell>
          <cell r="L341">
            <v>2.60876254305624</v>
          </cell>
          <cell r="M341">
            <v>1.5652575258337439E-4</v>
          </cell>
        </row>
        <row r="342">
          <cell r="A342" t="str">
            <v>L03390</v>
          </cell>
          <cell r="B342" t="str">
            <v>Blueberry Lavender Tea 6pk/64oz</v>
          </cell>
          <cell r="E342" t="str">
            <v>Label</v>
          </cell>
          <cell r="F342" t="str">
            <v>EA</v>
          </cell>
          <cell r="G342">
            <v>20000</v>
          </cell>
          <cell r="H342">
            <v>100000</v>
          </cell>
          <cell r="I342">
            <v>0.2</v>
          </cell>
          <cell r="J342">
            <v>6</v>
          </cell>
          <cell r="K342">
            <v>1.2000000000000002</v>
          </cell>
          <cell r="L342">
            <v>2.60876254305624</v>
          </cell>
          <cell r="M342">
            <v>1.5652575258337439E-4</v>
          </cell>
        </row>
        <row r="343">
          <cell r="A343" t="str">
            <v>L03390N</v>
          </cell>
          <cell r="B343" t="str">
            <v>Blueberry Lavender Tea 6pk/64oz Nutrition</v>
          </cell>
          <cell r="E343" t="str">
            <v>Label</v>
          </cell>
          <cell r="F343" t="str">
            <v>EA</v>
          </cell>
          <cell r="G343">
            <v>40000</v>
          </cell>
          <cell r="H343">
            <v>100000</v>
          </cell>
          <cell r="I343">
            <v>0.4</v>
          </cell>
          <cell r="J343">
            <v>6</v>
          </cell>
          <cell r="K343">
            <v>2.4000000000000004</v>
          </cell>
          <cell r="L343">
            <v>2.60876254305624</v>
          </cell>
          <cell r="M343">
            <v>1.5652575258337439E-4</v>
          </cell>
        </row>
        <row r="344">
          <cell r="A344" t="str">
            <v>L03390NV2</v>
          </cell>
          <cell r="B344" t="str">
            <v>Blueberry Lavender Tea 6pk/64oz Nutrition V2</v>
          </cell>
          <cell r="E344" t="str">
            <v>Label</v>
          </cell>
          <cell r="F344" t="str">
            <v>EA</v>
          </cell>
          <cell r="G344">
            <v>20000</v>
          </cell>
          <cell r="H344">
            <v>100000</v>
          </cell>
          <cell r="I344">
            <v>0.2</v>
          </cell>
          <cell r="J344">
            <v>6</v>
          </cell>
          <cell r="K344">
            <v>1.2000000000000002</v>
          </cell>
          <cell r="L344">
            <v>2.60876254305624</v>
          </cell>
          <cell r="M344">
            <v>1.5652575258337439E-4</v>
          </cell>
        </row>
        <row r="345">
          <cell r="A345" t="str">
            <v>L03391</v>
          </cell>
          <cell r="B345" t="str">
            <v>Peach Honey Chamomile Tea 6pk/64oz</v>
          </cell>
          <cell r="E345" t="str">
            <v>Label</v>
          </cell>
          <cell r="F345" t="str">
            <v>EA</v>
          </cell>
          <cell r="G345">
            <v>20000</v>
          </cell>
          <cell r="H345">
            <v>100000</v>
          </cell>
          <cell r="I345">
            <v>0.2</v>
          </cell>
          <cell r="J345">
            <v>6</v>
          </cell>
          <cell r="K345">
            <v>1.2000000000000002</v>
          </cell>
          <cell r="L345">
            <v>2.60876254305624</v>
          </cell>
          <cell r="M345">
            <v>1.5652575258337439E-4</v>
          </cell>
        </row>
        <row r="346">
          <cell r="A346" t="str">
            <v>L03391N</v>
          </cell>
          <cell r="B346" t="str">
            <v>Peach Honey Chamomile Tea 6pk/64oz Nutrition</v>
          </cell>
          <cell r="E346" t="str">
            <v>Label</v>
          </cell>
          <cell r="F346" t="str">
            <v>EA</v>
          </cell>
          <cell r="G346">
            <v>40000</v>
          </cell>
          <cell r="H346">
            <v>100000</v>
          </cell>
          <cell r="I346">
            <v>0.4</v>
          </cell>
          <cell r="J346">
            <v>6</v>
          </cell>
          <cell r="K346">
            <v>2.4000000000000004</v>
          </cell>
          <cell r="L346">
            <v>2.60876254305624</v>
          </cell>
          <cell r="M346">
            <v>1.5652575258337439E-4</v>
          </cell>
        </row>
        <row r="347">
          <cell r="A347" t="str">
            <v>L03391NV2</v>
          </cell>
          <cell r="B347" t="str">
            <v>Peach Honey Chamomile Tea 6pk/64oz Nutrition V2</v>
          </cell>
          <cell r="E347" t="str">
            <v>Label</v>
          </cell>
          <cell r="F347" t="str">
            <v>EA</v>
          </cell>
          <cell r="G347">
            <v>20000</v>
          </cell>
          <cell r="H347">
            <v>100000</v>
          </cell>
          <cell r="I347">
            <v>0.2</v>
          </cell>
          <cell r="J347">
            <v>6</v>
          </cell>
          <cell r="K347">
            <v>1.2000000000000002</v>
          </cell>
          <cell r="L347">
            <v>2.60876254305624</v>
          </cell>
          <cell r="M347">
            <v>1.5652575258337439E-4</v>
          </cell>
        </row>
        <row r="348">
          <cell r="A348" t="str">
            <v>L038503</v>
          </cell>
          <cell r="B348" t="str">
            <v>Pineapple Juice 32oz [L038503]</v>
          </cell>
          <cell r="E348" t="str">
            <v>Label</v>
          </cell>
          <cell r="F348" t="str">
            <v>EA</v>
          </cell>
          <cell r="G348">
            <v>0</v>
          </cell>
          <cell r="H348">
            <v>100000</v>
          </cell>
          <cell r="I348">
            <v>0</v>
          </cell>
          <cell r="J348">
            <v>6</v>
          </cell>
          <cell r="K348">
            <v>0</v>
          </cell>
          <cell r="L348">
            <v>2.60876254305624</v>
          </cell>
          <cell r="M348">
            <v>1.5652575258337439E-4</v>
          </cell>
        </row>
        <row r="349">
          <cell r="A349" t="str">
            <v>L06031</v>
          </cell>
          <cell r="B349" t="str">
            <v>Lemon Juice Gln</v>
          </cell>
          <cell r="E349" t="str">
            <v>Label</v>
          </cell>
          <cell r="F349" t="str">
            <v>EA</v>
          </cell>
          <cell r="G349">
            <v>0</v>
          </cell>
          <cell r="H349">
            <v>100000</v>
          </cell>
          <cell r="I349">
            <v>0</v>
          </cell>
          <cell r="J349">
            <v>6</v>
          </cell>
          <cell r="K349">
            <v>0</v>
          </cell>
          <cell r="L349">
            <v>2.60876254305624</v>
          </cell>
          <cell r="M349">
            <v>1.5652575258337439E-4</v>
          </cell>
        </row>
        <row r="350">
          <cell r="A350" t="str">
            <v>L06031V2</v>
          </cell>
          <cell r="B350" t="str">
            <v>Lemon Juice Gln V2</v>
          </cell>
          <cell r="E350" t="str">
            <v>Label</v>
          </cell>
          <cell r="F350" t="str">
            <v>EA</v>
          </cell>
          <cell r="G350">
            <v>120000</v>
          </cell>
          <cell r="H350">
            <v>100000</v>
          </cell>
          <cell r="I350">
            <v>1.2</v>
          </cell>
          <cell r="J350">
            <v>6</v>
          </cell>
          <cell r="K350">
            <v>7.1999999999999993</v>
          </cell>
          <cell r="L350">
            <v>2.60876254305624</v>
          </cell>
          <cell r="M350">
            <v>1.5652575258337439E-4</v>
          </cell>
        </row>
        <row r="351">
          <cell r="A351" t="str">
            <v>L06032</v>
          </cell>
          <cell r="B351" t="str">
            <v>Lemon Juice HGln</v>
          </cell>
          <cell r="E351" t="str">
            <v>Label</v>
          </cell>
          <cell r="F351" t="str">
            <v>EA</v>
          </cell>
          <cell r="G351">
            <v>0</v>
          </cell>
          <cell r="H351">
            <v>100000</v>
          </cell>
          <cell r="I351">
            <v>0</v>
          </cell>
          <cell r="J351">
            <v>6</v>
          </cell>
          <cell r="K351">
            <v>0</v>
          </cell>
          <cell r="L351">
            <v>2.60876254305624</v>
          </cell>
          <cell r="M351">
            <v>1.5652575258337439E-4</v>
          </cell>
        </row>
        <row r="352">
          <cell r="A352" t="str">
            <v>L06032V2</v>
          </cell>
          <cell r="B352" t="str">
            <v>Lemon Juice HGln V2</v>
          </cell>
          <cell r="E352" t="str">
            <v>Label</v>
          </cell>
          <cell r="F352" t="str">
            <v>EA</v>
          </cell>
          <cell r="G352">
            <v>420000</v>
          </cell>
          <cell r="H352">
            <v>100000</v>
          </cell>
          <cell r="I352">
            <v>4.2</v>
          </cell>
          <cell r="J352">
            <v>6</v>
          </cell>
          <cell r="K352">
            <v>25.200000000000003</v>
          </cell>
          <cell r="L352">
            <v>2.60876254305624</v>
          </cell>
          <cell r="M352">
            <v>1.5652575258337439E-4</v>
          </cell>
        </row>
        <row r="353">
          <cell r="A353" t="str">
            <v>L06041</v>
          </cell>
          <cell r="B353" t="str">
            <v>Lime Juice Gln [L06041]</v>
          </cell>
          <cell r="E353" t="str">
            <v>Label</v>
          </cell>
          <cell r="F353" t="str">
            <v>EA</v>
          </cell>
          <cell r="G353">
            <v>0</v>
          </cell>
          <cell r="H353">
            <v>100000</v>
          </cell>
          <cell r="I353">
            <v>0</v>
          </cell>
          <cell r="J353">
            <v>6</v>
          </cell>
          <cell r="K353">
            <v>0</v>
          </cell>
          <cell r="L353">
            <v>2.60876254305624</v>
          </cell>
          <cell r="M353">
            <v>1.5652575258337439E-4</v>
          </cell>
        </row>
        <row r="354">
          <cell r="A354" t="str">
            <v>L06041V2</v>
          </cell>
          <cell r="B354" t="str">
            <v>Lime Juice Gln V2</v>
          </cell>
          <cell r="E354" t="str">
            <v>Label</v>
          </cell>
          <cell r="F354" t="str">
            <v>EA</v>
          </cell>
          <cell r="G354">
            <v>215000</v>
          </cell>
          <cell r="H354">
            <v>100000</v>
          </cell>
          <cell r="I354">
            <v>2.15</v>
          </cell>
          <cell r="J354">
            <v>6</v>
          </cell>
          <cell r="K354">
            <v>12.899999999999999</v>
          </cell>
          <cell r="L354">
            <v>2.60876254305624</v>
          </cell>
          <cell r="M354">
            <v>1.5652575258337439E-4</v>
          </cell>
        </row>
        <row r="355">
          <cell r="A355" t="str">
            <v>L06042</v>
          </cell>
          <cell r="B355" t="str">
            <v>Lime Juice HGln [L06042]</v>
          </cell>
          <cell r="E355" t="str">
            <v>Label</v>
          </cell>
          <cell r="F355" t="str">
            <v>EA</v>
          </cell>
          <cell r="G355">
            <v>0</v>
          </cell>
          <cell r="H355">
            <v>100000</v>
          </cell>
          <cell r="I355">
            <v>0</v>
          </cell>
          <cell r="J355">
            <v>6</v>
          </cell>
          <cell r="K355">
            <v>0</v>
          </cell>
          <cell r="L355">
            <v>2.60876254305624</v>
          </cell>
          <cell r="M355">
            <v>1.5652575258337439E-4</v>
          </cell>
        </row>
        <row r="356">
          <cell r="A356" t="str">
            <v>L06042V2</v>
          </cell>
          <cell r="B356" t="str">
            <v>Lime Juice HGln V2</v>
          </cell>
          <cell r="E356" t="str">
            <v>Label</v>
          </cell>
          <cell r="F356" t="str">
            <v>EA</v>
          </cell>
          <cell r="G356">
            <v>550000</v>
          </cell>
          <cell r="H356">
            <v>100000</v>
          </cell>
          <cell r="I356">
            <v>5.5</v>
          </cell>
          <cell r="J356">
            <v>6</v>
          </cell>
          <cell r="K356">
            <v>33</v>
          </cell>
          <cell r="L356">
            <v>2.60876254305624</v>
          </cell>
          <cell r="M356">
            <v>1.5652575258337439E-4</v>
          </cell>
        </row>
        <row r="357">
          <cell r="A357" t="str">
            <v>L06043</v>
          </cell>
          <cell r="B357" t="str">
            <v>Lime Juice Qt</v>
          </cell>
          <cell r="E357" t="str">
            <v>Label</v>
          </cell>
          <cell r="F357" t="str">
            <v>EA</v>
          </cell>
          <cell r="G357">
            <v>0</v>
          </cell>
          <cell r="H357">
            <v>100000</v>
          </cell>
          <cell r="I357">
            <v>0</v>
          </cell>
          <cell r="J357">
            <v>6</v>
          </cell>
          <cell r="K357">
            <v>0</v>
          </cell>
          <cell r="L357">
            <v>2.60876254305624</v>
          </cell>
          <cell r="M357">
            <v>1.5652575258337439E-4</v>
          </cell>
        </row>
        <row r="358">
          <cell r="A358" t="str">
            <v>L06051</v>
          </cell>
          <cell r="B358" t="str">
            <v>Marg Mix Gln</v>
          </cell>
          <cell r="E358" t="str">
            <v>Label</v>
          </cell>
          <cell r="F358" t="str">
            <v>EA</v>
          </cell>
          <cell r="G358">
            <v>0</v>
          </cell>
          <cell r="H358">
            <v>100000</v>
          </cell>
          <cell r="I358">
            <v>0</v>
          </cell>
          <cell r="J358">
            <v>6</v>
          </cell>
          <cell r="K358">
            <v>0</v>
          </cell>
          <cell r="L358">
            <v>2.60876254305624</v>
          </cell>
          <cell r="M358">
            <v>1.5652575258337439E-4</v>
          </cell>
        </row>
        <row r="359">
          <cell r="A359" t="str">
            <v>L06051V2</v>
          </cell>
          <cell r="B359" t="str">
            <v>Marg Mix Gln V2</v>
          </cell>
          <cell r="E359" t="str">
            <v>Label</v>
          </cell>
          <cell r="F359" t="str">
            <v>EA</v>
          </cell>
          <cell r="G359">
            <v>110000</v>
          </cell>
          <cell r="H359">
            <v>100000</v>
          </cell>
          <cell r="I359">
            <v>1.1000000000000001</v>
          </cell>
          <cell r="J359">
            <v>6</v>
          </cell>
          <cell r="K359">
            <v>6.6000000000000005</v>
          </cell>
          <cell r="L359">
            <v>2.60876254305624</v>
          </cell>
          <cell r="M359">
            <v>1.5652575258337439E-4</v>
          </cell>
        </row>
        <row r="360">
          <cell r="A360" t="str">
            <v>L06101</v>
          </cell>
          <cell r="B360" t="str">
            <v>LA Gln</v>
          </cell>
          <cell r="E360" t="str">
            <v>Label</v>
          </cell>
          <cell r="F360" t="str">
            <v>EA</v>
          </cell>
          <cell r="G360">
            <v>0</v>
          </cell>
          <cell r="H360">
            <v>100000</v>
          </cell>
          <cell r="I360">
            <v>0</v>
          </cell>
          <cell r="J360">
            <v>6</v>
          </cell>
          <cell r="K360">
            <v>0</v>
          </cell>
          <cell r="L360">
            <v>2.60876254305624</v>
          </cell>
          <cell r="M360">
            <v>1.5652575258337439E-4</v>
          </cell>
        </row>
        <row r="361">
          <cell r="A361" t="str">
            <v>L06101V2</v>
          </cell>
          <cell r="B361" t="str">
            <v>LA Gln V2</v>
          </cell>
          <cell r="E361" t="str">
            <v>Label</v>
          </cell>
          <cell r="F361" t="str">
            <v>EA</v>
          </cell>
          <cell r="G361">
            <v>195000</v>
          </cell>
          <cell r="H361">
            <v>100000</v>
          </cell>
          <cell r="I361">
            <v>1.95</v>
          </cell>
          <cell r="J361">
            <v>6</v>
          </cell>
          <cell r="K361">
            <v>11.7</v>
          </cell>
          <cell r="L361">
            <v>2.60876254305624</v>
          </cell>
          <cell r="M361">
            <v>1.5652575258337439E-4</v>
          </cell>
        </row>
        <row r="362">
          <cell r="A362" t="str">
            <v>L06301</v>
          </cell>
          <cell r="B362" t="str">
            <v>Orange Juice Gln</v>
          </cell>
          <cell r="E362" t="str">
            <v>Label</v>
          </cell>
          <cell r="F362" t="str">
            <v>EA</v>
          </cell>
          <cell r="G362">
            <v>0</v>
          </cell>
          <cell r="H362">
            <v>100000</v>
          </cell>
          <cell r="I362">
            <v>0</v>
          </cell>
          <cell r="J362">
            <v>6</v>
          </cell>
          <cell r="K362">
            <v>0</v>
          </cell>
          <cell r="L362">
            <v>2.60876254305624</v>
          </cell>
          <cell r="M362">
            <v>1.5652575258337439E-4</v>
          </cell>
        </row>
        <row r="363">
          <cell r="A363" t="str">
            <v>L06301V2</v>
          </cell>
          <cell r="B363" t="str">
            <v>Orange Juice Gln V2</v>
          </cell>
          <cell r="E363" t="str">
            <v>Label</v>
          </cell>
          <cell r="F363" t="str">
            <v>EA</v>
          </cell>
          <cell r="G363">
            <v>700000</v>
          </cell>
          <cell r="H363">
            <v>100000</v>
          </cell>
          <cell r="I363">
            <v>7</v>
          </cell>
          <cell r="J363">
            <v>6</v>
          </cell>
          <cell r="K363">
            <v>42</v>
          </cell>
          <cell r="L363">
            <v>2.60876254305624</v>
          </cell>
          <cell r="M363">
            <v>1.5652575258337439E-4</v>
          </cell>
        </row>
        <row r="364">
          <cell r="A364" t="str">
            <v>L06312</v>
          </cell>
          <cell r="B364" t="str">
            <v>Gft Juice HGln</v>
          </cell>
          <cell r="E364" t="str">
            <v>Label</v>
          </cell>
          <cell r="F364" t="str">
            <v>EA</v>
          </cell>
          <cell r="G364">
            <v>0</v>
          </cell>
          <cell r="H364">
            <v>100000</v>
          </cell>
          <cell r="I364">
            <v>0</v>
          </cell>
          <cell r="J364">
            <v>6</v>
          </cell>
          <cell r="K364">
            <v>0</v>
          </cell>
          <cell r="L364">
            <v>2.60876254305624</v>
          </cell>
          <cell r="M364">
            <v>1.5652575258337439E-4</v>
          </cell>
        </row>
        <row r="365">
          <cell r="A365" t="str">
            <v>L0801</v>
          </cell>
          <cell r="B365" t="str">
            <v>SO Mixed Berry Omija 6+1 HGln 6pk Label</v>
          </cell>
          <cell r="E365" t="str">
            <v>Label</v>
          </cell>
          <cell r="F365" t="str">
            <v>EA</v>
          </cell>
          <cell r="G365">
            <v>0</v>
          </cell>
          <cell r="H365">
            <v>100000</v>
          </cell>
          <cell r="I365">
            <v>0</v>
          </cell>
          <cell r="J365">
            <v>6</v>
          </cell>
          <cell r="K365">
            <v>0</v>
          </cell>
          <cell r="L365">
            <v>2.60876254305624</v>
          </cell>
          <cell r="M365">
            <v>1.5652575258337439E-4</v>
          </cell>
        </row>
        <row r="366">
          <cell r="A366" t="str">
            <v>L11701FV2</v>
          </cell>
          <cell r="B366" t="str">
            <v>Cava Blueberry Lavender Puree Label V2</v>
          </cell>
          <cell r="E366" t="str">
            <v>Label</v>
          </cell>
          <cell r="F366" t="str">
            <v>EA</v>
          </cell>
          <cell r="G366">
            <v>0</v>
          </cell>
          <cell r="H366">
            <v>100000</v>
          </cell>
          <cell r="I366">
            <v>0</v>
          </cell>
          <cell r="J366">
            <v>6</v>
          </cell>
          <cell r="K366">
            <v>0</v>
          </cell>
          <cell r="L366">
            <v>2.60876254305624</v>
          </cell>
          <cell r="M366">
            <v>1.5652575258337439E-4</v>
          </cell>
        </row>
        <row r="367">
          <cell r="A367" t="str">
            <v>L1230LN</v>
          </cell>
          <cell r="B367" t="str">
            <v>Orange Juice Gln Nutrition</v>
          </cell>
          <cell r="E367" t="str">
            <v>Label</v>
          </cell>
          <cell r="F367" t="str">
            <v>EA</v>
          </cell>
          <cell r="G367">
            <v>200000</v>
          </cell>
          <cell r="H367">
            <v>100000</v>
          </cell>
          <cell r="I367">
            <v>2</v>
          </cell>
          <cell r="J367">
            <v>6</v>
          </cell>
          <cell r="K367">
            <v>12</v>
          </cell>
          <cell r="L367">
            <v>2.60876254305624</v>
          </cell>
          <cell r="M367">
            <v>1.5652575258337439E-4</v>
          </cell>
        </row>
        <row r="368">
          <cell r="A368" t="str">
            <v>L1230LNV2</v>
          </cell>
          <cell r="B368" t="str">
            <v>Orange Juice Gln Nutrition Version 2</v>
          </cell>
          <cell r="E368" t="str">
            <v>Label</v>
          </cell>
          <cell r="F368" t="str">
            <v>EA</v>
          </cell>
          <cell r="G368">
            <v>240000</v>
          </cell>
          <cell r="H368">
            <v>100000</v>
          </cell>
          <cell r="I368">
            <v>2.4</v>
          </cell>
          <cell r="J368">
            <v>6</v>
          </cell>
          <cell r="K368">
            <v>14.399999999999999</v>
          </cell>
          <cell r="L368">
            <v>2.60876254305624</v>
          </cell>
          <cell r="M368">
            <v>1.5652575258337439E-4</v>
          </cell>
        </row>
        <row r="369">
          <cell r="A369" t="str">
            <v>L1230LV2</v>
          </cell>
          <cell r="B369" t="str">
            <v>Orange Juice Gln V2</v>
          </cell>
          <cell r="E369" t="str">
            <v>Label</v>
          </cell>
          <cell r="F369" t="str">
            <v>EA</v>
          </cell>
          <cell r="G369">
            <v>215000</v>
          </cell>
          <cell r="H369">
            <v>100000</v>
          </cell>
          <cell r="I369">
            <v>2.15</v>
          </cell>
          <cell r="J369">
            <v>6</v>
          </cell>
          <cell r="K369">
            <v>12.899999999999999</v>
          </cell>
          <cell r="L369">
            <v>2.60876254305624</v>
          </cell>
          <cell r="M369">
            <v>1.5652575258337439E-4</v>
          </cell>
        </row>
        <row r="370">
          <cell r="A370" t="str">
            <v>L1230LV3</v>
          </cell>
          <cell r="B370" t="str">
            <v>Orange Juice Gln Version 3</v>
          </cell>
          <cell r="E370" t="str">
            <v>Label</v>
          </cell>
          <cell r="F370" t="str">
            <v>EA</v>
          </cell>
          <cell r="G370">
            <v>250000</v>
          </cell>
          <cell r="H370">
            <v>100000</v>
          </cell>
          <cell r="I370">
            <v>2.5</v>
          </cell>
          <cell r="J370">
            <v>6</v>
          </cell>
          <cell r="K370">
            <v>15</v>
          </cell>
          <cell r="L370">
            <v>2.60876254305624</v>
          </cell>
          <cell r="M370">
            <v>1.5652575258337439E-4</v>
          </cell>
        </row>
        <row r="371">
          <cell r="A371" t="str">
            <v>L1230NV2</v>
          </cell>
          <cell r="B371" t="str">
            <v>Orange Juice HGln V2</v>
          </cell>
          <cell r="E371" t="str">
            <v>Label</v>
          </cell>
          <cell r="F371" t="str">
            <v>EA</v>
          </cell>
          <cell r="G371">
            <v>0</v>
          </cell>
          <cell r="H371">
            <v>100000</v>
          </cell>
          <cell r="I371">
            <v>0</v>
          </cell>
          <cell r="J371">
            <v>6</v>
          </cell>
          <cell r="K371">
            <v>0</v>
          </cell>
          <cell r="L371">
            <v>2.60876254305624</v>
          </cell>
          <cell r="M371">
            <v>1.5652575258337439E-4</v>
          </cell>
        </row>
        <row r="372">
          <cell r="A372" t="str">
            <v>L14132</v>
          </cell>
          <cell r="B372" t="str">
            <v>LA 3+1 HGln  v2</v>
          </cell>
          <cell r="E372" t="str">
            <v>Label</v>
          </cell>
          <cell r="F372" t="str">
            <v>EA</v>
          </cell>
          <cell r="G372">
            <v>250000</v>
          </cell>
          <cell r="H372">
            <v>100000</v>
          </cell>
          <cell r="I372">
            <v>2.5</v>
          </cell>
          <cell r="J372">
            <v>6</v>
          </cell>
          <cell r="K372">
            <v>15</v>
          </cell>
          <cell r="L372">
            <v>2.60876254305624</v>
          </cell>
          <cell r="M372">
            <v>1.5652575258337439E-4</v>
          </cell>
        </row>
        <row r="373">
          <cell r="A373" t="str">
            <v>L1461</v>
          </cell>
          <cell r="B373" t="str">
            <v>70/30 Lime Lemon Juice Gln v.1 [L1461]</v>
          </cell>
          <cell r="E373" t="str">
            <v>Label</v>
          </cell>
          <cell r="F373" t="str">
            <v>EA</v>
          </cell>
          <cell r="G373">
            <v>750000</v>
          </cell>
          <cell r="H373">
            <v>100000</v>
          </cell>
          <cell r="I373">
            <v>7.5</v>
          </cell>
          <cell r="J373">
            <v>6</v>
          </cell>
          <cell r="K373">
            <v>45</v>
          </cell>
          <cell r="L373">
            <v>2.60876254305624</v>
          </cell>
          <cell r="M373">
            <v>1.5652575258337439E-4</v>
          </cell>
        </row>
        <row r="374">
          <cell r="A374" t="str">
            <v>L1461V2</v>
          </cell>
          <cell r="B374" t="str">
            <v>70/30 Lime Lemon Juice Gln Version 2</v>
          </cell>
          <cell r="E374" t="str">
            <v>Label</v>
          </cell>
          <cell r="F374" t="str">
            <v>EA</v>
          </cell>
          <cell r="G374">
            <v>60000</v>
          </cell>
          <cell r="H374">
            <v>100000</v>
          </cell>
          <cell r="I374">
            <v>0.6</v>
          </cell>
          <cell r="J374">
            <v>6</v>
          </cell>
          <cell r="K374">
            <v>3.5999999999999996</v>
          </cell>
          <cell r="L374">
            <v>2.60876254305624</v>
          </cell>
          <cell r="M374">
            <v>1.5652575258337439E-4</v>
          </cell>
        </row>
        <row r="375">
          <cell r="A375" t="str">
            <v>L1919F</v>
          </cell>
          <cell r="B375" t="str">
            <v>LA 4+1 HGln FZN Label</v>
          </cell>
          <cell r="E375" t="str">
            <v>Label</v>
          </cell>
          <cell r="F375" t="str">
            <v>EA</v>
          </cell>
          <cell r="G375">
            <v>0</v>
          </cell>
          <cell r="H375">
            <v>100000</v>
          </cell>
          <cell r="I375">
            <v>0</v>
          </cell>
          <cell r="J375">
            <v>6</v>
          </cell>
          <cell r="K375">
            <v>0</v>
          </cell>
          <cell r="L375">
            <v>2.60876254305624</v>
          </cell>
          <cell r="M375">
            <v>1.5652575258337439E-4</v>
          </cell>
        </row>
        <row r="376">
          <cell r="A376" t="str">
            <v>L1919LV2</v>
          </cell>
          <cell r="B376" t="str">
            <v>FB LA 4+1 Gln V2</v>
          </cell>
          <cell r="E376" t="str">
            <v>Label</v>
          </cell>
          <cell r="F376" t="str">
            <v>EA</v>
          </cell>
          <cell r="G376">
            <v>0</v>
          </cell>
          <cell r="H376">
            <v>100000</v>
          </cell>
          <cell r="I376">
            <v>0</v>
          </cell>
          <cell r="J376">
            <v>6</v>
          </cell>
          <cell r="K376">
            <v>0</v>
          </cell>
          <cell r="L376">
            <v>2.60876254305624</v>
          </cell>
          <cell r="M376">
            <v>1.5652575258337439E-4</v>
          </cell>
        </row>
        <row r="377">
          <cell r="A377" t="str">
            <v>L21121FV2</v>
          </cell>
          <cell r="B377" t="str">
            <v>LA 4+1 Gln Fzn v2</v>
          </cell>
          <cell r="E377" t="str">
            <v>Label</v>
          </cell>
          <cell r="F377" t="str">
            <v>EA</v>
          </cell>
          <cell r="G377">
            <v>0</v>
          </cell>
          <cell r="H377">
            <v>100000</v>
          </cell>
          <cell r="I377">
            <v>0</v>
          </cell>
          <cell r="J377">
            <v>6</v>
          </cell>
          <cell r="K377">
            <v>0</v>
          </cell>
          <cell r="L377">
            <v>2.60876254305624</v>
          </cell>
          <cell r="M377">
            <v>1.5652575258337439E-4</v>
          </cell>
        </row>
        <row r="378">
          <cell r="A378" t="str">
            <v>L21121FV3</v>
          </cell>
          <cell r="B378" t="str">
            <v>LA 4+1 Gln Fzn V3</v>
          </cell>
          <cell r="E378" t="str">
            <v>Label</v>
          </cell>
          <cell r="F378" t="str">
            <v>EA</v>
          </cell>
          <cell r="G378">
            <v>160000</v>
          </cell>
          <cell r="H378">
            <v>100000</v>
          </cell>
          <cell r="I378">
            <v>1.6</v>
          </cell>
          <cell r="J378">
            <v>6</v>
          </cell>
          <cell r="K378">
            <v>9.6000000000000014</v>
          </cell>
          <cell r="L378">
            <v>2.60876254305624</v>
          </cell>
          <cell r="M378">
            <v>1.5652575258337439E-4</v>
          </cell>
        </row>
        <row r="379">
          <cell r="A379" t="str">
            <v>L21121V2</v>
          </cell>
          <cell r="B379" t="str">
            <v>LA 4+1 Gln v2</v>
          </cell>
          <cell r="E379" t="str">
            <v>Label</v>
          </cell>
          <cell r="F379" t="str">
            <v>EA</v>
          </cell>
          <cell r="G379">
            <v>0</v>
          </cell>
          <cell r="H379">
            <v>100000</v>
          </cell>
          <cell r="I379">
            <v>0</v>
          </cell>
          <cell r="J379">
            <v>6</v>
          </cell>
          <cell r="K379">
            <v>0</v>
          </cell>
          <cell r="L379">
            <v>2.60876254305624</v>
          </cell>
          <cell r="M379">
            <v>1.5652575258337439E-4</v>
          </cell>
        </row>
        <row r="380">
          <cell r="A380" t="str">
            <v>L3114519V3</v>
          </cell>
          <cell r="B380" t="str">
            <v>MM Reduced Sugar &amp; added Fiber Green Smoothie Label V3</v>
          </cell>
          <cell r="E380" t="str">
            <v>Label</v>
          </cell>
          <cell r="F380" t="str">
            <v>EA</v>
          </cell>
          <cell r="G380">
            <v>0</v>
          </cell>
          <cell r="H380">
            <v>100000</v>
          </cell>
          <cell r="I380">
            <v>0</v>
          </cell>
          <cell r="J380">
            <v>6</v>
          </cell>
          <cell r="K380">
            <v>0</v>
          </cell>
          <cell r="L380">
            <v>2.60876254305624</v>
          </cell>
          <cell r="M380">
            <v>1.5652575258337439E-4</v>
          </cell>
        </row>
        <row r="381">
          <cell r="A381" t="str">
            <v>L3114719V3</v>
          </cell>
          <cell r="B381" t="str">
            <v>MM Reduced Sugar &amp; added Fiber Strw Banana Smoothie Label V3</v>
          </cell>
          <cell r="E381" t="str">
            <v>Label</v>
          </cell>
          <cell r="F381" t="str">
            <v>EA</v>
          </cell>
          <cell r="G381">
            <v>0</v>
          </cell>
          <cell r="H381">
            <v>100000</v>
          </cell>
          <cell r="I381">
            <v>0</v>
          </cell>
          <cell r="J381">
            <v>6</v>
          </cell>
          <cell r="K381">
            <v>0</v>
          </cell>
          <cell r="L381">
            <v>2.60876254305624</v>
          </cell>
          <cell r="M381">
            <v>1.5652575258337439E-4</v>
          </cell>
        </row>
        <row r="382">
          <cell r="A382" t="str">
            <v>L4141</v>
          </cell>
          <cell r="B382" t="str">
            <v>Natural Brands Lemon Juice Gln</v>
          </cell>
          <cell r="E382" t="str">
            <v>Label</v>
          </cell>
          <cell r="F382" t="str">
            <v>EA</v>
          </cell>
          <cell r="G382">
            <v>20000</v>
          </cell>
          <cell r="H382">
            <v>100000</v>
          </cell>
          <cell r="I382">
            <v>0.2</v>
          </cell>
          <cell r="J382">
            <v>6</v>
          </cell>
          <cell r="K382">
            <v>1.2000000000000002</v>
          </cell>
          <cell r="L382">
            <v>2.60876254305624</v>
          </cell>
          <cell r="M382">
            <v>1.5652575258337439E-4</v>
          </cell>
        </row>
        <row r="383">
          <cell r="A383" t="str">
            <v>L4142</v>
          </cell>
          <cell r="B383" t="str">
            <v>Natural Brands Lemon Juice HGln</v>
          </cell>
          <cell r="E383" t="str">
            <v>Label</v>
          </cell>
          <cell r="F383" t="str">
            <v>EA</v>
          </cell>
          <cell r="G383">
            <v>20000</v>
          </cell>
          <cell r="H383">
            <v>100000</v>
          </cell>
          <cell r="I383">
            <v>0.2</v>
          </cell>
          <cell r="J383">
            <v>6</v>
          </cell>
          <cell r="K383">
            <v>1.2000000000000002</v>
          </cell>
          <cell r="L383">
            <v>2.60876254305624</v>
          </cell>
          <cell r="M383">
            <v>1.5652575258337439E-4</v>
          </cell>
        </row>
        <row r="384">
          <cell r="A384" t="str">
            <v>L4143</v>
          </cell>
          <cell r="B384" t="str">
            <v>Natural Brands Lemon Juice Qt</v>
          </cell>
          <cell r="E384" t="str">
            <v>Label</v>
          </cell>
          <cell r="F384" t="str">
            <v>EA</v>
          </cell>
          <cell r="G384">
            <v>20000</v>
          </cell>
          <cell r="H384">
            <v>100000</v>
          </cell>
          <cell r="I384">
            <v>0.2</v>
          </cell>
          <cell r="J384">
            <v>6</v>
          </cell>
          <cell r="K384">
            <v>1.2000000000000002</v>
          </cell>
          <cell r="L384">
            <v>2.60876254305624</v>
          </cell>
          <cell r="M384">
            <v>1.5652575258337439E-4</v>
          </cell>
        </row>
        <row r="385">
          <cell r="A385" t="str">
            <v>L4143N</v>
          </cell>
          <cell r="B385" t="str">
            <v>Natural Brands Lemon Juice Qt Nutrition</v>
          </cell>
          <cell r="E385" t="str">
            <v>Label</v>
          </cell>
          <cell r="F385" t="str">
            <v>EA</v>
          </cell>
          <cell r="G385">
            <v>20000</v>
          </cell>
          <cell r="H385">
            <v>100000</v>
          </cell>
          <cell r="I385">
            <v>0.2</v>
          </cell>
          <cell r="J385">
            <v>6</v>
          </cell>
          <cell r="K385">
            <v>1.2000000000000002</v>
          </cell>
          <cell r="L385">
            <v>2.60876254305624</v>
          </cell>
          <cell r="M385">
            <v>1.5652575258337439E-4</v>
          </cell>
        </row>
        <row r="386">
          <cell r="A386" t="str">
            <v>L4151</v>
          </cell>
          <cell r="B386" t="str">
            <v>Natural Brands Lime Juice Gln</v>
          </cell>
          <cell r="E386" t="str">
            <v>Label</v>
          </cell>
          <cell r="F386" t="str">
            <v>EA</v>
          </cell>
          <cell r="G386">
            <v>20000</v>
          </cell>
          <cell r="H386">
            <v>100000</v>
          </cell>
          <cell r="I386">
            <v>0.2</v>
          </cell>
          <cell r="J386">
            <v>6</v>
          </cell>
          <cell r="K386">
            <v>1.2000000000000002</v>
          </cell>
          <cell r="L386">
            <v>2.60876254305624</v>
          </cell>
          <cell r="M386">
            <v>1.5652575258337439E-4</v>
          </cell>
        </row>
        <row r="387">
          <cell r="A387" t="str">
            <v>L4152</v>
          </cell>
          <cell r="B387" t="str">
            <v>Natural Brands Lime Juice HGln</v>
          </cell>
          <cell r="E387" t="str">
            <v>Label</v>
          </cell>
          <cell r="F387" t="str">
            <v>EA</v>
          </cell>
          <cell r="G387">
            <v>560000</v>
          </cell>
          <cell r="H387">
            <v>100000</v>
          </cell>
          <cell r="I387">
            <v>5.6</v>
          </cell>
          <cell r="J387">
            <v>6</v>
          </cell>
          <cell r="K387">
            <v>33.599999999999994</v>
          </cell>
          <cell r="L387">
            <v>2.60876254305624</v>
          </cell>
          <cell r="M387">
            <v>1.5652575258337439E-4</v>
          </cell>
        </row>
        <row r="388">
          <cell r="A388" t="str">
            <v>L4153</v>
          </cell>
          <cell r="B388" t="str">
            <v>Natural Brands Lime Juice Qt</v>
          </cell>
          <cell r="E388" t="str">
            <v>Label</v>
          </cell>
          <cell r="F388" t="str">
            <v>EA</v>
          </cell>
          <cell r="G388">
            <v>20000</v>
          </cell>
          <cell r="H388">
            <v>100000</v>
          </cell>
          <cell r="I388">
            <v>0.2</v>
          </cell>
          <cell r="J388">
            <v>6</v>
          </cell>
          <cell r="K388">
            <v>1.2000000000000002</v>
          </cell>
          <cell r="L388">
            <v>2.60876254305624</v>
          </cell>
          <cell r="M388">
            <v>1.5652575258337439E-4</v>
          </cell>
        </row>
        <row r="389">
          <cell r="A389" t="str">
            <v>L4153N</v>
          </cell>
          <cell r="B389" t="str">
            <v>Natural Brands Lime Juice Qt Nutrition</v>
          </cell>
          <cell r="E389" t="str">
            <v>Label</v>
          </cell>
          <cell r="F389" t="str">
            <v>EA</v>
          </cell>
          <cell r="G389">
            <v>20000</v>
          </cell>
          <cell r="H389">
            <v>100000</v>
          </cell>
          <cell r="I389">
            <v>0.2</v>
          </cell>
          <cell r="J389">
            <v>6</v>
          </cell>
          <cell r="K389">
            <v>1.2000000000000002</v>
          </cell>
          <cell r="L389">
            <v>2.60876254305624</v>
          </cell>
          <cell r="M389">
            <v>1.5652575258337439E-4</v>
          </cell>
        </row>
        <row r="390">
          <cell r="A390" t="str">
            <v>L4173</v>
          </cell>
          <cell r="B390" t="str">
            <v>Natural Brands Lemon Sour Qt</v>
          </cell>
          <cell r="E390" t="str">
            <v>Label</v>
          </cell>
          <cell r="F390" t="str">
            <v>EA</v>
          </cell>
          <cell r="G390">
            <v>20000</v>
          </cell>
          <cell r="H390">
            <v>100000</v>
          </cell>
          <cell r="I390">
            <v>0.2</v>
          </cell>
          <cell r="J390">
            <v>6</v>
          </cell>
          <cell r="K390">
            <v>1.2000000000000002</v>
          </cell>
          <cell r="L390">
            <v>2.60876254305624</v>
          </cell>
          <cell r="M390">
            <v>1.5652575258337439E-4</v>
          </cell>
        </row>
        <row r="391">
          <cell r="A391" t="str">
            <v>L4173N</v>
          </cell>
          <cell r="B391" t="str">
            <v>Natural Brands Lemon Sour Qt Nutrition</v>
          </cell>
          <cell r="E391" t="str">
            <v>Label</v>
          </cell>
          <cell r="F391" t="str">
            <v>EA</v>
          </cell>
          <cell r="G391">
            <v>20000</v>
          </cell>
          <cell r="H391">
            <v>100000</v>
          </cell>
          <cell r="I391">
            <v>0.2</v>
          </cell>
          <cell r="J391">
            <v>6</v>
          </cell>
          <cell r="K391">
            <v>1.2000000000000002</v>
          </cell>
          <cell r="L391">
            <v>2.60876254305624</v>
          </cell>
          <cell r="M391">
            <v>1.5652575258337439E-4</v>
          </cell>
        </row>
        <row r="392">
          <cell r="A392" t="str">
            <v>L4175</v>
          </cell>
          <cell r="B392" t="str">
            <v>Natural Brands 3+1 Lemonade HGln</v>
          </cell>
          <cell r="E392" t="str">
            <v>Label</v>
          </cell>
          <cell r="F392" t="str">
            <v>EA</v>
          </cell>
          <cell r="G392">
            <v>20000</v>
          </cell>
          <cell r="H392">
            <v>100000</v>
          </cell>
          <cell r="I392">
            <v>0.2</v>
          </cell>
          <cell r="J392">
            <v>6</v>
          </cell>
          <cell r="K392">
            <v>1.2000000000000002</v>
          </cell>
          <cell r="L392">
            <v>2.60876254305624</v>
          </cell>
          <cell r="M392">
            <v>1.5652575258337439E-4</v>
          </cell>
        </row>
        <row r="393">
          <cell r="A393" t="str">
            <v>L4177</v>
          </cell>
          <cell r="B393" t="str">
            <v>Natural Brands "Brewhouse" 2.5+1 Lemonade Gln</v>
          </cell>
          <cell r="E393" t="str">
            <v>Label</v>
          </cell>
          <cell r="F393" t="str">
            <v>EA</v>
          </cell>
          <cell r="G393">
            <v>20000</v>
          </cell>
          <cell r="H393">
            <v>100000</v>
          </cell>
          <cell r="I393">
            <v>0.2</v>
          </cell>
          <cell r="J393">
            <v>6</v>
          </cell>
          <cell r="K393">
            <v>1.2000000000000002</v>
          </cell>
          <cell r="L393">
            <v>2.60876254305624</v>
          </cell>
          <cell r="M393">
            <v>1.5652575258337439E-4</v>
          </cell>
        </row>
        <row r="394">
          <cell r="A394" t="str">
            <v>L44041</v>
          </cell>
          <cell r="B394" t="str">
            <v>Lime Juice Gln</v>
          </cell>
          <cell r="E394" t="str">
            <v>Label</v>
          </cell>
          <cell r="F394" t="str">
            <v>EA</v>
          </cell>
          <cell r="G394">
            <v>0</v>
          </cell>
          <cell r="H394">
            <v>100000</v>
          </cell>
          <cell r="I394">
            <v>0</v>
          </cell>
          <cell r="J394">
            <v>6</v>
          </cell>
          <cell r="K394">
            <v>0</v>
          </cell>
          <cell r="L394">
            <v>2.60876254305624</v>
          </cell>
          <cell r="M394">
            <v>1.5652575258337439E-4</v>
          </cell>
        </row>
        <row r="395">
          <cell r="A395" t="str">
            <v>L44041V2</v>
          </cell>
          <cell r="B395" t="str">
            <v>Lime Juice Gln V2</v>
          </cell>
          <cell r="E395" t="str">
            <v>Label</v>
          </cell>
          <cell r="F395" t="str">
            <v>EA</v>
          </cell>
          <cell r="G395">
            <v>145000</v>
          </cell>
          <cell r="H395">
            <v>100000</v>
          </cell>
          <cell r="I395">
            <v>1.45</v>
          </cell>
          <cell r="J395">
            <v>6</v>
          </cell>
          <cell r="K395">
            <v>8.6999999999999993</v>
          </cell>
          <cell r="L395">
            <v>2.60876254305624</v>
          </cell>
          <cell r="M395">
            <v>1.5652575258337439E-4</v>
          </cell>
        </row>
        <row r="396">
          <cell r="A396" t="str">
            <v>L5170</v>
          </cell>
          <cell r="B396" t="str">
            <v>Natural Brands 3+1 Lemonade Sour Mix Gln</v>
          </cell>
          <cell r="E396" t="str">
            <v>Label</v>
          </cell>
          <cell r="F396" t="str">
            <v>EA</v>
          </cell>
          <cell r="G396">
            <v>100000</v>
          </cell>
          <cell r="H396">
            <v>100000</v>
          </cell>
          <cell r="I396">
            <v>1</v>
          </cell>
          <cell r="J396">
            <v>6</v>
          </cell>
          <cell r="K396">
            <v>6</v>
          </cell>
          <cell r="L396">
            <v>2.60876254305624</v>
          </cell>
          <cell r="M396">
            <v>1.5652575258337439E-4</v>
          </cell>
        </row>
        <row r="397">
          <cell r="A397" t="str">
            <v>L55010</v>
          </cell>
          <cell r="B397" t="str">
            <v>i-Squeeze Valencia OJ 61.5oz FZN</v>
          </cell>
          <cell r="E397" t="str">
            <v>Label</v>
          </cell>
          <cell r="F397" t="str">
            <v>EA</v>
          </cell>
          <cell r="G397">
            <v>0</v>
          </cell>
          <cell r="H397">
            <v>100000</v>
          </cell>
          <cell r="I397">
            <v>0</v>
          </cell>
          <cell r="J397">
            <v>6</v>
          </cell>
          <cell r="K397">
            <v>0</v>
          </cell>
          <cell r="L397">
            <v>2.60876254305624</v>
          </cell>
          <cell r="M397">
            <v>1.5652575258337439E-4</v>
          </cell>
        </row>
        <row r="398">
          <cell r="A398" t="str">
            <v>L55010N</v>
          </cell>
          <cell r="B398" t="str">
            <v>i-Squeeze Valencia OJ 61.5oz FZN Nutrition</v>
          </cell>
          <cell r="E398" t="str">
            <v>Label</v>
          </cell>
          <cell r="F398" t="str">
            <v>EA</v>
          </cell>
          <cell r="G398">
            <v>0</v>
          </cell>
          <cell r="H398">
            <v>100000</v>
          </cell>
          <cell r="I398">
            <v>0</v>
          </cell>
          <cell r="J398">
            <v>6</v>
          </cell>
          <cell r="K398">
            <v>0</v>
          </cell>
          <cell r="L398">
            <v>2.60876254305624</v>
          </cell>
          <cell r="M398">
            <v>1.5652575258337439E-4</v>
          </cell>
        </row>
        <row r="399">
          <cell r="A399" t="str">
            <v>L620114N</v>
          </cell>
          <cell r="B399" t="str">
            <v>Back Label Panera Orange Juice 11.5oz RTS [L620114N]</v>
          </cell>
          <cell r="E399" t="str">
            <v>Label</v>
          </cell>
          <cell r="F399" t="str">
            <v>EA</v>
          </cell>
          <cell r="G399">
            <v>0</v>
          </cell>
          <cell r="H399">
            <v>100000</v>
          </cell>
          <cell r="I399">
            <v>0</v>
          </cell>
          <cell r="J399">
            <v>6</v>
          </cell>
          <cell r="K399">
            <v>0</v>
          </cell>
          <cell r="L399">
            <v>2.60876254305624</v>
          </cell>
          <cell r="M399">
            <v>1.5652575258337439E-4</v>
          </cell>
        </row>
        <row r="400">
          <cell r="A400" t="str">
            <v>L620114V4</v>
          </cell>
          <cell r="B400" t="str">
            <v>Panera Orange Juice 11.5oz RTS V4</v>
          </cell>
          <cell r="E400" t="str">
            <v>Label</v>
          </cell>
          <cell r="F400" t="str">
            <v>EA</v>
          </cell>
          <cell r="G400">
            <v>0</v>
          </cell>
          <cell r="H400">
            <v>100000</v>
          </cell>
          <cell r="I400">
            <v>0</v>
          </cell>
          <cell r="J400">
            <v>6</v>
          </cell>
          <cell r="K400">
            <v>0</v>
          </cell>
          <cell r="L400">
            <v>2.60876254305624</v>
          </cell>
          <cell r="M400">
            <v>1.5652575258337439E-4</v>
          </cell>
        </row>
        <row r="401">
          <cell r="A401" t="str">
            <v>L62012NV3</v>
          </cell>
          <cell r="B401" t="str">
            <v>Panera Orange Juice 64oz NUT RTS v3 [L62012NV3]</v>
          </cell>
          <cell r="E401" t="str">
            <v>Label</v>
          </cell>
          <cell r="F401" t="str">
            <v>EA</v>
          </cell>
          <cell r="G401">
            <v>0</v>
          </cell>
          <cell r="H401">
            <v>100000</v>
          </cell>
          <cell r="I401">
            <v>0</v>
          </cell>
          <cell r="J401">
            <v>6</v>
          </cell>
          <cell r="K401">
            <v>0</v>
          </cell>
          <cell r="L401">
            <v>2.60876254305624</v>
          </cell>
          <cell r="M401">
            <v>1.5652575258337439E-4</v>
          </cell>
        </row>
        <row r="402">
          <cell r="A402" t="str">
            <v>L62012V3</v>
          </cell>
          <cell r="B402" t="str">
            <v>Panera Orange Juice 64oz RTS V3</v>
          </cell>
          <cell r="E402" t="str">
            <v>Label</v>
          </cell>
          <cell r="F402" t="str">
            <v>EA</v>
          </cell>
          <cell r="G402">
            <v>0</v>
          </cell>
          <cell r="H402">
            <v>100000</v>
          </cell>
          <cell r="I402">
            <v>0</v>
          </cell>
          <cell r="J402">
            <v>6</v>
          </cell>
          <cell r="K402">
            <v>0</v>
          </cell>
          <cell r="L402">
            <v>2.60876254305624</v>
          </cell>
          <cell r="M402">
            <v>1.5652575258337439E-4</v>
          </cell>
        </row>
        <row r="403">
          <cell r="A403" t="str">
            <v>L621077V2</v>
          </cell>
          <cell r="B403" t="str">
            <v>Panera 5+1 Prickly Pear Hib Lime Agua Fresca NSA 61.5oz V2</v>
          </cell>
          <cell r="E403" t="str">
            <v>Label</v>
          </cell>
          <cell r="F403" t="str">
            <v>EA</v>
          </cell>
          <cell r="G403">
            <v>0</v>
          </cell>
          <cell r="H403">
            <v>100000</v>
          </cell>
          <cell r="I403">
            <v>0</v>
          </cell>
          <cell r="J403">
            <v>6</v>
          </cell>
          <cell r="K403">
            <v>0</v>
          </cell>
          <cell r="L403">
            <v>2.60876254305624</v>
          </cell>
          <cell r="M403">
            <v>1.5652575258337439E-4</v>
          </cell>
        </row>
        <row r="404">
          <cell r="A404" t="str">
            <v>L62202FV2</v>
          </cell>
          <cell r="B404" t="str">
            <v>5+1 Agave Lemonade Hgln V2</v>
          </cell>
          <cell r="E404" t="str">
            <v>Label</v>
          </cell>
          <cell r="F404" t="str">
            <v>EA</v>
          </cell>
          <cell r="G404">
            <v>0</v>
          </cell>
          <cell r="H404">
            <v>100000</v>
          </cell>
          <cell r="I404">
            <v>0</v>
          </cell>
          <cell r="J404">
            <v>6</v>
          </cell>
          <cell r="K404">
            <v>0</v>
          </cell>
          <cell r="L404">
            <v>2.60876254305624</v>
          </cell>
          <cell r="M404">
            <v>1.5652575258337439E-4</v>
          </cell>
        </row>
        <row r="405">
          <cell r="A405" t="str">
            <v>L62210F</v>
          </cell>
          <cell r="B405" t="str">
            <v>5+1 Agave Lemonade Hgln Alt Spec 3</v>
          </cell>
          <cell r="E405" t="str">
            <v>Label</v>
          </cell>
          <cell r="F405" t="str">
            <v>EA</v>
          </cell>
          <cell r="G405">
            <v>125000</v>
          </cell>
          <cell r="H405">
            <v>100000</v>
          </cell>
          <cell r="I405">
            <v>1.25</v>
          </cell>
          <cell r="J405">
            <v>6</v>
          </cell>
          <cell r="K405">
            <v>7.5</v>
          </cell>
          <cell r="L405">
            <v>2.60876254305624</v>
          </cell>
          <cell r="M405">
            <v>1.5652575258337439E-4</v>
          </cell>
        </row>
        <row r="406">
          <cell r="A406" t="str">
            <v>L62227FV2</v>
          </cell>
          <cell r="B406" t="str">
            <v>Panera 3+1 Blood Orange Carrot LA 61.5oz v2</v>
          </cell>
          <cell r="E406" t="str">
            <v>Label</v>
          </cell>
          <cell r="F406" t="str">
            <v>EA</v>
          </cell>
          <cell r="G406">
            <v>0</v>
          </cell>
          <cell r="H406">
            <v>100000</v>
          </cell>
          <cell r="I406">
            <v>0</v>
          </cell>
          <cell r="J406">
            <v>6</v>
          </cell>
          <cell r="K406">
            <v>0</v>
          </cell>
          <cell r="L406">
            <v>2.60876254305624</v>
          </cell>
          <cell r="M406">
            <v>1.5652575258337439E-4</v>
          </cell>
        </row>
        <row r="407">
          <cell r="A407" t="str">
            <v>L62387FV2</v>
          </cell>
          <cell r="B407" t="str">
            <v>Panera Peach Mango 61.5 oz V2</v>
          </cell>
          <cell r="E407" t="str">
            <v>Label</v>
          </cell>
          <cell r="F407" t="str">
            <v>EA</v>
          </cell>
          <cell r="G407">
            <v>20000</v>
          </cell>
          <cell r="H407">
            <v>100000</v>
          </cell>
          <cell r="I407">
            <v>0.2</v>
          </cell>
          <cell r="J407">
            <v>6</v>
          </cell>
          <cell r="K407">
            <v>1.2000000000000002</v>
          </cell>
          <cell r="L407">
            <v>2.60876254305624</v>
          </cell>
          <cell r="M407">
            <v>1.5652575258337439E-4</v>
          </cell>
        </row>
        <row r="408">
          <cell r="A408" t="str">
            <v>L62407V2</v>
          </cell>
          <cell r="B408" t="str">
            <v>Panera Mango NSA 61.5oz V2</v>
          </cell>
          <cell r="E408" t="str">
            <v>Label</v>
          </cell>
          <cell r="F408" t="str">
            <v>EA</v>
          </cell>
          <cell r="G408">
            <v>30000</v>
          </cell>
          <cell r="H408">
            <v>100000</v>
          </cell>
          <cell r="I408">
            <v>0.3</v>
          </cell>
          <cell r="J408">
            <v>6</v>
          </cell>
          <cell r="K408">
            <v>1.7999999999999998</v>
          </cell>
          <cell r="L408">
            <v>2.60876254305624</v>
          </cell>
          <cell r="M408">
            <v>1.5652575258337439E-4</v>
          </cell>
        </row>
        <row r="409">
          <cell r="A409" t="str">
            <v>L62417V2</v>
          </cell>
          <cell r="B409" t="str">
            <v>Panera Strawberry NSA 61.5oz V2</v>
          </cell>
          <cell r="E409" t="str">
            <v>Label</v>
          </cell>
          <cell r="F409" t="str">
            <v>EA</v>
          </cell>
          <cell r="G409">
            <v>40000</v>
          </cell>
          <cell r="H409">
            <v>100000</v>
          </cell>
          <cell r="I409">
            <v>0.4</v>
          </cell>
          <cell r="J409">
            <v>6</v>
          </cell>
          <cell r="K409">
            <v>2.4000000000000004</v>
          </cell>
          <cell r="L409">
            <v>2.60876254305624</v>
          </cell>
          <cell r="M409">
            <v>1.5652575258337439E-4</v>
          </cell>
        </row>
        <row r="410">
          <cell r="A410" t="str">
            <v>L69012ANV2</v>
          </cell>
          <cell r="B410" t="str">
            <v>AZ Valencia Orange Juice 65oz Nutrition V2</v>
          </cell>
          <cell r="E410" t="str">
            <v>Label</v>
          </cell>
          <cell r="F410" t="str">
            <v>EA</v>
          </cell>
          <cell r="G410">
            <v>370000</v>
          </cell>
          <cell r="H410">
            <v>100000</v>
          </cell>
          <cell r="I410">
            <v>3.7</v>
          </cell>
          <cell r="J410">
            <v>6</v>
          </cell>
          <cell r="K410">
            <v>22.200000000000003</v>
          </cell>
          <cell r="L410">
            <v>2.60876254305624</v>
          </cell>
          <cell r="M410">
            <v>1.5652575258337439E-4</v>
          </cell>
        </row>
        <row r="411">
          <cell r="A411" t="str">
            <v>L69012AV2</v>
          </cell>
          <cell r="B411" t="str">
            <v>AZ Valencia Orange Juice 65oz V2 [L69012AV2]</v>
          </cell>
          <cell r="E411" t="str">
            <v>Label</v>
          </cell>
          <cell r="F411" t="str">
            <v>EA</v>
          </cell>
          <cell r="G411">
            <v>380000</v>
          </cell>
          <cell r="H411">
            <v>100000</v>
          </cell>
          <cell r="I411">
            <v>3.8</v>
          </cell>
          <cell r="J411">
            <v>6</v>
          </cell>
          <cell r="K411">
            <v>22.799999999999997</v>
          </cell>
          <cell r="L411">
            <v>2.60876254305624</v>
          </cell>
          <cell r="M411">
            <v>1.5652575258337439E-4</v>
          </cell>
        </row>
        <row r="412">
          <cell r="A412" t="str">
            <v>L690202NV2</v>
          </cell>
          <cell r="B412" t="str">
            <v>RS 100% Premium Red Gft Juice 64oz Nut V2</v>
          </cell>
          <cell r="E412" t="str">
            <v>Label</v>
          </cell>
          <cell r="F412" t="str">
            <v>EA</v>
          </cell>
          <cell r="G412">
            <v>0</v>
          </cell>
          <cell r="H412">
            <v>100000</v>
          </cell>
          <cell r="I412">
            <v>0</v>
          </cell>
          <cell r="J412">
            <v>6</v>
          </cell>
          <cell r="K412">
            <v>0</v>
          </cell>
          <cell r="L412">
            <v>2.60876254305624</v>
          </cell>
          <cell r="M412">
            <v>1.5652575258337439E-4</v>
          </cell>
        </row>
        <row r="413">
          <cell r="A413" t="str">
            <v>L690202V2</v>
          </cell>
          <cell r="B413" t="str">
            <v>RS 100% Premium Red Gft Juice 64oz V2</v>
          </cell>
          <cell r="E413" t="str">
            <v>Label</v>
          </cell>
          <cell r="F413" t="str">
            <v>EA</v>
          </cell>
          <cell r="G413">
            <v>0</v>
          </cell>
          <cell r="H413">
            <v>100000</v>
          </cell>
          <cell r="I413">
            <v>0</v>
          </cell>
          <cell r="J413">
            <v>6</v>
          </cell>
          <cell r="K413">
            <v>0</v>
          </cell>
          <cell r="L413">
            <v>2.60876254305624</v>
          </cell>
          <cell r="M413">
            <v>1.5652575258337439E-4</v>
          </cell>
        </row>
        <row r="414">
          <cell r="A414" t="str">
            <v>L69052NV2</v>
          </cell>
          <cell r="B414" t="str">
            <v>Rykoff Sexton Marg Mix 64oz Nutrition V2</v>
          </cell>
          <cell r="E414" t="str">
            <v>Label</v>
          </cell>
          <cell r="F414" t="str">
            <v>EA</v>
          </cell>
          <cell r="G414">
            <v>120000</v>
          </cell>
          <cell r="H414">
            <v>100000</v>
          </cell>
          <cell r="I414">
            <v>1.2</v>
          </cell>
          <cell r="J414">
            <v>6</v>
          </cell>
          <cell r="K414">
            <v>7.1999999999999993</v>
          </cell>
          <cell r="L414">
            <v>2.60876254305624</v>
          </cell>
          <cell r="M414">
            <v>1.5652575258337439E-4</v>
          </cell>
        </row>
        <row r="415">
          <cell r="A415" t="str">
            <v>L69052V2</v>
          </cell>
          <cell r="B415" t="str">
            <v>Rykoff Sexton Margarita Mix 64oz V2</v>
          </cell>
          <cell r="E415" t="str">
            <v>Label</v>
          </cell>
          <cell r="F415" t="str">
            <v>EA</v>
          </cell>
          <cell r="G415">
            <v>95000</v>
          </cell>
          <cell r="H415">
            <v>100000</v>
          </cell>
          <cell r="I415">
            <v>0.95</v>
          </cell>
          <cell r="J415">
            <v>6</v>
          </cell>
          <cell r="K415">
            <v>5.6999999999999993</v>
          </cell>
          <cell r="L415">
            <v>2.60876254305624</v>
          </cell>
          <cell r="M415">
            <v>1.5652575258337439E-4</v>
          </cell>
        </row>
        <row r="416">
          <cell r="A416" t="str">
            <v>L69052V3</v>
          </cell>
          <cell r="B416" t="str">
            <v>Rykoff Sexton Margarita Mix 64oz V3</v>
          </cell>
          <cell r="E416" t="str">
            <v>Label</v>
          </cell>
          <cell r="F416" t="str">
            <v>EA</v>
          </cell>
          <cell r="G416">
            <v>30000</v>
          </cell>
          <cell r="H416">
            <v>100000</v>
          </cell>
          <cell r="I416">
            <v>0.3</v>
          </cell>
          <cell r="J416">
            <v>6</v>
          </cell>
          <cell r="K416">
            <v>1.7999999999999998</v>
          </cell>
          <cell r="L416">
            <v>2.60876254305624</v>
          </cell>
          <cell r="M416">
            <v>1.5652575258337439E-4</v>
          </cell>
        </row>
        <row r="417">
          <cell r="A417" t="str">
            <v>L691042NV2</v>
          </cell>
          <cell r="B417" t="str">
            <v>Bloody Mary Mix 64oz Nutrition V2</v>
          </cell>
          <cell r="E417" t="str">
            <v>Label</v>
          </cell>
          <cell r="F417" t="str">
            <v>EA</v>
          </cell>
          <cell r="G417">
            <v>100000</v>
          </cell>
          <cell r="H417">
            <v>100000</v>
          </cell>
          <cell r="I417">
            <v>1</v>
          </cell>
          <cell r="J417">
            <v>6</v>
          </cell>
          <cell r="K417">
            <v>6</v>
          </cell>
          <cell r="L417">
            <v>2.60876254305624</v>
          </cell>
          <cell r="M417">
            <v>1.5652575258337439E-4</v>
          </cell>
        </row>
        <row r="418">
          <cell r="A418" t="str">
            <v>L691042NV3</v>
          </cell>
          <cell r="B418" t="str">
            <v>Bloody Mary Mix 64oz Nutrition V3</v>
          </cell>
          <cell r="E418" t="str">
            <v>Label</v>
          </cell>
          <cell r="F418" t="str">
            <v>EA</v>
          </cell>
          <cell r="G418">
            <v>30000</v>
          </cell>
          <cell r="H418">
            <v>100000</v>
          </cell>
          <cell r="I418">
            <v>0.3</v>
          </cell>
          <cell r="J418">
            <v>6</v>
          </cell>
          <cell r="K418">
            <v>1.7999999999999998</v>
          </cell>
          <cell r="L418">
            <v>2.60876254305624</v>
          </cell>
          <cell r="M418">
            <v>1.5652575258337439E-4</v>
          </cell>
        </row>
        <row r="419">
          <cell r="A419" t="str">
            <v>L691042V2</v>
          </cell>
          <cell r="B419" t="str">
            <v>Bloody Mary Mix 64oz V2 [L691042V2]</v>
          </cell>
          <cell r="E419" t="str">
            <v>Label</v>
          </cell>
          <cell r="F419" t="str">
            <v>EA</v>
          </cell>
          <cell r="G419">
            <v>60000</v>
          </cell>
          <cell r="H419">
            <v>100000</v>
          </cell>
          <cell r="I419">
            <v>0.6</v>
          </cell>
          <cell r="J419">
            <v>6</v>
          </cell>
          <cell r="K419">
            <v>3.5999999999999996</v>
          </cell>
          <cell r="L419">
            <v>2.60876254305624</v>
          </cell>
          <cell r="M419">
            <v>1.5652575258337439E-4</v>
          </cell>
        </row>
        <row r="420">
          <cell r="A420" t="str">
            <v>L691042V3</v>
          </cell>
          <cell r="B420" t="str">
            <v>Bloody Mary Mix 64oz V3</v>
          </cell>
          <cell r="E420" t="str">
            <v>Label</v>
          </cell>
          <cell r="F420" t="str">
            <v>EA</v>
          </cell>
          <cell r="G420">
            <v>50000</v>
          </cell>
          <cell r="H420">
            <v>100000</v>
          </cell>
          <cell r="I420">
            <v>0.5</v>
          </cell>
          <cell r="J420">
            <v>6</v>
          </cell>
          <cell r="K420">
            <v>3</v>
          </cell>
          <cell r="L420">
            <v>2.60876254305624</v>
          </cell>
          <cell r="M420">
            <v>1.5652575258337439E-4</v>
          </cell>
        </row>
        <row r="421">
          <cell r="A421" t="str">
            <v>L69563NV2</v>
          </cell>
          <cell r="B421" t="str">
            <v>Key Lime Juice 32oz Nutrition V2</v>
          </cell>
          <cell r="E421" t="str">
            <v>Label</v>
          </cell>
          <cell r="F421" t="str">
            <v>EA</v>
          </cell>
          <cell r="G421">
            <v>120000</v>
          </cell>
          <cell r="H421">
            <v>100000</v>
          </cell>
          <cell r="I421">
            <v>1.2</v>
          </cell>
          <cell r="J421">
            <v>6</v>
          </cell>
          <cell r="K421">
            <v>7.1999999999999993</v>
          </cell>
          <cell r="L421">
            <v>2.60876254305624</v>
          </cell>
          <cell r="M421">
            <v>1.5652575258337439E-4</v>
          </cell>
        </row>
        <row r="422">
          <cell r="A422" t="str">
            <v>L69563V2</v>
          </cell>
          <cell r="B422" t="str">
            <v>Key Lime Juice 32oz V2 [L69563V2]</v>
          </cell>
          <cell r="E422" t="str">
            <v>Label</v>
          </cell>
          <cell r="F422" t="str">
            <v>EA</v>
          </cell>
          <cell r="G422">
            <v>75000</v>
          </cell>
          <cell r="H422">
            <v>100000</v>
          </cell>
          <cell r="I422">
            <v>0.75</v>
          </cell>
          <cell r="J422">
            <v>6</v>
          </cell>
          <cell r="K422">
            <v>4.5</v>
          </cell>
          <cell r="L422">
            <v>2.60876254305624</v>
          </cell>
          <cell r="M422">
            <v>1.5652575258337439E-4</v>
          </cell>
        </row>
        <row r="423">
          <cell r="A423" t="str">
            <v>L69563V3</v>
          </cell>
          <cell r="B423" t="str">
            <v>Key Lime Juice 32oz V3</v>
          </cell>
          <cell r="E423" t="str">
            <v>Label</v>
          </cell>
          <cell r="F423" t="str">
            <v>EA</v>
          </cell>
          <cell r="G423">
            <v>60000</v>
          </cell>
          <cell r="H423">
            <v>100000</v>
          </cell>
          <cell r="I423">
            <v>0.6</v>
          </cell>
          <cell r="J423">
            <v>6</v>
          </cell>
          <cell r="K423">
            <v>3.5999999999999996</v>
          </cell>
          <cell r="L423">
            <v>2.60876254305624</v>
          </cell>
          <cell r="M423">
            <v>1.5652575258337439E-4</v>
          </cell>
        </row>
        <row r="424">
          <cell r="A424" t="str">
            <v>L69572NV2</v>
          </cell>
          <cell r="B424" t="str">
            <v>Meyer LA 64oz Nutrition V2</v>
          </cell>
          <cell r="E424" t="str">
            <v>Label</v>
          </cell>
          <cell r="F424" t="str">
            <v>EA</v>
          </cell>
          <cell r="G424">
            <v>150000</v>
          </cell>
          <cell r="H424">
            <v>100000</v>
          </cell>
          <cell r="I424">
            <v>1.5</v>
          </cell>
          <cell r="J424">
            <v>6</v>
          </cell>
          <cell r="K424">
            <v>9</v>
          </cell>
          <cell r="L424">
            <v>2.60876254305624</v>
          </cell>
          <cell r="M424">
            <v>1.5652575258337439E-4</v>
          </cell>
        </row>
        <row r="425">
          <cell r="A425" t="str">
            <v>L69572V2</v>
          </cell>
          <cell r="B425" t="str">
            <v>Meyer LA 64oz</v>
          </cell>
          <cell r="E425" t="str">
            <v>Label</v>
          </cell>
          <cell r="F425" t="str">
            <v>EA</v>
          </cell>
          <cell r="G425">
            <v>150000</v>
          </cell>
          <cell r="H425">
            <v>100000</v>
          </cell>
          <cell r="I425">
            <v>1.5</v>
          </cell>
          <cell r="J425">
            <v>6</v>
          </cell>
          <cell r="K425">
            <v>9</v>
          </cell>
          <cell r="L425">
            <v>2.60876254305624</v>
          </cell>
          <cell r="M425">
            <v>1.5652575258337439E-4</v>
          </cell>
        </row>
        <row r="426">
          <cell r="A426" t="str">
            <v>L69572V3</v>
          </cell>
          <cell r="B426" t="str">
            <v>Meyer LA 64oz V3</v>
          </cell>
          <cell r="E426" t="str">
            <v>Label</v>
          </cell>
          <cell r="F426" t="str">
            <v>EA</v>
          </cell>
          <cell r="G426">
            <v>39950</v>
          </cell>
          <cell r="H426">
            <v>100000</v>
          </cell>
          <cell r="I426">
            <v>0.39950000000000002</v>
          </cell>
          <cell r="J426">
            <v>6</v>
          </cell>
          <cell r="K426">
            <v>2.3970000000000002</v>
          </cell>
          <cell r="L426">
            <v>2.60876254305624</v>
          </cell>
          <cell r="M426">
            <v>1.5652575258337439E-4</v>
          </cell>
        </row>
        <row r="427">
          <cell r="A427" t="str">
            <v>L69573NV2</v>
          </cell>
          <cell r="B427" t="str">
            <v>Meyer Lemon Juice 32oz Nutritiion V2</v>
          </cell>
          <cell r="E427" t="str">
            <v>Label</v>
          </cell>
          <cell r="F427" t="str">
            <v>EA</v>
          </cell>
          <cell r="G427">
            <v>100000</v>
          </cell>
          <cell r="H427">
            <v>100000</v>
          </cell>
          <cell r="I427">
            <v>1</v>
          </cell>
          <cell r="J427">
            <v>6</v>
          </cell>
          <cell r="K427">
            <v>6</v>
          </cell>
          <cell r="L427">
            <v>2.60876254305624</v>
          </cell>
          <cell r="M427">
            <v>1.5652575258337439E-4</v>
          </cell>
        </row>
        <row r="428">
          <cell r="A428" t="str">
            <v>L69573V2</v>
          </cell>
          <cell r="B428" t="str">
            <v>Meyer Lemon Juice 32oz V2</v>
          </cell>
          <cell r="E428" t="str">
            <v>Label</v>
          </cell>
          <cell r="F428" t="str">
            <v>EA</v>
          </cell>
          <cell r="G428">
            <v>135000</v>
          </cell>
          <cell r="H428">
            <v>100000</v>
          </cell>
          <cell r="I428">
            <v>1.35</v>
          </cell>
          <cell r="J428">
            <v>6</v>
          </cell>
          <cell r="K428">
            <v>8.1000000000000014</v>
          </cell>
          <cell r="L428">
            <v>2.60876254305624</v>
          </cell>
          <cell r="M428">
            <v>1.5652575258337439E-4</v>
          </cell>
        </row>
        <row r="429">
          <cell r="A429" t="str">
            <v>L94132FW</v>
          </cell>
          <cell r="B429" t="str">
            <v>Wendy's LA 3+1 HGln</v>
          </cell>
          <cell r="E429" t="str">
            <v>Label</v>
          </cell>
          <cell r="F429" t="str">
            <v>EA</v>
          </cell>
          <cell r="G429">
            <v>0</v>
          </cell>
          <cell r="H429">
            <v>100000</v>
          </cell>
          <cell r="I429">
            <v>0</v>
          </cell>
          <cell r="J429">
            <v>6</v>
          </cell>
          <cell r="K429">
            <v>0</v>
          </cell>
          <cell r="L429">
            <v>2.60876254305624</v>
          </cell>
          <cell r="M429">
            <v>1.5652575258337439E-4</v>
          </cell>
        </row>
        <row r="430">
          <cell r="A430" t="str">
            <v>LIN003</v>
          </cell>
          <cell r="B430" t="str">
            <v>Drum Liner .003 ML Clear Length 38"W X 72" L</v>
          </cell>
          <cell r="E430" t="str">
            <v>Liners</v>
          </cell>
          <cell r="F430" t="str">
            <v>EA</v>
          </cell>
          <cell r="G430">
            <v>124706</v>
          </cell>
          <cell r="H430">
            <v>100001</v>
          </cell>
          <cell r="I430">
            <v>1.2470475295247048</v>
          </cell>
          <cell r="J430">
            <v>8</v>
          </cell>
          <cell r="K430">
            <v>9.9763802361976381</v>
          </cell>
          <cell r="L430">
            <v>2.60876254305624</v>
          </cell>
          <cell r="M430">
            <v>2.0869891645533463E-4</v>
          </cell>
        </row>
        <row r="431">
          <cell r="A431" t="str">
            <v>LIN006</v>
          </cell>
          <cell r="B431" t="str">
            <v>Tote Liner Cassette 275G &amp; Shroud</v>
          </cell>
          <cell r="E431" t="str">
            <v>Liners</v>
          </cell>
          <cell r="F431" t="str">
            <v>EA</v>
          </cell>
          <cell r="G431">
            <v>232</v>
          </cell>
          <cell r="H431">
            <v>24</v>
          </cell>
          <cell r="I431">
            <v>9.6666666666666661</v>
          </cell>
          <cell r="J431">
            <v>8</v>
          </cell>
          <cell r="K431">
            <v>77.333333333333329</v>
          </cell>
          <cell r="L431">
            <v>2.60876254305624</v>
          </cell>
          <cell r="M431">
            <v>0.86958751435208004</v>
          </cell>
        </row>
        <row r="432">
          <cell r="A432" t="str">
            <v>LMLT4</v>
          </cell>
          <cell r="B432" t="str">
            <v>4X6 Box Label</v>
          </cell>
          <cell r="E432" t="str">
            <v>Label</v>
          </cell>
          <cell r="F432" t="str">
            <v>EA</v>
          </cell>
          <cell r="G432">
            <v>556800</v>
          </cell>
          <cell r="H432">
            <v>100000</v>
          </cell>
          <cell r="I432">
            <v>5.5679999999999996</v>
          </cell>
          <cell r="J432">
            <v>6</v>
          </cell>
          <cell r="K432">
            <v>33.408000000000001</v>
          </cell>
          <cell r="L432">
            <v>2.60876254305624</v>
          </cell>
          <cell r="M432">
            <v>1.5652575258337439E-4</v>
          </cell>
        </row>
        <row r="433">
          <cell r="A433" t="str">
            <v>LMLT5</v>
          </cell>
          <cell r="B433" t="str">
            <v>4X6 RFID Box Label</v>
          </cell>
          <cell r="E433" t="str">
            <v>Label</v>
          </cell>
          <cell r="F433" t="str">
            <v>EA</v>
          </cell>
          <cell r="G433">
            <v>201600</v>
          </cell>
          <cell r="H433">
            <v>100000</v>
          </cell>
          <cell r="I433">
            <v>2.016</v>
          </cell>
          <cell r="J433">
            <v>6</v>
          </cell>
          <cell r="K433">
            <v>12.096</v>
          </cell>
          <cell r="L433">
            <v>2.60876254305624</v>
          </cell>
          <cell r="M433">
            <v>1.5652575258337439E-4</v>
          </cell>
        </row>
        <row r="434">
          <cell r="A434" t="str">
            <v>MRM001</v>
          </cell>
          <cell r="B434" t="str">
            <v>Citric Acid [MRM001]</v>
          </cell>
          <cell r="E434" t="str">
            <v>MRM</v>
          </cell>
          <cell r="F434" t="str">
            <v>LB</v>
          </cell>
          <cell r="G434">
            <v>37000</v>
          </cell>
          <cell r="H434">
            <v>1666.6666666666667</v>
          </cell>
          <cell r="I434">
            <v>22.2</v>
          </cell>
          <cell r="J434">
            <v>12.899999999999999</v>
          </cell>
          <cell r="K434">
            <v>286.37999999999994</v>
          </cell>
          <cell r="L434">
            <v>2.60876254305624</v>
          </cell>
          <cell r="M434">
            <v>2.0191822083255297E-2</v>
          </cell>
        </row>
        <row r="435">
          <cell r="A435" t="str">
            <v>MRM002</v>
          </cell>
          <cell r="B435" t="str">
            <v>Orange Aroma</v>
          </cell>
          <cell r="E435" t="str">
            <v>MRM</v>
          </cell>
          <cell r="F435" t="str">
            <v>LB</v>
          </cell>
          <cell r="G435">
            <v>771</v>
          </cell>
          <cell r="H435">
            <v>33</v>
          </cell>
          <cell r="I435">
            <v>23.363636363636363</v>
          </cell>
          <cell r="J435">
            <v>12.899999999999999</v>
          </cell>
          <cell r="K435">
            <v>301.39090909090908</v>
          </cell>
          <cell r="L435">
            <v>2.60876254305624</v>
          </cell>
          <cell r="M435">
            <v>1.0197889941038027</v>
          </cell>
        </row>
        <row r="436">
          <cell r="A436" t="str">
            <v>MRM008</v>
          </cell>
          <cell r="B436" t="str">
            <v>Ascorbic Acid [MRM008]</v>
          </cell>
          <cell r="E436" t="str">
            <v>MRM</v>
          </cell>
          <cell r="F436" t="str">
            <v>LB</v>
          </cell>
          <cell r="G436">
            <v>0</v>
          </cell>
          <cell r="H436">
            <v>55.1</v>
          </cell>
          <cell r="I436">
            <v>0</v>
          </cell>
          <cell r="J436">
            <v>12.899999999999999</v>
          </cell>
          <cell r="K436">
            <v>0</v>
          </cell>
          <cell r="L436">
            <v>2.60876254305624</v>
          </cell>
          <cell r="M436">
            <v>0.61076291842877484</v>
          </cell>
        </row>
        <row r="437">
          <cell r="A437" t="str">
            <v>MRM009</v>
          </cell>
          <cell r="B437" t="str">
            <v>Defoamer</v>
          </cell>
          <cell r="E437" t="str">
            <v>MRM</v>
          </cell>
          <cell r="F437" t="str">
            <v>LB</v>
          </cell>
          <cell r="G437">
            <v>40</v>
          </cell>
          <cell r="H437">
            <v>40</v>
          </cell>
          <cell r="I437">
            <v>1</v>
          </cell>
          <cell r="J437">
            <v>12.899999999999999</v>
          </cell>
          <cell r="K437">
            <v>12.899999999999999</v>
          </cell>
          <cell r="L437">
            <v>2.60876254305624</v>
          </cell>
          <cell r="M437">
            <v>0.84132592013563734</v>
          </cell>
        </row>
        <row r="438">
          <cell r="A438" t="str">
            <v>MRM012</v>
          </cell>
          <cell r="B438" t="str">
            <v>Pectin Type YM-115-L</v>
          </cell>
          <cell r="E438" t="str">
            <v>MRM</v>
          </cell>
          <cell r="F438" t="str">
            <v>LB</v>
          </cell>
          <cell r="G438">
            <v>55.11</v>
          </cell>
          <cell r="H438">
            <v>55</v>
          </cell>
          <cell r="I438">
            <v>1.002</v>
          </cell>
          <cell r="J438">
            <v>12.899999999999999</v>
          </cell>
          <cell r="K438">
            <v>12.925799999999999</v>
          </cell>
          <cell r="L438">
            <v>2.60876254305624</v>
          </cell>
          <cell r="M438">
            <v>0.61187339646228167</v>
          </cell>
        </row>
        <row r="439">
          <cell r="A439" t="str">
            <v>MRM013</v>
          </cell>
          <cell r="B439" t="str">
            <v>Enzyme Processing Aid</v>
          </cell>
          <cell r="E439" t="str">
            <v>MRM</v>
          </cell>
          <cell r="F439" t="str">
            <v>LB</v>
          </cell>
          <cell r="G439">
            <v>0</v>
          </cell>
          <cell r="H439">
            <v>110</v>
          </cell>
          <cell r="I439">
            <v>0</v>
          </cell>
          <cell r="J439">
            <v>12.899999999999999</v>
          </cell>
          <cell r="K439">
            <v>0</v>
          </cell>
          <cell r="L439">
            <v>2.60876254305624</v>
          </cell>
          <cell r="M439">
            <v>0.30593669823114084</v>
          </cell>
        </row>
        <row r="440">
          <cell r="A440" t="str">
            <v>MRM033</v>
          </cell>
          <cell r="B440" t="str">
            <v>Hibiscus Extract  HIB222 [MRM033]</v>
          </cell>
          <cell r="E440" t="str">
            <v>MRM</v>
          </cell>
          <cell r="F440" t="str">
            <v>LB</v>
          </cell>
          <cell r="G440">
            <v>0</v>
          </cell>
          <cell r="H440">
            <v>250</v>
          </cell>
          <cell r="I440">
            <v>0</v>
          </cell>
          <cell r="J440">
            <v>12.899999999999999</v>
          </cell>
          <cell r="K440">
            <v>0</v>
          </cell>
          <cell r="L440">
            <v>2.60876254305624</v>
          </cell>
          <cell r="M440">
            <v>0.13461214722170198</v>
          </cell>
        </row>
        <row r="441">
          <cell r="A441" t="str">
            <v>MRM041</v>
          </cell>
          <cell r="B441" t="str">
            <v>Tumeric Root Powder [MRM041]</v>
          </cell>
          <cell r="E441" t="str">
            <v>MRM</v>
          </cell>
          <cell r="F441" t="str">
            <v>LB</v>
          </cell>
          <cell r="G441">
            <v>0</v>
          </cell>
          <cell r="H441">
            <v>55</v>
          </cell>
          <cell r="I441">
            <v>0</v>
          </cell>
          <cell r="J441">
            <v>12.899999999999999</v>
          </cell>
          <cell r="K441">
            <v>0</v>
          </cell>
          <cell r="L441">
            <v>2.60876254305624</v>
          </cell>
          <cell r="M441">
            <v>0.61187339646228167</v>
          </cell>
        </row>
        <row r="442">
          <cell r="A442" t="str">
            <v>MRM043</v>
          </cell>
          <cell r="B442" t="str">
            <v>Protab VIT Premix w\o maltodextrin 001780 [MRM043]</v>
          </cell>
          <cell r="E442" t="str">
            <v>MRM</v>
          </cell>
          <cell r="F442" t="str">
            <v>LB</v>
          </cell>
          <cell r="G442">
            <v>550</v>
          </cell>
          <cell r="H442">
            <v>52.353846153846156</v>
          </cell>
          <cell r="I442">
            <v>10.505436379665001</v>
          </cell>
          <cell r="J442">
            <v>12.899999999999999</v>
          </cell>
          <cell r="K442">
            <v>135.52012929767849</v>
          </cell>
          <cell r="L442">
            <v>2.60876254305624</v>
          </cell>
          <cell r="M442">
            <v>0.64279970389440411</v>
          </cell>
        </row>
        <row r="443">
          <cell r="A443" t="str">
            <v>MRM057</v>
          </cell>
          <cell r="B443" t="str">
            <v>Green Premix w/o WheatG &amp; Garlic  001973</v>
          </cell>
          <cell r="E443" t="str">
            <v>MRM</v>
          </cell>
          <cell r="F443" t="str">
            <v>LB</v>
          </cell>
          <cell r="G443">
            <v>0</v>
          </cell>
          <cell r="H443">
            <v>55</v>
          </cell>
          <cell r="I443">
            <v>0</v>
          </cell>
          <cell r="J443">
            <v>12.899999999999999</v>
          </cell>
          <cell r="K443">
            <v>0</v>
          </cell>
          <cell r="L443">
            <v>2.60876254305624</v>
          </cell>
          <cell r="M443">
            <v>0.61187339646228167</v>
          </cell>
        </row>
        <row r="444">
          <cell r="A444" t="str">
            <v>MRM061</v>
          </cell>
          <cell r="B444" t="str">
            <v>Honey</v>
          </cell>
          <cell r="E444" t="str">
            <v>MRM</v>
          </cell>
          <cell r="F444" t="str">
            <v>LB</v>
          </cell>
          <cell r="G444">
            <v>0</v>
          </cell>
          <cell r="H444">
            <v>660</v>
          </cell>
          <cell r="I444">
            <v>0</v>
          </cell>
          <cell r="J444">
            <v>12.899999999999999</v>
          </cell>
          <cell r="K444">
            <v>0</v>
          </cell>
          <cell r="L444">
            <v>2.60876254305624</v>
          </cell>
          <cell r="M444">
            <v>5.0989449705190142E-2</v>
          </cell>
        </row>
        <row r="445">
          <cell r="A445" t="str">
            <v>NUT004</v>
          </cell>
          <cell r="B445" t="str">
            <v>Coconut Water 4 Brix</v>
          </cell>
          <cell r="E445" t="str">
            <v>MRM</v>
          </cell>
          <cell r="F445" t="str">
            <v>LB</v>
          </cell>
          <cell r="G445">
            <v>0</v>
          </cell>
          <cell r="H445">
            <v>660</v>
          </cell>
          <cell r="I445">
            <v>0</v>
          </cell>
          <cell r="J445">
            <v>12.899999999999999</v>
          </cell>
          <cell r="K445">
            <v>0</v>
          </cell>
          <cell r="L445">
            <v>2.60876254305624</v>
          </cell>
          <cell r="M445">
            <v>5.0989449705190142E-2</v>
          </cell>
        </row>
        <row r="446">
          <cell r="A446" t="str">
            <v>PLP001</v>
          </cell>
          <cell r="B446" t="str">
            <v>Lemon Cells [PLP001]</v>
          </cell>
          <cell r="E446" t="str">
            <v>Pulp</v>
          </cell>
          <cell r="F446" t="str">
            <v>LB</v>
          </cell>
          <cell r="G446">
            <v>74400</v>
          </cell>
          <cell r="H446">
            <v>1751.5757575757575</v>
          </cell>
          <cell r="I446">
            <v>42.476038891387844</v>
          </cell>
          <cell r="J446">
            <v>12.899999999999999</v>
          </cell>
          <cell r="K446">
            <v>547.94090169890308</v>
          </cell>
          <cell r="L446">
            <v>2.60876254305624</v>
          </cell>
          <cell r="M446">
            <v>1.9213006722588168E-2</v>
          </cell>
        </row>
        <row r="447">
          <cell r="A447" t="str">
            <v>PLP001REF</v>
          </cell>
          <cell r="B447" t="str">
            <v>Lemon Cells REFRIGERATED</v>
          </cell>
          <cell r="E447" t="str">
            <v>Pulp</v>
          </cell>
          <cell r="F447" t="str">
            <v>LB</v>
          </cell>
          <cell r="G447">
            <v>0</v>
          </cell>
          <cell r="H447">
            <v>1414.2857142857142</v>
          </cell>
          <cell r="I447">
            <v>0</v>
          </cell>
          <cell r="J447">
            <v>12.899999999999999</v>
          </cell>
          <cell r="K447">
            <v>0</v>
          </cell>
          <cell r="L447">
            <v>2.60876254305624</v>
          </cell>
          <cell r="M447">
            <v>2.3795076529088733E-2</v>
          </cell>
        </row>
        <row r="448">
          <cell r="A448" t="str">
            <v>PLP002</v>
          </cell>
          <cell r="B448" t="str">
            <v>Valencia Cells</v>
          </cell>
          <cell r="E448" t="str">
            <v>Pulp</v>
          </cell>
          <cell r="F448" t="str">
            <v>LB</v>
          </cell>
          <cell r="G448">
            <v>185409.6</v>
          </cell>
          <cell r="H448">
            <v>1500</v>
          </cell>
          <cell r="I448">
            <v>123.60640000000001</v>
          </cell>
          <cell r="J448">
            <v>12.899999999999999</v>
          </cell>
          <cell r="K448">
            <v>1594.5225599999999</v>
          </cell>
          <cell r="L448">
            <v>2.60876254305624</v>
          </cell>
          <cell r="M448">
            <v>2.2435357870283664E-2</v>
          </cell>
        </row>
        <row r="449">
          <cell r="A449" t="str">
            <v>PLP002CA</v>
          </cell>
          <cell r="B449" t="str">
            <v>Valencia Cells - California [PLP002CA]</v>
          </cell>
          <cell r="E449" t="str">
            <v>Pulp</v>
          </cell>
          <cell r="F449" t="str">
            <v>LB</v>
          </cell>
          <cell r="G449">
            <v>49875</v>
          </cell>
          <cell r="H449">
            <v>1500</v>
          </cell>
          <cell r="I449">
            <v>33.25</v>
          </cell>
          <cell r="J449">
            <v>12.899999999999999</v>
          </cell>
          <cell r="K449">
            <v>428.92499999999995</v>
          </cell>
          <cell r="L449">
            <v>2.60876254305624</v>
          </cell>
          <cell r="M449">
            <v>2.2435357870283664E-2</v>
          </cell>
        </row>
        <row r="450">
          <cell r="A450" t="str">
            <v>PLP005</v>
          </cell>
          <cell r="B450" t="str">
            <v>Blended Orange Pulp Cells</v>
          </cell>
          <cell r="E450" t="str">
            <v>Pulp</v>
          </cell>
          <cell r="F450" t="str">
            <v>LB</v>
          </cell>
          <cell r="G450">
            <v>173298.2</v>
          </cell>
          <cell r="H450">
            <v>1500</v>
          </cell>
          <cell r="I450">
            <v>115.53213333333333</v>
          </cell>
          <cell r="J450">
            <v>12.899999999999999</v>
          </cell>
          <cell r="K450">
            <v>1490.3645199999999</v>
          </cell>
          <cell r="L450">
            <v>2.60876254305624</v>
          </cell>
          <cell r="M450">
            <v>2.2435357870283664E-2</v>
          </cell>
        </row>
        <row r="451">
          <cell r="A451" t="str">
            <v>PUR001</v>
          </cell>
          <cell r="B451" t="str">
            <v>Strw Puree w/seeds [PUR001]</v>
          </cell>
          <cell r="E451" t="str">
            <v>Puree</v>
          </cell>
          <cell r="F451" t="str">
            <v>LB</v>
          </cell>
          <cell r="G451">
            <v>194733</v>
          </cell>
          <cell r="H451">
            <v>1749.3333333333333</v>
          </cell>
          <cell r="I451">
            <v>111.31840701219512</v>
          </cell>
          <cell r="J451">
            <v>12.899999999999999</v>
          </cell>
          <cell r="K451">
            <v>1436.007450457317</v>
          </cell>
          <cell r="L451">
            <v>2.60876254305624</v>
          </cell>
          <cell r="M451">
            <v>1.9237635368955123E-2</v>
          </cell>
        </row>
        <row r="452">
          <cell r="A452" t="str">
            <v>PUR009</v>
          </cell>
          <cell r="B452" t="str">
            <v>Banana Puree [PUR009]</v>
          </cell>
          <cell r="E452" t="str">
            <v>Puree</v>
          </cell>
          <cell r="F452" t="str">
            <v>LB</v>
          </cell>
          <cell r="G452">
            <v>59068</v>
          </cell>
          <cell r="H452">
            <v>2063.8918918918921</v>
          </cell>
          <cell r="I452">
            <v>28.619716096590015</v>
          </cell>
          <cell r="J452">
            <v>12.899999999999999</v>
          </cell>
          <cell r="K452">
            <v>369.19433764601115</v>
          </cell>
          <cell r="L452">
            <v>2.60876254305624</v>
          </cell>
          <cell r="M452">
            <v>1.6305619949200451E-2</v>
          </cell>
        </row>
        <row r="453">
          <cell r="A453" t="str">
            <v>PUR013</v>
          </cell>
          <cell r="B453" t="str">
            <v>Blueberry Puree</v>
          </cell>
          <cell r="E453" t="str">
            <v>Puree</v>
          </cell>
          <cell r="F453" t="str">
            <v>LB</v>
          </cell>
          <cell r="G453">
            <v>0</v>
          </cell>
          <cell r="H453">
            <v>1600</v>
          </cell>
          <cell r="I453">
            <v>0</v>
          </cell>
          <cell r="J453">
            <v>12.899999999999999</v>
          </cell>
          <cell r="K453">
            <v>0</v>
          </cell>
          <cell r="L453">
            <v>2.60876254305624</v>
          </cell>
          <cell r="M453">
            <v>2.1033148003390935E-2</v>
          </cell>
        </row>
        <row r="454">
          <cell r="A454" t="str">
            <v>PUR015</v>
          </cell>
          <cell r="B454" t="str">
            <v>Mango Puree 16 Brix [PUR015]</v>
          </cell>
          <cell r="E454" t="str">
            <v>Puree</v>
          </cell>
          <cell r="F454" t="str">
            <v>LB</v>
          </cell>
          <cell r="G454">
            <v>0</v>
          </cell>
          <cell r="H454">
            <v>1600</v>
          </cell>
          <cell r="I454">
            <v>0</v>
          </cell>
          <cell r="J454">
            <v>12.899999999999999</v>
          </cell>
          <cell r="K454">
            <v>0</v>
          </cell>
          <cell r="L454">
            <v>2.60876254305624</v>
          </cell>
          <cell r="M454">
            <v>2.1033148003390935E-2</v>
          </cell>
        </row>
        <row r="455">
          <cell r="A455" t="str">
            <v>PUR017</v>
          </cell>
          <cell r="B455" t="str">
            <v>Strw Puree 7 Brix - seedless [PUR017]</v>
          </cell>
          <cell r="E455" t="str">
            <v>Puree</v>
          </cell>
          <cell r="F455" t="str">
            <v>LB</v>
          </cell>
          <cell r="G455">
            <v>184001</v>
          </cell>
          <cell r="H455">
            <v>1764</v>
          </cell>
          <cell r="I455">
            <v>104.30895691609977</v>
          </cell>
          <cell r="J455">
            <v>12.899999999999999</v>
          </cell>
          <cell r="K455">
            <v>1345.5855442176869</v>
          </cell>
          <cell r="L455">
            <v>2.60876254305624</v>
          </cell>
          <cell r="M455">
            <v>1.9077685263846653E-2</v>
          </cell>
        </row>
        <row r="456">
          <cell r="A456" t="str">
            <v>PUR020</v>
          </cell>
          <cell r="B456" t="str">
            <v>Apple Puree .033 screen [PUR020]</v>
          </cell>
          <cell r="E456" t="str">
            <v>Puree</v>
          </cell>
          <cell r="F456" t="str">
            <v>LB</v>
          </cell>
          <cell r="G456">
            <v>51792</v>
          </cell>
          <cell r="H456">
            <v>1403.1111111111111</v>
          </cell>
          <cell r="I456">
            <v>36.912258473234083</v>
          </cell>
          <cell r="J456">
            <v>12.899999999999999</v>
          </cell>
          <cell r="K456">
            <v>476.16813430471962</v>
          </cell>
          <cell r="L456">
            <v>2.60876254305624</v>
          </cell>
          <cell r="M456">
            <v>2.3984584356099892E-2</v>
          </cell>
        </row>
        <row r="457">
          <cell r="A457" t="str">
            <v>PUR032</v>
          </cell>
          <cell r="B457" t="str">
            <v>Aseptic Peach Puree [PUR032]</v>
          </cell>
          <cell r="E457" t="str">
            <v>Puree</v>
          </cell>
          <cell r="F457" t="str">
            <v>LB</v>
          </cell>
          <cell r="G457">
            <v>29942</v>
          </cell>
          <cell r="H457">
            <v>1896</v>
          </cell>
          <cell r="I457">
            <v>15.792194092827005</v>
          </cell>
          <cell r="J457">
            <v>12.899999999999999</v>
          </cell>
          <cell r="K457">
            <v>203.71930379746834</v>
          </cell>
          <cell r="L457">
            <v>2.60876254305624</v>
          </cell>
          <cell r="M457">
            <v>1.7749491985983912E-2</v>
          </cell>
        </row>
        <row r="458">
          <cell r="A458" t="str">
            <v>PUR035</v>
          </cell>
          <cell r="B458" t="str">
            <v>Carrot Puree w/Citric Acid 8 Brix [PUR035]</v>
          </cell>
          <cell r="E458" t="str">
            <v>Puree</v>
          </cell>
          <cell r="F458" t="str">
            <v>LB</v>
          </cell>
          <cell r="G458">
            <v>0</v>
          </cell>
          <cell r="H458">
            <v>1600</v>
          </cell>
          <cell r="I458">
            <v>0</v>
          </cell>
          <cell r="J458">
            <v>12.899999999999999</v>
          </cell>
          <cell r="K458">
            <v>0</v>
          </cell>
          <cell r="L458">
            <v>2.60876254305624</v>
          </cell>
          <cell r="M458">
            <v>2.1033148003390935E-2</v>
          </cell>
        </row>
        <row r="459">
          <cell r="A459" t="str">
            <v>PUR046</v>
          </cell>
          <cell r="B459" t="str">
            <v>Aseptic Mango Puree 16 Brix [PUR046]</v>
          </cell>
          <cell r="E459" t="str">
            <v>Puree</v>
          </cell>
          <cell r="F459" t="str">
            <v>LB</v>
          </cell>
          <cell r="G459">
            <v>157140</v>
          </cell>
          <cell r="H459">
            <v>1862.3982300884957</v>
          </cell>
          <cell r="I459">
            <v>84.375080184936152</v>
          </cell>
          <cell r="J459">
            <v>12.899999999999999</v>
          </cell>
          <cell r="K459">
            <v>1088.4385343856763</v>
          </cell>
          <cell r="L459">
            <v>2.60876254305624</v>
          </cell>
          <cell r="M459">
            <v>1.8069731951917932E-2</v>
          </cell>
        </row>
        <row r="460">
          <cell r="A460" t="str">
            <v>PUR050</v>
          </cell>
          <cell r="B460" t="str">
            <v>Prickly Pear Puree Blend 12 Brix - Dom/Imp [PUR050]</v>
          </cell>
          <cell r="E460" t="str">
            <v>Puree</v>
          </cell>
          <cell r="F460" t="str">
            <v>LB</v>
          </cell>
          <cell r="G460">
            <v>0</v>
          </cell>
          <cell r="H460">
            <v>1333.3333333333333</v>
          </cell>
          <cell r="I460">
            <v>0</v>
          </cell>
          <cell r="J460">
            <v>12.899999999999999</v>
          </cell>
          <cell r="K460">
            <v>0</v>
          </cell>
          <cell r="L460">
            <v>2.60876254305624</v>
          </cell>
          <cell r="M460">
            <v>2.5239777604069123E-2</v>
          </cell>
        </row>
        <row r="461">
          <cell r="A461" t="str">
            <v>PUR056</v>
          </cell>
          <cell r="B461" t="str">
            <v>Premium Imported Prickly Pear Puree [PUR056]</v>
          </cell>
          <cell r="E461" t="str">
            <v>Puree</v>
          </cell>
          <cell r="F461" t="str">
            <v>LB</v>
          </cell>
          <cell r="G461">
            <v>0</v>
          </cell>
          <cell r="H461">
            <v>2028</v>
          </cell>
          <cell r="I461">
            <v>0</v>
          </cell>
          <cell r="J461">
            <v>12.899999999999999</v>
          </cell>
          <cell r="K461">
            <v>0</v>
          </cell>
          <cell r="L461">
            <v>2.60876254305624</v>
          </cell>
          <cell r="M461">
            <v>1.6594199608197975E-2</v>
          </cell>
        </row>
        <row r="462">
          <cell r="A462" t="str">
            <v>SEA001</v>
          </cell>
          <cell r="B462" t="str">
            <v>Sea Salt [SEA001]</v>
          </cell>
          <cell r="E462" t="str">
            <v>Seasoning</v>
          </cell>
          <cell r="F462" t="str">
            <v>LB</v>
          </cell>
          <cell r="G462">
            <v>3150</v>
          </cell>
          <cell r="H462">
            <v>50</v>
          </cell>
          <cell r="I462">
            <v>63</v>
          </cell>
          <cell r="J462">
            <v>39</v>
          </cell>
          <cell r="K462">
            <v>2457</v>
          </cell>
          <cell r="L462">
            <v>2.60876254305624</v>
          </cell>
          <cell r="M462">
            <v>2.0348347835838672</v>
          </cell>
        </row>
        <row r="463">
          <cell r="A463" t="str">
            <v>SEA002</v>
          </cell>
          <cell r="B463" t="str">
            <v>Whole Celery Seed [SEA002]</v>
          </cell>
          <cell r="E463" t="str">
            <v>Seasoning</v>
          </cell>
          <cell r="F463" t="str">
            <v>LB</v>
          </cell>
          <cell r="G463">
            <v>650</v>
          </cell>
          <cell r="H463">
            <v>500</v>
          </cell>
          <cell r="I463">
            <v>1.3</v>
          </cell>
          <cell r="J463">
            <v>39</v>
          </cell>
          <cell r="K463">
            <v>50.7</v>
          </cell>
          <cell r="L463">
            <v>2.60876254305624</v>
          </cell>
          <cell r="M463">
            <v>0.20348347835838673</v>
          </cell>
        </row>
        <row r="464">
          <cell r="A464" t="str">
            <v>SEA003</v>
          </cell>
          <cell r="B464" t="str">
            <v>Black Pepper, 22 mesh grind</v>
          </cell>
          <cell r="E464" t="str">
            <v>Seasoning</v>
          </cell>
          <cell r="F464" t="str">
            <v>LB</v>
          </cell>
          <cell r="G464">
            <v>300</v>
          </cell>
          <cell r="H464">
            <v>40</v>
          </cell>
          <cell r="I464">
            <v>7.5</v>
          </cell>
          <cell r="J464">
            <v>39</v>
          </cell>
          <cell r="K464">
            <v>292.5</v>
          </cell>
          <cell r="L464">
            <v>2.60876254305624</v>
          </cell>
          <cell r="M464">
            <v>2.5435434794798342</v>
          </cell>
        </row>
        <row r="465">
          <cell r="A465" t="str">
            <v>SEA004</v>
          </cell>
          <cell r="B465" t="str">
            <v>Ground Cloves</v>
          </cell>
          <cell r="E465" t="str">
            <v>Seasoning</v>
          </cell>
          <cell r="F465" t="str">
            <v>LB</v>
          </cell>
          <cell r="G465">
            <v>50</v>
          </cell>
          <cell r="H465">
            <v>50</v>
          </cell>
          <cell r="I465">
            <v>1</v>
          </cell>
          <cell r="J465">
            <v>39</v>
          </cell>
          <cell r="K465">
            <v>39</v>
          </cell>
          <cell r="L465">
            <v>2.60876254305624</v>
          </cell>
          <cell r="M465">
            <v>2.0348347835838672</v>
          </cell>
        </row>
        <row r="466">
          <cell r="A466" t="str">
            <v>SEA005</v>
          </cell>
          <cell r="B466" t="str">
            <v>Onion Powder</v>
          </cell>
          <cell r="E466" t="str">
            <v>Seasoning</v>
          </cell>
          <cell r="F466" t="str">
            <v>LB</v>
          </cell>
          <cell r="G466">
            <v>100</v>
          </cell>
          <cell r="H466">
            <v>50</v>
          </cell>
          <cell r="I466">
            <v>2</v>
          </cell>
          <cell r="J466">
            <v>39</v>
          </cell>
          <cell r="K466">
            <v>78</v>
          </cell>
          <cell r="L466">
            <v>2.60876254305624</v>
          </cell>
          <cell r="M466">
            <v>2.0348347835838672</v>
          </cell>
        </row>
        <row r="467">
          <cell r="A467" t="str">
            <v>SEA006</v>
          </cell>
          <cell r="B467" t="str">
            <v>Ground Cayenne Pepper</v>
          </cell>
          <cell r="E467" t="str">
            <v>Seasoning</v>
          </cell>
          <cell r="F467" t="str">
            <v>LB</v>
          </cell>
          <cell r="G467">
            <v>50</v>
          </cell>
          <cell r="H467">
            <v>50</v>
          </cell>
          <cell r="I467">
            <v>1</v>
          </cell>
          <cell r="J467">
            <v>39</v>
          </cell>
          <cell r="K467">
            <v>39</v>
          </cell>
          <cell r="L467">
            <v>2.60876254305624</v>
          </cell>
          <cell r="M467">
            <v>2.0348347835838672</v>
          </cell>
        </row>
        <row r="468">
          <cell r="A468" t="str">
            <v>SEA007</v>
          </cell>
          <cell r="B468" t="str">
            <v>Garlic Powder</v>
          </cell>
          <cell r="E468" t="str">
            <v>Seasoning</v>
          </cell>
          <cell r="F468" t="str">
            <v>LB</v>
          </cell>
          <cell r="G468">
            <v>250</v>
          </cell>
          <cell r="H468">
            <v>25</v>
          </cell>
          <cell r="I468">
            <v>10</v>
          </cell>
          <cell r="J468">
            <v>39</v>
          </cell>
          <cell r="K468">
            <v>390</v>
          </cell>
          <cell r="L468">
            <v>2.60876254305624</v>
          </cell>
          <cell r="M468">
            <v>4.0696695671677343</v>
          </cell>
        </row>
        <row r="469">
          <cell r="A469" t="str">
            <v>SEA009</v>
          </cell>
          <cell r="B469" t="str">
            <v>Balsamic Vinegar, 60 grain [SEA009]</v>
          </cell>
          <cell r="E469" t="str">
            <v>Seasoning</v>
          </cell>
          <cell r="F469" t="str">
            <v>LB</v>
          </cell>
          <cell r="G469">
            <v>2433.1</v>
          </cell>
          <cell r="H469">
            <v>37</v>
          </cell>
          <cell r="I469">
            <v>65.759459459459464</v>
          </cell>
          <cell r="J469">
            <v>39</v>
          </cell>
          <cell r="K469">
            <v>2564.618918918919</v>
          </cell>
          <cell r="L469">
            <v>2.60876254305624</v>
          </cell>
          <cell r="M469">
            <v>2.7497767345727935</v>
          </cell>
        </row>
        <row r="470">
          <cell r="A470" t="str">
            <v>SEA010</v>
          </cell>
          <cell r="B470" t="str">
            <v>Cholula Hot Sauce [SEA010]</v>
          </cell>
          <cell r="E470" t="str">
            <v>Seasoning</v>
          </cell>
          <cell r="F470" t="str">
            <v>LB</v>
          </cell>
          <cell r="G470">
            <v>6881</v>
          </cell>
          <cell r="H470">
            <v>1940</v>
          </cell>
          <cell r="I470">
            <v>3.5469072164948452</v>
          </cell>
          <cell r="J470">
            <v>39</v>
          </cell>
          <cell r="K470">
            <v>138.32938144329896</v>
          </cell>
          <cell r="L470">
            <v>2.60876254305624</v>
          </cell>
          <cell r="M470">
            <v>5.2444195453192455E-2</v>
          </cell>
        </row>
        <row r="471">
          <cell r="A471" t="str">
            <v>SEA013</v>
          </cell>
          <cell r="B471" t="str">
            <v>White Vinegar, 100 grain distilled</v>
          </cell>
          <cell r="E471" t="str">
            <v>Seasoning</v>
          </cell>
          <cell r="F471" t="str">
            <v>LB</v>
          </cell>
          <cell r="G471">
            <v>3536</v>
          </cell>
          <cell r="H471">
            <v>1940</v>
          </cell>
          <cell r="I471">
            <v>1.822680412371134</v>
          </cell>
          <cell r="J471">
            <v>39</v>
          </cell>
          <cell r="K471">
            <v>71.08453608247423</v>
          </cell>
          <cell r="L471">
            <v>2.60876254305624</v>
          </cell>
          <cell r="M471">
            <v>5.2444195453192455E-2</v>
          </cell>
        </row>
        <row r="472">
          <cell r="A472" t="str">
            <v>SWT004</v>
          </cell>
          <cell r="B472" t="str">
            <v>Organic Agave Syrup in Drums [SWT004]</v>
          </cell>
          <cell r="E472" t="str">
            <v>Sweetener</v>
          </cell>
          <cell r="F472" t="str">
            <v>LB</v>
          </cell>
          <cell r="G472">
            <v>0</v>
          </cell>
          <cell r="H472">
            <v>2695.1363636363635</v>
          </cell>
          <cell r="I472">
            <v>0</v>
          </cell>
          <cell r="J472">
            <v>4</v>
          </cell>
          <cell r="K472">
            <v>0</v>
          </cell>
          <cell r="L472">
            <v>2.60876254305624</v>
          </cell>
          <cell r="M472">
            <v>3.8718078658349069E-3</v>
          </cell>
        </row>
        <row r="473">
          <cell r="A473" t="str">
            <v>SWT004T</v>
          </cell>
          <cell r="B473" t="str">
            <v>Organic Agave Syrup in Totes</v>
          </cell>
          <cell r="E473" t="str">
            <v>Sweetener</v>
          </cell>
          <cell r="F473" t="str">
            <v>LB</v>
          </cell>
          <cell r="G473">
            <v>132924</v>
          </cell>
          <cell r="H473">
            <v>2976</v>
          </cell>
          <cell r="I473">
            <v>44.66532258064516</v>
          </cell>
          <cell r="J473">
            <v>4</v>
          </cell>
          <cell r="K473">
            <v>178.66129032258064</v>
          </cell>
          <cell r="L473">
            <v>2.60876254305624</v>
          </cell>
          <cell r="M473">
            <v>3.5064012675487099E-3</v>
          </cell>
        </row>
        <row r="474">
          <cell r="A474" t="str">
            <v>SWT008</v>
          </cell>
          <cell r="B474" t="str">
            <v>Evaporated Cane Juice [SWT008]</v>
          </cell>
          <cell r="E474" t="str">
            <v>Sweetener</v>
          </cell>
          <cell r="F474" t="str">
            <v>LB</v>
          </cell>
          <cell r="G474">
            <v>0</v>
          </cell>
          <cell r="H474">
            <v>2500</v>
          </cell>
          <cell r="I474">
            <v>0</v>
          </cell>
          <cell r="J474">
            <v>4</v>
          </cell>
          <cell r="K474">
            <v>0</v>
          </cell>
          <cell r="L474">
            <v>2.60876254305624</v>
          </cell>
          <cell r="M474">
            <v>4.1740200688899836E-3</v>
          </cell>
        </row>
        <row r="475">
          <cell r="A475" t="str">
            <v>SWT008T</v>
          </cell>
          <cell r="B475" t="str">
            <v>Evaporated Cane Juice Tote</v>
          </cell>
          <cell r="E475" t="str">
            <v>Sweetener</v>
          </cell>
          <cell r="F475" t="str">
            <v>LB</v>
          </cell>
          <cell r="G475">
            <v>402852</v>
          </cell>
          <cell r="H475">
            <v>2215</v>
          </cell>
          <cell r="I475">
            <v>181.87449209932279</v>
          </cell>
          <cell r="J475">
            <v>4</v>
          </cell>
          <cell r="K475">
            <v>727.49796839729117</v>
          </cell>
          <cell r="L475">
            <v>2.60876254305624</v>
          </cell>
          <cell r="M475">
            <v>4.7110835991986278E-3</v>
          </cell>
        </row>
        <row r="476">
          <cell r="A476" t="str">
            <v>SWT009</v>
          </cell>
          <cell r="B476" t="str">
            <v>Cane Sugar Totes [SWT009]</v>
          </cell>
          <cell r="E476" t="str">
            <v>Sweetener</v>
          </cell>
          <cell r="F476" t="str">
            <v>LB</v>
          </cell>
          <cell r="G476">
            <v>4006557.1999999997</v>
          </cell>
          <cell r="H476">
            <v>2198.9920634920636</v>
          </cell>
          <cell r="I476">
            <v>1821.9971170052656</v>
          </cell>
          <cell r="J476">
            <v>4</v>
          </cell>
          <cell r="K476">
            <v>7287.9884680210625</v>
          </cell>
          <cell r="L476">
            <v>2.60876254305624</v>
          </cell>
          <cell r="M476">
            <v>4.7453787330427174E-3</v>
          </cell>
        </row>
        <row r="477">
          <cell r="A477" t="str">
            <v>SWT012</v>
          </cell>
          <cell r="B477" t="str">
            <v>Molasses [SWT012]</v>
          </cell>
          <cell r="E477" t="str">
            <v>Sweetener</v>
          </cell>
          <cell r="F477" t="str">
            <v>LB</v>
          </cell>
          <cell r="G477">
            <v>8197</v>
          </cell>
          <cell r="H477">
            <v>59</v>
          </cell>
          <cell r="I477">
            <v>138.93220338983051</v>
          </cell>
          <cell r="J477">
            <v>4</v>
          </cell>
          <cell r="K477">
            <v>555.72881355932202</v>
          </cell>
          <cell r="L477">
            <v>2.60876254305624</v>
          </cell>
          <cell r="M477">
            <v>0.17686525715635526</v>
          </cell>
        </row>
        <row r="478">
          <cell r="A478" t="str">
            <v>SWT013</v>
          </cell>
          <cell r="B478" t="str">
            <v>Tasteva Stevia [SWT013]</v>
          </cell>
          <cell r="E478" t="str">
            <v>Sweetener</v>
          </cell>
          <cell r="F478" t="str">
            <v>LB</v>
          </cell>
          <cell r="G478">
            <v>132.1848</v>
          </cell>
          <cell r="H478">
            <v>22</v>
          </cell>
          <cell r="I478">
            <v>6.0084</v>
          </cell>
          <cell r="J478">
            <v>4</v>
          </cell>
          <cell r="K478">
            <v>24.0336</v>
          </cell>
          <cell r="L478">
            <v>2.60876254305624</v>
          </cell>
          <cell r="M478">
            <v>0.47432046237386183</v>
          </cell>
        </row>
        <row r="479">
          <cell r="A479" t="str">
            <v>VEG001</v>
          </cell>
          <cell r="B479" t="str">
            <v>Tomato Paste 37% NTSS .33 Screen [VEG001]</v>
          </cell>
          <cell r="E479" t="str">
            <v>Veggie</v>
          </cell>
          <cell r="F479" t="str">
            <v>LB</v>
          </cell>
          <cell r="G479">
            <v>47089</v>
          </cell>
          <cell r="H479">
            <v>534</v>
          </cell>
          <cell r="I479">
            <v>88.18164794007491</v>
          </cell>
          <cell r="J479">
            <v>12.899999999999999</v>
          </cell>
          <cell r="K479">
            <v>1137.5432584269663</v>
          </cell>
          <cell r="L479">
            <v>2.60876254305624</v>
          </cell>
          <cell r="M479">
            <v>6.3020668174954109E-2</v>
          </cell>
        </row>
        <row r="480">
          <cell r="A480" t="str">
            <v>VEG013</v>
          </cell>
          <cell r="B480" t="str">
            <v>Horseradish [VEG013]</v>
          </cell>
          <cell r="E480" t="str">
            <v>Veggie</v>
          </cell>
          <cell r="F480" t="str">
            <v>LB</v>
          </cell>
          <cell r="G480">
            <v>800</v>
          </cell>
          <cell r="H480">
            <v>480</v>
          </cell>
          <cell r="I480">
            <v>1.6666666666666667</v>
          </cell>
          <cell r="J480">
            <v>12.899999999999999</v>
          </cell>
          <cell r="K480">
            <v>21.5</v>
          </cell>
          <cell r="L480">
            <v>2.60876254305624</v>
          </cell>
          <cell r="M480">
            <v>7.011049334463644E-2</v>
          </cell>
        </row>
        <row r="481">
          <cell r="A481" t="str">
            <v>VEG018</v>
          </cell>
          <cell r="B481" t="str">
            <v>Chili Pepper Puree</v>
          </cell>
          <cell r="E481" t="str">
            <v>Veggie</v>
          </cell>
          <cell r="F481" t="str">
            <v>LB</v>
          </cell>
          <cell r="G481">
            <v>1339.73</v>
          </cell>
          <cell r="H481">
            <v>2032</v>
          </cell>
          <cell r="I481">
            <v>0.65931594488188983</v>
          </cell>
          <cell r="J481">
            <v>12.899999999999999</v>
          </cell>
          <cell r="K481">
            <v>8.5051756889763777</v>
          </cell>
          <cell r="L481">
            <v>2.60876254305624</v>
          </cell>
          <cell r="M481">
            <v>1.6561533860937745E-2</v>
          </cell>
        </row>
        <row r="482">
          <cell r="A482" t="str">
            <v>W03645</v>
          </cell>
          <cell r="B482" t="str">
            <v>Wendy's 3+1 LA Box Label</v>
          </cell>
          <cell r="E482" t="str">
            <v>Label</v>
          </cell>
          <cell r="F482" t="str">
            <v>EA</v>
          </cell>
          <cell r="G482">
            <v>54000</v>
          </cell>
          <cell r="H482">
            <v>100000</v>
          </cell>
          <cell r="I482">
            <v>0.54</v>
          </cell>
          <cell r="J482">
            <v>6</v>
          </cell>
          <cell r="K482">
            <v>3.24</v>
          </cell>
          <cell r="L482">
            <v>2.60876254305624</v>
          </cell>
          <cell r="M482">
            <v>1.5652575258337439E-4</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vJALO2V0-U-MPZ9EPWNVdl7pZWXS939Fis9l81SI_n1L0ThUt9wKQJskSjRGTkfR" itemId="01WXXYHZ6Z4LNCX6KTLNA2D4AVULGKA36S">
      <xxl21:absoluteUrl r:id="rId2"/>
    </xxl21:alternateUrls>
    <sheetNames>
      <sheetName val="Alameda Capitalization"/>
      <sheetName val="Pallet Weeks"/>
      <sheetName val="11 Inventory 101421"/>
      <sheetName val="BOM Explosion"/>
      <sheetName val="Hours and OEE by Product"/>
    </sheetNames>
    <sheetDataSet>
      <sheetData sheetId="0">
        <row r="7">
          <cell r="A7">
            <v>1070</v>
          </cell>
          <cell r="B7" t="str">
            <v>i-Squeeze Valencia OJ 61.5oz 6pk FZN</v>
          </cell>
          <cell r="C7">
            <v>547</v>
          </cell>
          <cell r="D7" t="str">
            <v>FG Frozen</v>
          </cell>
          <cell r="E7">
            <v>10</v>
          </cell>
          <cell r="F7">
            <v>23</v>
          </cell>
          <cell r="G7">
            <v>119.36</v>
          </cell>
          <cell r="H7" t="str">
            <v>CS</v>
          </cell>
          <cell r="I7">
            <v>1566</v>
          </cell>
          <cell r="J7">
            <v>8952</v>
          </cell>
          <cell r="K7">
            <v>75</v>
          </cell>
          <cell r="L7">
            <v>1193.5999999999999</v>
          </cell>
          <cell r="M7">
            <v>4.2809406396473975</v>
          </cell>
          <cell r="N7">
            <v>0.57079208528631964</v>
          </cell>
        </row>
        <row r="8">
          <cell r="A8">
            <v>1390</v>
          </cell>
          <cell r="B8" t="str">
            <v>6+1 Blueberry Lavender Black Tea with Lemon FZN 48 GAL Drum</v>
          </cell>
          <cell r="C8">
            <v>547</v>
          </cell>
          <cell r="D8" t="str">
            <v>FG Frozen</v>
          </cell>
          <cell r="E8">
            <v>10</v>
          </cell>
          <cell r="F8">
            <v>23</v>
          </cell>
          <cell r="G8">
            <v>66</v>
          </cell>
          <cell r="H8" t="str">
            <v>CS</v>
          </cell>
          <cell r="I8">
            <v>85</v>
          </cell>
          <cell r="J8">
            <v>264</v>
          </cell>
          <cell r="K8">
            <v>4</v>
          </cell>
          <cell r="L8">
            <v>660</v>
          </cell>
          <cell r="M8">
            <v>4.2809406396473975</v>
          </cell>
          <cell r="N8">
            <v>10.702351599118494</v>
          </cell>
        </row>
        <row r="9">
          <cell r="A9">
            <v>1391</v>
          </cell>
          <cell r="B9" t="str">
            <v>6+1 Peach Honey Chamomile Tea with Lemon FZN 48 GAL Drum</v>
          </cell>
          <cell r="C9">
            <v>547</v>
          </cell>
          <cell r="D9" t="str">
            <v>FG Frozen</v>
          </cell>
          <cell r="E9">
            <v>10</v>
          </cell>
          <cell r="F9">
            <v>24</v>
          </cell>
          <cell r="G9">
            <v>96</v>
          </cell>
          <cell r="H9" t="str">
            <v>CS</v>
          </cell>
          <cell r="I9">
            <v>91</v>
          </cell>
          <cell r="J9">
            <v>384</v>
          </cell>
          <cell r="K9">
            <v>4</v>
          </cell>
          <cell r="L9">
            <v>960</v>
          </cell>
          <cell r="M9">
            <v>4.2809406396473975</v>
          </cell>
          <cell r="N9">
            <v>10.702351599118494</v>
          </cell>
        </row>
        <row r="10">
          <cell r="A10">
            <v>1142</v>
          </cell>
          <cell r="B10" t="str">
            <v>SOJO 100% Valencia OJ 61.5oz 6pk FZN</v>
          </cell>
          <cell r="C10">
            <v>547</v>
          </cell>
          <cell r="D10" t="str">
            <v>FG Frozen</v>
          </cell>
          <cell r="E10">
            <v>10</v>
          </cell>
          <cell r="F10">
            <v>23</v>
          </cell>
          <cell r="G10">
            <v>79.573333333333338</v>
          </cell>
          <cell r="H10" t="str">
            <v>CS</v>
          </cell>
          <cell r="I10">
            <v>1627</v>
          </cell>
          <cell r="J10">
            <v>5968</v>
          </cell>
          <cell r="K10">
            <v>75</v>
          </cell>
          <cell r="L10">
            <v>795.73333333333335</v>
          </cell>
          <cell r="M10">
            <v>4.2809406396473975</v>
          </cell>
          <cell r="N10">
            <v>0.57079208528631964</v>
          </cell>
        </row>
        <row r="11">
          <cell r="A11">
            <v>1701</v>
          </cell>
          <cell r="B11" t="str">
            <v>Cava Blueberry Lavender Puree FZN 6pk 30.5oz</v>
          </cell>
          <cell r="C11">
            <v>547</v>
          </cell>
          <cell r="D11" t="str">
            <v>FG Frozen</v>
          </cell>
          <cell r="E11">
            <v>10</v>
          </cell>
          <cell r="F11">
            <v>3</v>
          </cell>
          <cell r="G11">
            <v>4.3214478666666656</v>
          </cell>
          <cell r="H11" t="str">
            <v>CS</v>
          </cell>
          <cell r="I11">
            <v>310</v>
          </cell>
          <cell r="J11">
            <v>324.10858999999994</v>
          </cell>
          <cell r="K11">
            <v>75</v>
          </cell>
          <cell r="L11">
            <v>43.214478666666658</v>
          </cell>
          <cell r="M11">
            <v>4.2809406396473975</v>
          </cell>
          <cell r="N11">
            <v>0.57079208528631964</v>
          </cell>
        </row>
        <row r="12">
          <cell r="A12">
            <v>1953</v>
          </cell>
          <cell r="B12" t="str">
            <v>Panera 5+1 Prickly Pear,Hib,Lime Agua Fresca NSA 61.5oz 6pk FZN [1953]</v>
          </cell>
          <cell r="C12">
            <v>365</v>
          </cell>
          <cell r="D12" t="str">
            <v>FG Frozen</v>
          </cell>
          <cell r="E12">
            <v>10</v>
          </cell>
          <cell r="F12">
            <v>18</v>
          </cell>
          <cell r="G12">
            <v>57.086984533333329</v>
          </cell>
          <cell r="H12" t="str">
            <v>CS</v>
          </cell>
          <cell r="I12">
            <v>1234</v>
          </cell>
          <cell r="J12">
            <v>4281.5238399999998</v>
          </cell>
          <cell r="K12">
            <v>75</v>
          </cell>
          <cell r="L12">
            <v>570.86984533333327</v>
          </cell>
          <cell r="M12">
            <v>4.2809406396473975</v>
          </cell>
          <cell r="N12">
            <v>0.57079208528631964</v>
          </cell>
        </row>
        <row r="13">
          <cell r="A13">
            <v>2520</v>
          </cell>
          <cell r="B13" t="str">
            <v>SO Mixed Berry Omija 6+1 FZN HGln 6pk</v>
          </cell>
          <cell r="C13">
            <v>547</v>
          </cell>
          <cell r="D13" t="str">
            <v>FG Frozen</v>
          </cell>
          <cell r="E13">
            <v>10</v>
          </cell>
          <cell r="F13">
            <v>1</v>
          </cell>
          <cell r="G13">
            <v>0.6166666666666667</v>
          </cell>
          <cell r="H13" t="str">
            <v>CS</v>
          </cell>
          <cell r="I13">
            <v>37</v>
          </cell>
          <cell r="J13">
            <v>37</v>
          </cell>
          <cell r="K13">
            <v>60</v>
          </cell>
          <cell r="L13">
            <v>6.166666666666667</v>
          </cell>
          <cell r="M13">
            <v>4.2809406396473975</v>
          </cell>
          <cell r="N13">
            <v>0.71349010660789958</v>
          </cell>
        </row>
        <row r="14">
          <cell r="A14">
            <v>2752</v>
          </cell>
          <cell r="B14" t="str">
            <v>Panera Mango Fruit Base No Refined Sugar Added FZN [2752]</v>
          </cell>
          <cell r="C14">
            <v>365</v>
          </cell>
          <cell r="D14" t="str">
            <v>FG Frozen</v>
          </cell>
          <cell r="E14">
            <v>10</v>
          </cell>
          <cell r="F14">
            <v>17</v>
          </cell>
          <cell r="G14">
            <v>225.92144320000003</v>
          </cell>
          <cell r="H14" t="str">
            <v>CS</v>
          </cell>
          <cell r="I14">
            <v>1176</v>
          </cell>
          <cell r="J14">
            <v>16944.108240000001</v>
          </cell>
          <cell r="K14">
            <v>75</v>
          </cell>
          <cell r="L14">
            <v>2259.2144320000002</v>
          </cell>
          <cell r="M14">
            <v>4.2809406396473975</v>
          </cell>
          <cell r="N14">
            <v>0.57079208528631964</v>
          </cell>
        </row>
        <row r="15">
          <cell r="A15">
            <v>2753</v>
          </cell>
          <cell r="B15" t="str">
            <v>Panera Strawberry Fruit Base No Refined Sugar Added FZN [2753]</v>
          </cell>
          <cell r="C15">
            <v>365</v>
          </cell>
          <cell r="D15" t="str">
            <v>FG Frozen</v>
          </cell>
          <cell r="E15">
            <v>10</v>
          </cell>
          <cell r="F15">
            <v>61</v>
          </cell>
          <cell r="G15">
            <v>374.99323360000005</v>
          </cell>
          <cell r="H15" t="str">
            <v>CS</v>
          </cell>
          <cell r="I15">
            <v>4421</v>
          </cell>
          <cell r="J15">
            <v>28124.492520000003</v>
          </cell>
          <cell r="K15">
            <v>75</v>
          </cell>
          <cell r="L15">
            <v>3749.9323360000008</v>
          </cell>
          <cell r="M15">
            <v>4.2809406396473975</v>
          </cell>
          <cell r="N15">
            <v>0.57079208528631964</v>
          </cell>
        </row>
        <row r="16">
          <cell r="A16">
            <v>2762</v>
          </cell>
          <cell r="B16" t="str">
            <v>Panera Peach Mango Base Fzn 61.5 oz 6pk [2762]</v>
          </cell>
          <cell r="C16">
            <v>365</v>
          </cell>
          <cell r="D16" t="str">
            <v>FG Frozen</v>
          </cell>
          <cell r="E16">
            <v>10</v>
          </cell>
          <cell r="F16">
            <v>38</v>
          </cell>
          <cell r="G16">
            <v>328.74993293333335</v>
          </cell>
          <cell r="H16" t="str">
            <v>CS</v>
          </cell>
          <cell r="I16">
            <v>2650</v>
          </cell>
          <cell r="J16">
            <v>24656.24497</v>
          </cell>
          <cell r="K16">
            <v>75</v>
          </cell>
          <cell r="L16">
            <v>3287.4993293333337</v>
          </cell>
          <cell r="M16">
            <v>4.2809406396473975</v>
          </cell>
          <cell r="N16">
            <v>0.57079208528631964</v>
          </cell>
        </row>
        <row r="17">
          <cell r="A17">
            <v>4202</v>
          </cell>
          <cell r="B17" t="str">
            <v>SOI Lemon Juice FZN HGln 6pk [4202]</v>
          </cell>
          <cell r="C17">
            <v>547</v>
          </cell>
          <cell r="D17" t="str">
            <v>FG Frozen</v>
          </cell>
          <cell r="E17">
            <v>10</v>
          </cell>
          <cell r="F17">
            <v>5</v>
          </cell>
          <cell r="G17">
            <v>16.871909666666667</v>
          </cell>
          <cell r="H17" t="str">
            <v>CS</v>
          </cell>
          <cell r="I17">
            <v>259</v>
          </cell>
          <cell r="J17">
            <v>1012.31458</v>
          </cell>
          <cell r="K17">
            <v>60</v>
          </cell>
          <cell r="L17">
            <v>168.71909666666667</v>
          </cell>
          <cell r="M17">
            <v>4.2809406396473975</v>
          </cell>
          <cell r="N17">
            <v>0.71349010660789958</v>
          </cell>
        </row>
        <row r="18">
          <cell r="A18">
            <v>4225</v>
          </cell>
          <cell r="B18" t="str">
            <v>SOI Lemon Juice FZN Qt 6pk [4225]</v>
          </cell>
          <cell r="C18">
            <v>547</v>
          </cell>
          <cell r="D18" t="str">
            <v>FG Frozen</v>
          </cell>
          <cell r="E18">
            <v>10</v>
          </cell>
          <cell r="F18">
            <v>4</v>
          </cell>
          <cell r="G18">
            <v>24.275202416666666</v>
          </cell>
          <cell r="H18" t="str">
            <v>CS</v>
          </cell>
          <cell r="I18">
            <v>247</v>
          </cell>
          <cell r="J18">
            <v>2913.0242899999998</v>
          </cell>
          <cell r="K18">
            <v>120</v>
          </cell>
          <cell r="L18">
            <v>242.75202416666667</v>
          </cell>
          <cell r="M18">
            <v>4.2809406396473975</v>
          </cell>
          <cell r="N18">
            <v>0.35674505330394979</v>
          </cell>
        </row>
        <row r="19">
          <cell r="A19">
            <v>4502</v>
          </cell>
          <cell r="B19" t="str">
            <v>SOI Lemon Juice Gln 4pk [4502]</v>
          </cell>
          <cell r="C19">
            <v>60</v>
          </cell>
          <cell r="D19" t="str">
            <v>FG Refrigerated 60</v>
          </cell>
          <cell r="E19">
            <v>2</v>
          </cell>
          <cell r="F19">
            <v>17</v>
          </cell>
          <cell r="G19">
            <v>1350.3019966666668</v>
          </cell>
          <cell r="H19" t="str">
            <v>CS</v>
          </cell>
          <cell r="I19">
            <v>392</v>
          </cell>
          <cell r="J19">
            <v>81018.119800000015</v>
          </cell>
          <cell r="K19">
            <v>60</v>
          </cell>
          <cell r="L19">
            <v>2700.6039933333336</v>
          </cell>
          <cell r="M19">
            <v>4.2809406396473975</v>
          </cell>
          <cell r="N19">
            <v>0.14269802132157991</v>
          </cell>
        </row>
        <row r="20">
          <cell r="A20" t="str">
            <v>4502F</v>
          </cell>
          <cell r="B20" t="str">
            <v>SOI Lemon Juice FZN Gln 4pk [4502F]</v>
          </cell>
          <cell r="C20">
            <v>548</v>
          </cell>
          <cell r="D20" t="str">
            <v>FG Frozen</v>
          </cell>
          <cell r="E20">
            <v>10</v>
          </cell>
          <cell r="F20">
            <v>10</v>
          </cell>
          <cell r="G20">
            <v>18.527293499999995</v>
          </cell>
          <cell r="H20" t="str">
            <v>CS</v>
          </cell>
          <cell r="I20">
            <v>343</v>
          </cell>
          <cell r="J20">
            <v>1111.6376099999998</v>
          </cell>
          <cell r="K20">
            <v>60</v>
          </cell>
          <cell r="L20">
            <v>185.27293499999996</v>
          </cell>
          <cell r="M20">
            <v>4.2809406396473975</v>
          </cell>
          <cell r="N20">
            <v>0.71349010660789958</v>
          </cell>
        </row>
        <row r="21">
          <cell r="A21">
            <v>4506</v>
          </cell>
          <cell r="B21" t="str">
            <v>Markon Lemon Juice HGln 6pk [4506]</v>
          </cell>
          <cell r="C21">
            <v>60</v>
          </cell>
          <cell r="D21" t="str">
            <v>FG Refrigerated 60</v>
          </cell>
          <cell r="E21">
            <v>2</v>
          </cell>
          <cell r="F21">
            <v>13</v>
          </cell>
          <cell r="G21">
            <v>389.79193786666661</v>
          </cell>
          <cell r="H21" t="str">
            <v>CS</v>
          </cell>
          <cell r="I21">
            <v>941</v>
          </cell>
          <cell r="J21">
            <v>29234.395339999995</v>
          </cell>
          <cell r="K21">
            <v>75</v>
          </cell>
          <cell r="L21">
            <v>779.58387573333323</v>
          </cell>
          <cell r="M21">
            <v>4.2809406396473975</v>
          </cell>
          <cell r="N21">
            <v>0.11415841705726393</v>
          </cell>
        </row>
        <row r="22">
          <cell r="A22">
            <v>4508</v>
          </cell>
          <cell r="B22" t="str">
            <v>Markon Lemon Juice Gln 4pk [4508]</v>
          </cell>
          <cell r="C22">
            <v>60</v>
          </cell>
          <cell r="D22" t="str">
            <v>FG Refrigerated 60</v>
          </cell>
          <cell r="E22">
            <v>2</v>
          </cell>
          <cell r="F22">
            <v>5</v>
          </cell>
          <cell r="G22">
            <v>388.45407216666661</v>
          </cell>
          <cell r="H22" t="str">
            <v>CS</v>
          </cell>
          <cell r="I22">
            <v>117</v>
          </cell>
          <cell r="J22">
            <v>23307.244329999998</v>
          </cell>
          <cell r="K22">
            <v>60</v>
          </cell>
          <cell r="L22">
            <v>776.90814433333321</v>
          </cell>
          <cell r="M22">
            <v>4.2809406396473975</v>
          </cell>
          <cell r="N22">
            <v>0.14269802132157991</v>
          </cell>
        </row>
        <row r="23">
          <cell r="A23">
            <v>4510</v>
          </cell>
          <cell r="B23" t="str">
            <v>Markon Lemon Juice Qt 16pk [4510]</v>
          </cell>
          <cell r="C23">
            <v>60</v>
          </cell>
          <cell r="D23" t="str">
            <v>FG Refrigerated 60</v>
          </cell>
          <cell r="E23">
            <v>2</v>
          </cell>
          <cell r="F23">
            <v>11</v>
          </cell>
          <cell r="G23">
            <v>265.10903500000001</v>
          </cell>
          <cell r="H23" t="str">
            <v>CS</v>
          </cell>
          <cell r="I23">
            <v>608</v>
          </cell>
          <cell r="J23">
            <v>15906.542099999999</v>
          </cell>
          <cell r="K23">
            <v>60</v>
          </cell>
          <cell r="L23">
            <v>530.21807000000001</v>
          </cell>
          <cell r="M23">
            <v>4.2809406396473975</v>
          </cell>
          <cell r="N23">
            <v>0.14269802132157991</v>
          </cell>
        </row>
        <row r="24">
          <cell r="A24">
            <v>4513</v>
          </cell>
          <cell r="B24" t="str">
            <v>SOI Lemon Juice HGln 6pk [4513]</v>
          </cell>
          <cell r="C24">
            <v>60</v>
          </cell>
          <cell r="D24" t="str">
            <v>FG Refrigerated 60</v>
          </cell>
          <cell r="E24">
            <v>2</v>
          </cell>
          <cell r="F24">
            <v>11</v>
          </cell>
          <cell r="G24">
            <v>147.37647933333335</v>
          </cell>
          <cell r="H24" t="str">
            <v>CS</v>
          </cell>
          <cell r="I24">
            <v>393</v>
          </cell>
          <cell r="J24">
            <v>11053.23595</v>
          </cell>
          <cell r="K24">
            <v>75</v>
          </cell>
          <cell r="L24">
            <v>294.7529586666667</v>
          </cell>
          <cell r="M24">
            <v>4.2809406396473975</v>
          </cell>
          <cell r="N24">
            <v>0.11415841705726393</v>
          </cell>
        </row>
        <row r="25">
          <cell r="A25">
            <v>4514</v>
          </cell>
          <cell r="B25" t="str">
            <v>SYSCO Lemon Juice HGln 6pk [4514]</v>
          </cell>
          <cell r="C25">
            <v>60</v>
          </cell>
          <cell r="D25" t="str">
            <v>FG Refrigerated 60</v>
          </cell>
          <cell r="E25">
            <v>2</v>
          </cell>
          <cell r="F25">
            <v>32</v>
          </cell>
          <cell r="G25">
            <v>683.91918053333336</v>
          </cell>
          <cell r="H25" t="str">
            <v>CS</v>
          </cell>
          <cell r="I25">
            <v>1055</v>
          </cell>
          <cell r="J25">
            <v>51293.938540000003</v>
          </cell>
          <cell r="K25">
            <v>75</v>
          </cell>
          <cell r="L25">
            <v>1367.8383610666667</v>
          </cell>
          <cell r="M25">
            <v>4.2809406396473975</v>
          </cell>
          <cell r="N25">
            <v>0.11415841705726393</v>
          </cell>
        </row>
        <row r="26">
          <cell r="A26">
            <v>4516</v>
          </cell>
          <cell r="B26" t="str">
            <v>SOI Lemon Juice Qt 6pk [4516]</v>
          </cell>
          <cell r="C26">
            <v>60</v>
          </cell>
          <cell r="D26" t="str">
            <v>FG Refrigerated 60</v>
          </cell>
          <cell r="E26">
            <v>2</v>
          </cell>
          <cell r="F26">
            <v>9</v>
          </cell>
          <cell r="G26">
            <v>238.16590116666666</v>
          </cell>
          <cell r="H26" t="str">
            <v>CS</v>
          </cell>
          <cell r="I26">
            <v>978</v>
          </cell>
          <cell r="J26">
            <v>28579.90814</v>
          </cell>
          <cell r="K26">
            <v>120</v>
          </cell>
          <cell r="L26">
            <v>476.33180233333331</v>
          </cell>
          <cell r="M26">
            <v>4.2809406396473975</v>
          </cell>
          <cell r="N26">
            <v>7.1349010660789955E-2</v>
          </cell>
        </row>
        <row r="27">
          <cell r="A27">
            <v>4591</v>
          </cell>
          <cell r="B27" t="str">
            <v>SYSCO Lemon Juice Gln 4pk [4591]</v>
          </cell>
          <cell r="C27">
            <v>60</v>
          </cell>
          <cell r="D27" t="str">
            <v>FG Refrigerated 60</v>
          </cell>
          <cell r="E27">
            <v>2</v>
          </cell>
          <cell r="F27">
            <v>27</v>
          </cell>
          <cell r="G27">
            <v>739.47449183333345</v>
          </cell>
          <cell r="H27" t="str">
            <v>CS</v>
          </cell>
          <cell r="I27">
            <v>1216</v>
          </cell>
          <cell r="J27">
            <v>44368.46951000001</v>
          </cell>
          <cell r="K27">
            <v>60</v>
          </cell>
          <cell r="L27">
            <v>1478.9489836666669</v>
          </cell>
          <cell r="M27">
            <v>4.2809406396473975</v>
          </cell>
          <cell r="N27">
            <v>0.14269802132157991</v>
          </cell>
        </row>
        <row r="28">
          <cell r="A28">
            <v>4617</v>
          </cell>
          <cell r="B28" t="str">
            <v>Meyer Lemon Juice Blend 12pk Qt Rykoff Sexton [4617]</v>
          </cell>
          <cell r="C28">
            <v>50</v>
          </cell>
          <cell r="D28" t="str">
            <v>FG Refrigerated 50</v>
          </cell>
          <cell r="E28">
            <v>1.5</v>
          </cell>
          <cell r="F28">
            <v>16</v>
          </cell>
          <cell r="G28">
            <v>121.41814146666667</v>
          </cell>
          <cell r="H28" t="str">
            <v>CS</v>
          </cell>
          <cell r="I28">
            <v>548</v>
          </cell>
          <cell r="J28">
            <v>9106.3606099999997</v>
          </cell>
          <cell r="K28">
            <v>75</v>
          </cell>
          <cell r="L28">
            <v>182.1272122</v>
          </cell>
          <cell r="M28">
            <v>4.2809406396473975</v>
          </cell>
          <cell r="N28">
            <v>8.5618812792947946E-2</v>
          </cell>
        </row>
        <row r="29">
          <cell r="A29">
            <v>4800</v>
          </cell>
          <cell r="B29" t="str">
            <v>SOI CP Lemon Oil Drum [4800]</v>
          </cell>
          <cell r="C29">
            <v>730</v>
          </cell>
          <cell r="D29" t="str">
            <v>Oil</v>
          </cell>
          <cell r="E29">
            <v>4</v>
          </cell>
          <cell r="F29">
            <v>4</v>
          </cell>
          <cell r="G29">
            <v>2.0020070230644778</v>
          </cell>
          <cell r="H29" t="str">
            <v>LB</v>
          </cell>
          <cell r="I29">
            <v>1596.1</v>
          </cell>
          <cell r="J29">
            <v>3203.2112369031647</v>
          </cell>
          <cell r="K29">
            <v>1600</v>
          </cell>
          <cell r="L29">
            <v>8.008028092257911</v>
          </cell>
          <cell r="M29">
            <v>4.2809406396473975</v>
          </cell>
          <cell r="N29">
            <v>1.0702351599118493E-2</v>
          </cell>
        </row>
        <row r="30">
          <cell r="A30" t="str">
            <v>4951M</v>
          </cell>
          <cell r="B30" t="str">
            <v>Meyer Lemon Juice Drum FZN [4951M]</v>
          </cell>
          <cell r="C30">
            <v>547</v>
          </cell>
          <cell r="D30" t="str">
            <v>FG Frozen</v>
          </cell>
          <cell r="E30">
            <v>10</v>
          </cell>
          <cell r="F30">
            <v>9</v>
          </cell>
          <cell r="G30">
            <v>9</v>
          </cell>
          <cell r="H30" t="str">
            <v>DR</v>
          </cell>
          <cell r="I30">
            <v>36</v>
          </cell>
          <cell r="J30">
            <v>36</v>
          </cell>
          <cell r="K30">
            <v>4</v>
          </cell>
          <cell r="L30">
            <v>90</v>
          </cell>
          <cell r="M30">
            <v>4.2809406396473975</v>
          </cell>
          <cell r="N30">
            <v>10.702351599118494</v>
          </cell>
        </row>
        <row r="31">
          <cell r="A31">
            <v>5002</v>
          </cell>
          <cell r="B31" t="str">
            <v>SOI Marg Mix Gln 4pk [5002]</v>
          </cell>
          <cell r="C31">
            <v>50</v>
          </cell>
          <cell r="D31" t="str">
            <v>FG Refrigerated 50</v>
          </cell>
          <cell r="E31">
            <v>1.5</v>
          </cell>
          <cell r="F31">
            <v>33</v>
          </cell>
          <cell r="G31">
            <v>276.46970399999998</v>
          </cell>
          <cell r="H31" t="str">
            <v>CS</v>
          </cell>
          <cell r="I31">
            <v>1033</v>
          </cell>
          <cell r="J31">
            <v>16588.182239999998</v>
          </cell>
          <cell r="K31">
            <v>60</v>
          </cell>
          <cell r="L31">
            <v>414.70455599999997</v>
          </cell>
          <cell r="M31">
            <v>4.2809406396473975</v>
          </cell>
          <cell r="N31">
            <v>0.10702351599118494</v>
          </cell>
        </row>
        <row r="32">
          <cell r="A32">
            <v>5006</v>
          </cell>
          <cell r="B32" t="str">
            <v>Markon Marg Mix Gln 4pk [5006]</v>
          </cell>
          <cell r="C32">
            <v>50</v>
          </cell>
          <cell r="D32" t="str">
            <v>FG Refrigerated 50</v>
          </cell>
          <cell r="E32">
            <v>1.5</v>
          </cell>
          <cell r="F32">
            <v>12</v>
          </cell>
          <cell r="G32">
            <v>356.74020733333327</v>
          </cell>
          <cell r="H32" t="str">
            <v>CS</v>
          </cell>
          <cell r="I32">
            <v>584</v>
          </cell>
          <cell r="J32">
            <v>21404.412439999996</v>
          </cell>
          <cell r="K32">
            <v>60</v>
          </cell>
          <cell r="L32">
            <v>535.11031099999991</v>
          </cell>
          <cell r="M32">
            <v>4.2809406396473975</v>
          </cell>
          <cell r="N32">
            <v>0.10702351599118494</v>
          </cell>
        </row>
        <row r="33">
          <cell r="A33">
            <v>5014</v>
          </cell>
          <cell r="B33" t="str">
            <v>Margarita Mix 6pk HGln Rykoff Sexton [5014]</v>
          </cell>
          <cell r="C33">
            <v>50</v>
          </cell>
          <cell r="D33" t="str">
            <v>FG Refrigerated 50</v>
          </cell>
          <cell r="E33">
            <v>1.5</v>
          </cell>
          <cell r="F33">
            <v>13</v>
          </cell>
          <cell r="G33">
            <v>135.04952053333332</v>
          </cell>
          <cell r="H33" t="str">
            <v>CS</v>
          </cell>
          <cell r="I33">
            <v>555</v>
          </cell>
          <cell r="J33">
            <v>10128.714039999999</v>
          </cell>
          <cell r="K33">
            <v>75</v>
          </cell>
          <cell r="L33">
            <v>202.5742808</v>
          </cell>
          <cell r="M33">
            <v>4.2809406396473975</v>
          </cell>
          <cell r="N33">
            <v>8.5618812792947946E-2</v>
          </cell>
        </row>
        <row r="34">
          <cell r="A34">
            <v>5142</v>
          </cell>
          <cell r="B34" t="str">
            <v>SOI Marg Mix Cond 3+1 HGln 9pk [5142]</v>
          </cell>
          <cell r="C34">
            <v>60</v>
          </cell>
          <cell r="D34" t="str">
            <v>FG Refrigerated 60</v>
          </cell>
          <cell r="E34">
            <v>2</v>
          </cell>
          <cell r="F34">
            <v>15</v>
          </cell>
          <cell r="G34">
            <v>134.70181520833333</v>
          </cell>
          <cell r="H34" t="str">
            <v>CS</v>
          </cell>
          <cell r="I34">
            <v>355</v>
          </cell>
          <cell r="J34">
            <v>6465.6871300000003</v>
          </cell>
          <cell r="K34">
            <v>48</v>
          </cell>
          <cell r="L34">
            <v>269.40363041666666</v>
          </cell>
          <cell r="M34">
            <v>4.2809406396473975</v>
          </cell>
          <cell r="N34">
            <v>0.17837252665197489</v>
          </cell>
        </row>
        <row r="35">
          <cell r="A35" t="str">
            <v>5142F</v>
          </cell>
          <cell r="B35" t="str">
            <v>SOI Marg Mix Cond 3+1 FZN HGln 9pk [5142F]</v>
          </cell>
          <cell r="C35">
            <v>540</v>
          </cell>
          <cell r="D35" t="str">
            <v>FG Frozen</v>
          </cell>
          <cell r="E35">
            <v>10</v>
          </cell>
          <cell r="F35">
            <v>3</v>
          </cell>
          <cell r="G35">
            <v>10.621537291666668</v>
          </cell>
          <cell r="H35" t="str">
            <v>CS</v>
          </cell>
          <cell r="I35">
            <v>76</v>
          </cell>
          <cell r="J35">
            <v>509.83379000000002</v>
          </cell>
          <cell r="K35">
            <v>48</v>
          </cell>
          <cell r="L35">
            <v>106.21537291666668</v>
          </cell>
          <cell r="M35">
            <v>4.2809406396473975</v>
          </cell>
          <cell r="N35">
            <v>0.89186263325987447</v>
          </cell>
        </row>
        <row r="36">
          <cell r="A36">
            <v>5204</v>
          </cell>
          <cell r="B36" t="str">
            <v>SOI Sweet &amp; Sour Mix 3+1 FZN [5204]</v>
          </cell>
          <cell r="C36">
            <v>547</v>
          </cell>
          <cell r="D36" t="str">
            <v>FG Frozen</v>
          </cell>
          <cell r="E36">
            <v>10</v>
          </cell>
          <cell r="F36">
            <v>4</v>
          </cell>
          <cell r="G36">
            <v>29.233854166666667</v>
          </cell>
          <cell r="H36" t="str">
            <v>CS</v>
          </cell>
          <cell r="I36">
            <v>149</v>
          </cell>
          <cell r="J36">
            <v>1754.03125</v>
          </cell>
          <cell r="K36">
            <v>60</v>
          </cell>
          <cell r="L36">
            <v>292.33854166666669</v>
          </cell>
          <cell r="M36">
            <v>4.2809406396473975</v>
          </cell>
          <cell r="N36">
            <v>0.71349010660789958</v>
          </cell>
        </row>
        <row r="37">
          <cell r="A37">
            <v>5314</v>
          </cell>
          <cell r="B37" t="str">
            <v>Bloody Mary Mix 6pk Hgln Rykoff Sexton [5314]</v>
          </cell>
          <cell r="C37">
            <v>70</v>
          </cell>
          <cell r="D37" t="str">
            <v>FG Refrigerated 70</v>
          </cell>
          <cell r="E37">
            <v>3</v>
          </cell>
          <cell r="F37">
            <v>12</v>
          </cell>
          <cell r="G37">
            <v>91.688401200000001</v>
          </cell>
          <cell r="H37" t="str">
            <v>CS</v>
          </cell>
          <cell r="I37">
            <v>422</v>
          </cell>
          <cell r="J37">
            <v>6876.6300900000006</v>
          </cell>
          <cell r="K37">
            <v>75</v>
          </cell>
          <cell r="L37">
            <v>275.06520360000002</v>
          </cell>
          <cell r="M37">
            <v>4.2809406396473975</v>
          </cell>
          <cell r="N37">
            <v>0.17123762558589589</v>
          </cell>
        </row>
        <row r="38">
          <cell r="A38">
            <v>5806</v>
          </cell>
          <cell r="B38" t="str">
            <v>Premium Lime Lemon 4pk Gln [5806]</v>
          </cell>
          <cell r="C38">
            <v>50</v>
          </cell>
          <cell r="D38" t="str">
            <v>FG Refrigerated 50</v>
          </cell>
          <cell r="E38">
            <v>1.5</v>
          </cell>
          <cell r="F38">
            <v>79</v>
          </cell>
          <cell r="G38">
            <v>3407.8331886666656</v>
          </cell>
          <cell r="H38" t="str">
            <v>CS</v>
          </cell>
          <cell r="I38">
            <v>4541</v>
          </cell>
          <cell r="J38">
            <v>204469.99131999994</v>
          </cell>
          <cell r="K38">
            <v>60</v>
          </cell>
          <cell r="L38">
            <v>5111.7497829999984</v>
          </cell>
          <cell r="M38">
            <v>4.2809406396473975</v>
          </cell>
          <cell r="N38">
            <v>0.10702351599118494</v>
          </cell>
        </row>
        <row r="39">
          <cell r="A39">
            <v>5815</v>
          </cell>
          <cell r="B39" t="str">
            <v>SOI 50/50 Lemon Lime Juice HGln 6pk [5815]</v>
          </cell>
          <cell r="C39">
            <v>50</v>
          </cell>
          <cell r="D39" t="str">
            <v>FG Refrigerated 50</v>
          </cell>
          <cell r="E39">
            <v>1.5</v>
          </cell>
          <cell r="F39">
            <v>1</v>
          </cell>
          <cell r="G39">
            <v>120.86474906666665</v>
          </cell>
          <cell r="H39" t="str">
            <v>CS</v>
          </cell>
          <cell r="I39">
            <v>4</v>
          </cell>
          <cell r="J39">
            <v>9064.8561799999989</v>
          </cell>
          <cell r="K39">
            <v>75</v>
          </cell>
          <cell r="L39">
            <v>181.29712359999996</v>
          </cell>
          <cell r="M39">
            <v>4.2809406396473975</v>
          </cell>
          <cell r="N39">
            <v>8.5618812792947946E-2</v>
          </cell>
        </row>
        <row r="40">
          <cell r="A40">
            <v>6225</v>
          </cell>
          <cell r="B40" t="str">
            <v>SOI Lime Juice FZN Qt 6pk [6225]</v>
          </cell>
          <cell r="C40">
            <v>547</v>
          </cell>
          <cell r="D40" t="str">
            <v>FG Frozen</v>
          </cell>
          <cell r="E40">
            <v>10</v>
          </cell>
          <cell r="F40">
            <v>10</v>
          </cell>
          <cell r="G40">
            <v>104.45339283333334</v>
          </cell>
          <cell r="H40" t="str">
            <v>CS</v>
          </cell>
          <cell r="I40">
            <v>663</v>
          </cell>
          <cell r="J40">
            <v>12534.407140000001</v>
          </cell>
          <cell r="K40">
            <v>120</v>
          </cell>
          <cell r="L40">
            <v>1044.5339283333333</v>
          </cell>
          <cell r="M40">
            <v>4.2809406396473975</v>
          </cell>
          <cell r="N40">
            <v>0.35674505330394979</v>
          </cell>
        </row>
        <row r="41">
          <cell r="A41">
            <v>6227</v>
          </cell>
          <cell r="B41" t="str">
            <v>SOI Lime Juice FZN Qt 16pk [6227]</v>
          </cell>
          <cell r="C41">
            <v>547</v>
          </cell>
          <cell r="D41" t="str">
            <v>FG Frozen</v>
          </cell>
          <cell r="E41">
            <v>10</v>
          </cell>
          <cell r="F41">
            <v>5</v>
          </cell>
          <cell r="G41">
            <v>20.143471999999996</v>
          </cell>
          <cell r="H41" t="str">
            <v>CS</v>
          </cell>
          <cell r="I41">
            <v>237</v>
          </cell>
          <cell r="J41">
            <v>1208.6083199999998</v>
          </cell>
          <cell r="K41">
            <v>60</v>
          </cell>
          <cell r="L41">
            <v>201.43471999999997</v>
          </cell>
          <cell r="M41">
            <v>4.2809406396473975</v>
          </cell>
          <cell r="N41">
            <v>0.71349010660789958</v>
          </cell>
        </row>
        <row r="42">
          <cell r="A42">
            <v>6501</v>
          </cell>
          <cell r="B42" t="str">
            <v>Qdoba Lime Juice Gln 4pk [6501]</v>
          </cell>
          <cell r="C42">
            <v>54</v>
          </cell>
          <cell r="D42" t="str">
            <v>FG Refrigerated 50</v>
          </cell>
          <cell r="E42">
            <v>1.5</v>
          </cell>
          <cell r="F42">
            <v>22</v>
          </cell>
          <cell r="G42">
            <v>427.98777899999999</v>
          </cell>
          <cell r="H42" t="str">
            <v>CS</v>
          </cell>
          <cell r="I42">
            <v>898</v>
          </cell>
          <cell r="J42">
            <v>25679.266739999999</v>
          </cell>
          <cell r="K42">
            <v>60</v>
          </cell>
          <cell r="L42">
            <v>641.98166849999996</v>
          </cell>
          <cell r="M42">
            <v>4.2809406396473975</v>
          </cell>
          <cell r="N42">
            <v>0.10702351599118494</v>
          </cell>
        </row>
        <row r="43">
          <cell r="A43">
            <v>6502</v>
          </cell>
          <cell r="B43" t="str">
            <v>SOI Lime Juice Gln 4pk [6502]</v>
          </cell>
          <cell r="C43">
            <v>54</v>
          </cell>
          <cell r="D43" t="str">
            <v>FG Refrigerated 50</v>
          </cell>
          <cell r="E43">
            <v>1.5</v>
          </cell>
          <cell r="F43">
            <v>37</v>
          </cell>
          <cell r="G43">
            <v>972.87577499999998</v>
          </cell>
          <cell r="H43" t="str">
            <v>CS</v>
          </cell>
          <cell r="I43">
            <v>1448</v>
          </cell>
          <cell r="J43">
            <v>58372.546499999997</v>
          </cell>
          <cell r="K43">
            <v>60</v>
          </cell>
          <cell r="L43">
            <v>1459.3136625</v>
          </cell>
          <cell r="M43">
            <v>4.2809406396473975</v>
          </cell>
          <cell r="N43">
            <v>0.10702351599118494</v>
          </cell>
        </row>
        <row r="44">
          <cell r="A44">
            <v>6506</v>
          </cell>
          <cell r="B44" t="str">
            <v>Markon Lime Juice HGln 6pk [6506]</v>
          </cell>
          <cell r="C44">
            <v>54</v>
          </cell>
          <cell r="D44" t="str">
            <v>FG Refrigerated 50</v>
          </cell>
          <cell r="E44">
            <v>1.5</v>
          </cell>
          <cell r="F44">
            <v>23</v>
          </cell>
          <cell r="G44">
            <v>603.64779826666665</v>
          </cell>
          <cell r="H44" t="str">
            <v>CS</v>
          </cell>
          <cell r="I44">
            <v>1423</v>
          </cell>
          <cell r="J44">
            <v>45273.584869999999</v>
          </cell>
          <cell r="K44">
            <v>75</v>
          </cell>
          <cell r="L44">
            <v>905.47169740000004</v>
          </cell>
          <cell r="M44">
            <v>4.2809406396473975</v>
          </cell>
          <cell r="N44">
            <v>8.5618812792947946E-2</v>
          </cell>
        </row>
        <row r="45">
          <cell r="A45">
            <v>6508</v>
          </cell>
          <cell r="B45" t="str">
            <v>Markon Lime Juice Gln 4pk [6508]</v>
          </cell>
          <cell r="C45">
            <v>54</v>
          </cell>
          <cell r="D45" t="str">
            <v>FG Refrigerated 50</v>
          </cell>
          <cell r="E45">
            <v>1.5</v>
          </cell>
          <cell r="F45">
            <v>22</v>
          </cell>
          <cell r="G45">
            <v>913.54645749999997</v>
          </cell>
          <cell r="H45" t="str">
            <v>CS</v>
          </cell>
          <cell r="I45">
            <v>956</v>
          </cell>
          <cell r="J45">
            <v>54812.787449999996</v>
          </cell>
          <cell r="K45">
            <v>60</v>
          </cell>
          <cell r="L45">
            <v>1370.3196862499999</v>
          </cell>
          <cell r="M45">
            <v>4.2809406396473975</v>
          </cell>
          <cell r="N45">
            <v>0.10702351599118494</v>
          </cell>
        </row>
        <row r="46">
          <cell r="A46">
            <v>6510</v>
          </cell>
          <cell r="B46" t="str">
            <v>Markon Lime Juice Qt 16pk [6510]</v>
          </cell>
          <cell r="C46">
            <v>54</v>
          </cell>
          <cell r="D46" t="str">
            <v>FG Refrigerated 50</v>
          </cell>
          <cell r="E46">
            <v>1.5</v>
          </cell>
          <cell r="F46">
            <v>10</v>
          </cell>
          <cell r="G46">
            <v>332.47154566666666</v>
          </cell>
          <cell r="H46" t="str">
            <v>CS</v>
          </cell>
          <cell r="I46">
            <v>575</v>
          </cell>
          <cell r="J46">
            <v>19948.292740000001</v>
          </cell>
          <cell r="K46">
            <v>60</v>
          </cell>
          <cell r="L46">
            <v>498.70731849999999</v>
          </cell>
          <cell r="M46">
            <v>4.2809406396473975</v>
          </cell>
          <cell r="N46">
            <v>0.10702351599118494</v>
          </cell>
        </row>
        <row r="47">
          <cell r="A47">
            <v>6513</v>
          </cell>
          <cell r="B47" t="str">
            <v>SOI Lime Juice HGln 6pk [6513]</v>
          </cell>
          <cell r="C47">
            <v>54</v>
          </cell>
          <cell r="D47" t="str">
            <v>FG Refrigerated 50</v>
          </cell>
          <cell r="E47">
            <v>1.5</v>
          </cell>
          <cell r="F47">
            <v>23</v>
          </cell>
          <cell r="G47">
            <v>207.18039000000002</v>
          </cell>
          <cell r="H47" t="str">
            <v>CS</v>
          </cell>
          <cell r="I47">
            <v>982</v>
          </cell>
          <cell r="J47">
            <v>15538.529250000001</v>
          </cell>
          <cell r="K47">
            <v>75</v>
          </cell>
          <cell r="L47">
            <v>310.77058500000004</v>
          </cell>
          <cell r="M47">
            <v>4.2809406396473975</v>
          </cell>
          <cell r="N47">
            <v>8.5618812792947946E-2</v>
          </cell>
        </row>
        <row r="48">
          <cell r="A48">
            <v>6516</v>
          </cell>
          <cell r="B48" t="str">
            <v>SOI Lime Juice Qt 6pk [6516]</v>
          </cell>
          <cell r="C48">
            <v>54</v>
          </cell>
          <cell r="D48" t="str">
            <v>FG Refrigerated 50</v>
          </cell>
          <cell r="E48">
            <v>1.5</v>
          </cell>
          <cell r="F48">
            <v>17</v>
          </cell>
          <cell r="G48">
            <v>518.83048174999988</v>
          </cell>
          <cell r="H48" t="str">
            <v>CS</v>
          </cell>
          <cell r="I48">
            <v>1294</v>
          </cell>
          <cell r="J48">
            <v>62259.65780999999</v>
          </cell>
          <cell r="K48">
            <v>120</v>
          </cell>
          <cell r="L48">
            <v>778.24572262499987</v>
          </cell>
          <cell r="M48">
            <v>4.2809406396473975</v>
          </cell>
          <cell r="N48">
            <v>5.351175799559247E-2</v>
          </cell>
        </row>
        <row r="49">
          <cell r="A49">
            <v>6590</v>
          </cell>
          <cell r="B49" t="str">
            <v>SOI Limeade 3+1 FZN HGln 6pk [6590]</v>
          </cell>
          <cell r="C49">
            <v>547</v>
          </cell>
          <cell r="D49" t="str">
            <v>FG Frozen</v>
          </cell>
          <cell r="E49">
            <v>10</v>
          </cell>
          <cell r="F49">
            <v>3</v>
          </cell>
          <cell r="G49">
            <v>7.5776603333333332</v>
          </cell>
          <cell r="H49" t="str">
            <v>CS</v>
          </cell>
          <cell r="I49">
            <v>129</v>
          </cell>
          <cell r="J49">
            <v>454.65962000000002</v>
          </cell>
          <cell r="K49">
            <v>60</v>
          </cell>
          <cell r="L49">
            <v>75.776603333333327</v>
          </cell>
          <cell r="M49">
            <v>4.2809406396473975</v>
          </cell>
          <cell r="N49">
            <v>0.71349010660789958</v>
          </cell>
        </row>
        <row r="50">
          <cell r="A50">
            <v>6591</v>
          </cell>
          <cell r="B50" t="str">
            <v>SYSCO Lime Juice Gln 4pk [6591]</v>
          </cell>
          <cell r="C50">
            <v>54</v>
          </cell>
          <cell r="D50" t="str">
            <v>FG Refrigerated 50</v>
          </cell>
          <cell r="E50">
            <v>1.5</v>
          </cell>
          <cell r="F50">
            <v>30</v>
          </cell>
          <cell r="G50">
            <v>1041.1847045000002</v>
          </cell>
          <cell r="H50" t="str">
            <v>CS</v>
          </cell>
          <cell r="I50">
            <v>1191</v>
          </cell>
          <cell r="J50">
            <v>62471.082270000006</v>
          </cell>
          <cell r="K50">
            <v>60</v>
          </cell>
          <cell r="L50">
            <v>1561.7770567500002</v>
          </cell>
          <cell r="M50">
            <v>4.2809406396473975</v>
          </cell>
          <cell r="N50">
            <v>0.10702351599118494</v>
          </cell>
        </row>
        <row r="51">
          <cell r="A51">
            <v>6593</v>
          </cell>
          <cell r="B51" t="str">
            <v>SYSCO Lime Juice Qt 6pk [6593]</v>
          </cell>
          <cell r="C51">
            <v>54</v>
          </cell>
          <cell r="D51" t="str">
            <v>FG Refrigerated 50</v>
          </cell>
          <cell r="E51">
            <v>1.5</v>
          </cell>
          <cell r="F51">
            <v>38</v>
          </cell>
          <cell r="G51">
            <v>687.31138616666669</v>
          </cell>
          <cell r="H51" t="str">
            <v>CS</v>
          </cell>
          <cell r="I51">
            <v>2275</v>
          </cell>
          <cell r="J51">
            <v>82477.366340000008</v>
          </cell>
          <cell r="K51">
            <v>120</v>
          </cell>
          <cell r="L51">
            <v>1030.9670792500001</v>
          </cell>
          <cell r="M51">
            <v>4.2809406396473975</v>
          </cell>
          <cell r="N51">
            <v>5.351175799559247E-2</v>
          </cell>
        </row>
        <row r="52">
          <cell r="A52">
            <v>6617</v>
          </cell>
          <cell r="B52" t="str">
            <v>Key Lime Juice 12pk Qt Rykoff Sexton [6617]</v>
          </cell>
          <cell r="C52">
            <v>50</v>
          </cell>
          <cell r="D52" t="str">
            <v>FG Refrigerated 50</v>
          </cell>
          <cell r="E52">
            <v>1.5</v>
          </cell>
          <cell r="F52">
            <v>16</v>
          </cell>
          <cell r="G52">
            <v>106.71342786666665</v>
          </cell>
          <cell r="H52" t="str">
            <v>CS</v>
          </cell>
          <cell r="I52">
            <v>576</v>
          </cell>
          <cell r="J52">
            <v>8003.5070899999992</v>
          </cell>
          <cell r="K52">
            <v>75</v>
          </cell>
          <cell r="L52">
            <v>160.07014179999999</v>
          </cell>
          <cell r="M52">
            <v>4.2809406396473975</v>
          </cell>
          <cell r="N52">
            <v>8.5618812792947946E-2</v>
          </cell>
        </row>
        <row r="53">
          <cell r="A53">
            <v>6952</v>
          </cell>
          <cell r="B53" t="str">
            <v>Past Lime Juice Drum REF [6952]</v>
          </cell>
          <cell r="C53">
            <v>50</v>
          </cell>
          <cell r="D53" t="str">
            <v>FG Refrigerated 50</v>
          </cell>
          <cell r="E53">
            <v>1.5</v>
          </cell>
          <cell r="F53">
            <v>4</v>
          </cell>
          <cell r="G53">
            <v>296.77083249999998</v>
          </cell>
          <cell r="H53" t="str">
            <v>DR</v>
          </cell>
          <cell r="I53">
            <v>12</v>
          </cell>
          <cell r="J53">
            <v>1187.0833299999999</v>
          </cell>
          <cell r="K53">
            <v>4</v>
          </cell>
          <cell r="L53">
            <v>445.15624874999997</v>
          </cell>
          <cell r="M53">
            <v>4.2809406396473975</v>
          </cell>
          <cell r="N53">
            <v>1.605352739867774</v>
          </cell>
        </row>
        <row r="54">
          <cell r="A54">
            <v>7416</v>
          </cell>
          <cell r="B54" t="str">
            <v>Sun Orchard Orange Juice Qt 6pk [7416]</v>
          </cell>
          <cell r="C54">
            <v>50</v>
          </cell>
          <cell r="D54" t="str">
            <v>FG Refrigerated 50</v>
          </cell>
          <cell r="E54">
            <v>1.5</v>
          </cell>
          <cell r="F54">
            <v>6</v>
          </cell>
          <cell r="G54">
            <v>33.755673000000009</v>
          </cell>
          <cell r="H54" t="str">
            <v>CS</v>
          </cell>
          <cell r="I54">
            <v>444</v>
          </cell>
          <cell r="J54">
            <v>4050.6807600000011</v>
          </cell>
          <cell r="K54">
            <v>120</v>
          </cell>
          <cell r="L54">
            <v>50.633509500000017</v>
          </cell>
          <cell r="M54">
            <v>4.2809406396473975</v>
          </cell>
          <cell r="N54">
            <v>5.351175799559247E-2</v>
          </cell>
        </row>
        <row r="55">
          <cell r="A55">
            <v>7442</v>
          </cell>
          <cell r="B55" t="str">
            <v>SO NP Valencia Orange Juice FZN 61.5oz 6pk</v>
          </cell>
          <cell r="C55">
            <v>547</v>
          </cell>
          <cell r="D55" t="str">
            <v>FG Frozen</v>
          </cell>
          <cell r="E55">
            <v>10</v>
          </cell>
          <cell r="F55">
            <v>24</v>
          </cell>
          <cell r="G55">
            <v>87.033333333333331</v>
          </cell>
          <cell r="H55" t="str">
            <v>CS</v>
          </cell>
          <cell r="I55">
            <v>1798</v>
          </cell>
          <cell r="J55">
            <v>10444</v>
          </cell>
          <cell r="K55">
            <v>120</v>
          </cell>
          <cell r="L55">
            <v>870.33333333333326</v>
          </cell>
          <cell r="M55">
            <v>4.2809406396473975</v>
          </cell>
          <cell r="N55">
            <v>0.35674505330394979</v>
          </cell>
        </row>
        <row r="56">
          <cell r="A56">
            <v>7502</v>
          </cell>
          <cell r="B56" t="str">
            <v>SOI Orange Juice Gln 4pk [7502]</v>
          </cell>
          <cell r="C56">
            <v>50</v>
          </cell>
          <cell r="D56" t="str">
            <v>FG Refrigerated 50</v>
          </cell>
          <cell r="E56">
            <v>1.5</v>
          </cell>
          <cell r="F56">
            <v>71</v>
          </cell>
          <cell r="G56">
            <v>1675.6901158333335</v>
          </cell>
          <cell r="H56" t="str">
            <v>CS</v>
          </cell>
          <cell r="I56">
            <v>3294</v>
          </cell>
          <cell r="J56">
            <v>100541.40695</v>
          </cell>
          <cell r="K56">
            <v>60</v>
          </cell>
          <cell r="L56">
            <v>2513.5351737500005</v>
          </cell>
          <cell r="M56">
            <v>4.2809406396473975</v>
          </cell>
          <cell r="N56">
            <v>0.10702351599118494</v>
          </cell>
        </row>
        <row r="57">
          <cell r="A57">
            <v>7504</v>
          </cell>
          <cell r="B57" t="str">
            <v>Panera Premium Orange Juice 6pk 64oz [7504]</v>
          </cell>
          <cell r="C57">
            <v>50</v>
          </cell>
          <cell r="D57" t="str">
            <v>FG Refrigerated 50</v>
          </cell>
          <cell r="E57">
            <v>1.5</v>
          </cell>
          <cell r="F57">
            <v>16</v>
          </cell>
          <cell r="G57">
            <v>117.33247253333334</v>
          </cell>
          <cell r="H57" t="str">
            <v>CS</v>
          </cell>
          <cell r="I57">
            <v>953</v>
          </cell>
          <cell r="J57">
            <v>8799.9354400000011</v>
          </cell>
          <cell r="K57">
            <v>75</v>
          </cell>
          <cell r="L57">
            <v>175.99870880000003</v>
          </cell>
          <cell r="M57">
            <v>4.2809406396473975</v>
          </cell>
          <cell r="N57">
            <v>8.5618812792947946E-2</v>
          </cell>
        </row>
        <row r="58">
          <cell r="A58">
            <v>7506</v>
          </cell>
          <cell r="B58" t="str">
            <v>Markon Orange Juice Gln 4pk [7506]</v>
          </cell>
          <cell r="C58">
            <v>50</v>
          </cell>
          <cell r="D58" t="str">
            <v>FG Refrigerated 50</v>
          </cell>
          <cell r="E58">
            <v>1.5</v>
          </cell>
          <cell r="F58">
            <v>29</v>
          </cell>
          <cell r="G58">
            <v>2304.9828931666661</v>
          </cell>
          <cell r="H58" t="str">
            <v>CS</v>
          </cell>
          <cell r="I58">
            <v>1141</v>
          </cell>
          <cell r="J58">
            <v>138298.97358999998</v>
          </cell>
          <cell r="K58">
            <v>60</v>
          </cell>
          <cell r="L58">
            <v>3457.4743397499992</v>
          </cell>
          <cell r="M58">
            <v>4.2809406396473975</v>
          </cell>
          <cell r="N58">
            <v>0.10702351599118494</v>
          </cell>
        </row>
        <row r="59">
          <cell r="A59">
            <v>7515</v>
          </cell>
          <cell r="B59" t="str">
            <v>SOI Orange Juice HGln 6pk [7515]</v>
          </cell>
          <cell r="C59">
            <v>50</v>
          </cell>
          <cell r="D59" t="str">
            <v>FG Refrigerated 50</v>
          </cell>
          <cell r="E59">
            <v>1.5</v>
          </cell>
          <cell r="F59">
            <v>3</v>
          </cell>
          <cell r="G59">
            <v>5.5322046666666669</v>
          </cell>
          <cell r="H59" t="str">
            <v>CS</v>
          </cell>
          <cell r="I59">
            <v>35</v>
          </cell>
          <cell r="J59">
            <v>414.91534999999999</v>
          </cell>
          <cell r="K59">
            <v>75</v>
          </cell>
          <cell r="L59">
            <v>8.2983070000000012</v>
          </cell>
          <cell r="M59">
            <v>4.2809406396473975</v>
          </cell>
          <cell r="N59">
            <v>8.5618812792947946E-2</v>
          </cell>
        </row>
        <row r="60">
          <cell r="A60">
            <v>7519</v>
          </cell>
          <cell r="B60" t="str">
            <v>Panera OJ 24pk 11.5 oz RTS [7519]</v>
          </cell>
          <cell r="C60">
            <v>50</v>
          </cell>
          <cell r="D60" t="str">
            <v>FG Refrigerated 50</v>
          </cell>
          <cell r="E60">
            <v>1.5</v>
          </cell>
          <cell r="F60">
            <v>15</v>
          </cell>
          <cell r="G60">
            <v>246.57409979166673</v>
          </cell>
          <cell r="H60" t="str">
            <v>CS</v>
          </cell>
          <cell r="I60">
            <v>1324</v>
          </cell>
          <cell r="J60">
            <v>23671.113580000005</v>
          </cell>
          <cell r="K60">
            <v>96</v>
          </cell>
          <cell r="L60">
            <v>369.86114968750007</v>
          </cell>
          <cell r="M60">
            <v>4.2809406396473975</v>
          </cell>
          <cell r="N60">
            <v>6.6889697494490585E-2</v>
          </cell>
        </row>
        <row r="61">
          <cell r="A61">
            <v>7534</v>
          </cell>
          <cell r="B61" t="str">
            <v>SOI Orange Juice 12oz 24pk [7534]</v>
          </cell>
          <cell r="C61">
            <v>50</v>
          </cell>
          <cell r="D61" t="str">
            <v>FG Refrigerated 50</v>
          </cell>
          <cell r="E61">
            <v>1.5</v>
          </cell>
          <cell r="F61">
            <v>0</v>
          </cell>
          <cell r="G61">
            <v>32.641273541666664</v>
          </cell>
          <cell r="H61" t="str">
            <v>CS</v>
          </cell>
          <cell r="I61">
            <v>0</v>
          </cell>
          <cell r="J61">
            <v>3133.5622599999997</v>
          </cell>
          <cell r="K61">
            <v>96</v>
          </cell>
          <cell r="L61">
            <v>48.961910312499995</v>
          </cell>
          <cell r="M61">
            <v>4.2809406396473975</v>
          </cell>
          <cell r="N61">
            <v>6.6889697494490585E-2</v>
          </cell>
        </row>
        <row r="62">
          <cell r="A62">
            <v>7540</v>
          </cell>
          <cell r="B62" t="str">
            <v>SOI Orange Juice NP Gln 4pk [7540]</v>
          </cell>
          <cell r="C62">
            <v>50</v>
          </cell>
          <cell r="D62" t="str">
            <v>FG Refrigerated 50</v>
          </cell>
          <cell r="E62">
            <v>1.5</v>
          </cell>
          <cell r="F62">
            <v>12</v>
          </cell>
          <cell r="G62">
            <v>130.0326815</v>
          </cell>
          <cell r="H62" t="str">
            <v>CS</v>
          </cell>
          <cell r="I62">
            <v>436</v>
          </cell>
          <cell r="J62">
            <v>7801.9608900000003</v>
          </cell>
          <cell r="K62">
            <v>60</v>
          </cell>
          <cell r="L62">
            <v>195.04902225000001</v>
          </cell>
          <cell r="M62">
            <v>4.2809406396473975</v>
          </cell>
          <cell r="N62">
            <v>0.10702351599118494</v>
          </cell>
        </row>
        <row r="63">
          <cell r="A63">
            <v>7542</v>
          </cell>
          <cell r="B63" t="str">
            <v>SOI NP Orange Juice FZN 61.5oz 6pk [7542]</v>
          </cell>
          <cell r="C63">
            <v>547</v>
          </cell>
          <cell r="D63" t="str">
            <v>FG Frozen</v>
          </cell>
          <cell r="E63">
            <v>10</v>
          </cell>
          <cell r="F63">
            <v>6</v>
          </cell>
          <cell r="G63">
            <v>26.525244799999999</v>
          </cell>
          <cell r="H63" t="str">
            <v>CS</v>
          </cell>
          <cell r="I63">
            <v>372</v>
          </cell>
          <cell r="J63">
            <v>1989.39336</v>
          </cell>
          <cell r="K63">
            <v>75</v>
          </cell>
          <cell r="L63">
            <v>265.25244800000002</v>
          </cell>
          <cell r="M63">
            <v>4.2809406396473975</v>
          </cell>
          <cell r="N63">
            <v>0.57079208528631964</v>
          </cell>
        </row>
        <row r="64">
          <cell r="A64">
            <v>7554</v>
          </cell>
          <cell r="B64" t="str">
            <v>Cal Val OJ 6pk Hgln Rykoff Sexton [7554]</v>
          </cell>
          <cell r="C64">
            <v>50</v>
          </cell>
          <cell r="D64" t="str">
            <v>FG Refrigerated 50</v>
          </cell>
          <cell r="E64">
            <v>1.5</v>
          </cell>
          <cell r="F64">
            <v>28</v>
          </cell>
          <cell r="G64">
            <v>777.22875320000003</v>
          </cell>
          <cell r="H64" t="str">
            <v>CS</v>
          </cell>
          <cell r="I64">
            <v>1302</v>
          </cell>
          <cell r="J64">
            <v>58292.156490000001</v>
          </cell>
          <cell r="K64">
            <v>75</v>
          </cell>
          <cell r="L64">
            <v>1165.8431298</v>
          </cell>
          <cell r="M64">
            <v>4.2809406396473975</v>
          </cell>
          <cell r="N64">
            <v>8.5618812792947946E-2</v>
          </cell>
        </row>
        <row r="65">
          <cell r="A65">
            <v>7591</v>
          </cell>
          <cell r="B65" t="str">
            <v>SYSCO Orange Juice Gln 4pk [7591]</v>
          </cell>
          <cell r="C65">
            <v>50</v>
          </cell>
          <cell r="D65" t="str">
            <v>FG Refrigerated 50</v>
          </cell>
          <cell r="E65">
            <v>1.5</v>
          </cell>
          <cell r="F65">
            <v>97</v>
          </cell>
          <cell r="G65">
            <v>3169.1309793333335</v>
          </cell>
          <cell r="H65" t="str">
            <v>CS</v>
          </cell>
          <cell r="I65">
            <v>4694</v>
          </cell>
          <cell r="J65">
            <v>190147.85876</v>
          </cell>
          <cell r="K65">
            <v>60</v>
          </cell>
          <cell r="L65">
            <v>4753.6964690000004</v>
          </cell>
          <cell r="M65">
            <v>4.2809406396473975</v>
          </cell>
          <cell r="N65">
            <v>0.10702351599118494</v>
          </cell>
        </row>
        <row r="66">
          <cell r="A66">
            <v>7593</v>
          </cell>
          <cell r="B66" t="str">
            <v>SYSCO Orange Juice NP Gln 4pk [7593]</v>
          </cell>
          <cell r="C66">
            <v>50</v>
          </cell>
          <cell r="D66" t="str">
            <v>FG Refrigerated 50</v>
          </cell>
          <cell r="E66">
            <v>1.5</v>
          </cell>
          <cell r="F66">
            <v>20</v>
          </cell>
          <cell r="G66">
            <v>721.18411466666657</v>
          </cell>
          <cell r="H66" t="str">
            <v>CS</v>
          </cell>
          <cell r="I66">
            <v>1123</v>
          </cell>
          <cell r="J66">
            <v>43271.046879999994</v>
          </cell>
          <cell r="K66">
            <v>60</v>
          </cell>
          <cell r="L66">
            <v>1081.7761719999999</v>
          </cell>
          <cell r="M66">
            <v>4.2809406396473975</v>
          </cell>
          <cell r="N66">
            <v>0.10702351599118494</v>
          </cell>
        </row>
        <row r="67">
          <cell r="A67">
            <v>7900</v>
          </cell>
          <cell r="B67" t="str">
            <v>SOI Valencia Oil Drum [7900]</v>
          </cell>
          <cell r="C67">
            <v>730</v>
          </cell>
          <cell r="D67" t="str">
            <v>Oil</v>
          </cell>
          <cell r="E67">
            <v>4</v>
          </cell>
          <cell r="F67">
            <v>4</v>
          </cell>
          <cell r="G67">
            <v>0</v>
          </cell>
          <cell r="H67" t="str">
            <v>LB</v>
          </cell>
          <cell r="I67">
            <v>1485</v>
          </cell>
          <cell r="J67">
            <v>0</v>
          </cell>
          <cell r="K67">
            <v>1600</v>
          </cell>
          <cell r="L67">
            <v>0</v>
          </cell>
          <cell r="M67">
            <v>4.2809406396473975</v>
          </cell>
          <cell r="N67">
            <v>1.0702351599118493E-2</v>
          </cell>
        </row>
        <row r="68">
          <cell r="A68">
            <v>7940</v>
          </cell>
          <cell r="B68" t="str">
            <v>Past No Pulp Orange Juice Drums REF</v>
          </cell>
          <cell r="C68">
            <v>547</v>
          </cell>
          <cell r="D68" t="str">
            <v>FG Frozen</v>
          </cell>
          <cell r="E68">
            <v>10</v>
          </cell>
          <cell r="F68">
            <v>3</v>
          </cell>
          <cell r="G68">
            <v>3</v>
          </cell>
          <cell r="H68" t="str">
            <v>DR</v>
          </cell>
          <cell r="I68">
            <v>12</v>
          </cell>
          <cell r="J68">
            <v>12</v>
          </cell>
          <cell r="K68">
            <v>4</v>
          </cell>
          <cell r="L68">
            <v>30</v>
          </cell>
          <cell r="M68">
            <v>4.2809406396473975</v>
          </cell>
          <cell r="N68">
            <v>10.702351599118494</v>
          </cell>
        </row>
        <row r="69">
          <cell r="A69">
            <v>7961</v>
          </cell>
          <cell r="B69" t="str">
            <v>100% CA Valencia OJ Drums FZN 48GL</v>
          </cell>
          <cell r="C69">
            <v>547</v>
          </cell>
          <cell r="D69" t="str">
            <v>FG Frozen</v>
          </cell>
          <cell r="E69">
            <v>10</v>
          </cell>
          <cell r="F69">
            <v>44</v>
          </cell>
          <cell r="G69">
            <v>2.4333333333333331</v>
          </cell>
          <cell r="H69" t="str">
            <v>CS</v>
          </cell>
          <cell r="I69">
            <v>169</v>
          </cell>
          <cell r="J69">
            <v>146</v>
          </cell>
          <cell r="K69">
            <v>60</v>
          </cell>
          <cell r="L69">
            <v>24.333333333333332</v>
          </cell>
          <cell r="M69">
            <v>4.2809406396473975</v>
          </cell>
          <cell r="N69">
            <v>0.71349010660789958</v>
          </cell>
        </row>
        <row r="70">
          <cell r="A70">
            <v>8225</v>
          </cell>
          <cell r="B70" t="str">
            <v>SOI Grapefruit Juice 30.5oz 6pk FZN [8225]</v>
          </cell>
          <cell r="C70">
            <v>548</v>
          </cell>
          <cell r="D70" t="str">
            <v>FG Frozen</v>
          </cell>
          <cell r="E70">
            <v>10</v>
          </cell>
          <cell r="F70">
            <v>1</v>
          </cell>
          <cell r="G70">
            <v>1.8898549166666669</v>
          </cell>
          <cell r="H70" t="str">
            <v>CS</v>
          </cell>
          <cell r="I70">
            <v>22</v>
          </cell>
          <cell r="J70">
            <v>226.78259000000003</v>
          </cell>
          <cell r="K70">
            <v>120</v>
          </cell>
          <cell r="L70">
            <v>18.898549166666669</v>
          </cell>
          <cell r="M70">
            <v>4.2809406396473975</v>
          </cell>
          <cell r="N70">
            <v>0.35674505330394979</v>
          </cell>
        </row>
        <row r="71">
          <cell r="A71">
            <v>8506</v>
          </cell>
          <cell r="B71" t="str">
            <v>Markon GFT Juice HGln 6pk [8506]</v>
          </cell>
          <cell r="C71">
            <v>50</v>
          </cell>
          <cell r="D71" t="str">
            <v>FG Refrigerated 50</v>
          </cell>
          <cell r="E71">
            <v>1.5</v>
          </cell>
          <cell r="F71">
            <v>5</v>
          </cell>
          <cell r="G71">
            <v>200.89524706666666</v>
          </cell>
          <cell r="H71" t="str">
            <v>CS</v>
          </cell>
          <cell r="I71">
            <v>337</v>
          </cell>
          <cell r="J71">
            <v>15067.143529999999</v>
          </cell>
          <cell r="K71">
            <v>75</v>
          </cell>
          <cell r="L71">
            <v>301.34287059999997</v>
          </cell>
          <cell r="M71">
            <v>4.2809406396473975</v>
          </cell>
          <cell r="N71">
            <v>8.5618812792947946E-2</v>
          </cell>
        </row>
        <row r="72">
          <cell r="A72">
            <v>8513</v>
          </cell>
          <cell r="B72" t="str">
            <v>SOI Gft Juice HGln 6pk [8513]</v>
          </cell>
          <cell r="C72">
            <v>50</v>
          </cell>
          <cell r="D72" t="str">
            <v>FG Refrigerated 50</v>
          </cell>
          <cell r="E72">
            <v>1.5</v>
          </cell>
          <cell r="F72">
            <v>30</v>
          </cell>
          <cell r="G72">
            <v>101.15290519999999</v>
          </cell>
          <cell r="H72" t="str">
            <v>CS</v>
          </cell>
          <cell r="I72">
            <v>981</v>
          </cell>
          <cell r="J72">
            <v>7586.467889999999</v>
          </cell>
          <cell r="K72">
            <v>75</v>
          </cell>
          <cell r="L72">
            <v>151.7293578</v>
          </cell>
          <cell r="M72">
            <v>4.2809406396473975</v>
          </cell>
          <cell r="N72">
            <v>8.5618812792947946E-2</v>
          </cell>
        </row>
        <row r="73">
          <cell r="A73">
            <v>8592</v>
          </cell>
          <cell r="B73" t="str">
            <v>SYSCO Gft Juice HGln 6pk [8592]</v>
          </cell>
          <cell r="C73">
            <v>50</v>
          </cell>
          <cell r="D73" t="str">
            <v>FG Refrigerated 50</v>
          </cell>
          <cell r="E73">
            <v>1.5</v>
          </cell>
          <cell r="F73">
            <v>0</v>
          </cell>
          <cell r="G73">
            <v>119.19378239999998</v>
          </cell>
          <cell r="H73" t="str">
            <v>CS</v>
          </cell>
          <cell r="I73">
            <v>0</v>
          </cell>
          <cell r="J73">
            <v>8939.5336799999986</v>
          </cell>
          <cell r="K73">
            <v>75</v>
          </cell>
          <cell r="L73">
            <v>178.79067359999996</v>
          </cell>
          <cell r="M73">
            <v>4.2809406396473975</v>
          </cell>
          <cell r="N73">
            <v>8.5618812792947946E-2</v>
          </cell>
        </row>
        <row r="74">
          <cell r="A74">
            <v>8951</v>
          </cell>
          <cell r="B74" t="str">
            <v>Past Grapefruit Juice Drums FZN [8951]</v>
          </cell>
          <cell r="C74">
            <v>547</v>
          </cell>
          <cell r="D74" t="str">
            <v>FG Frozen</v>
          </cell>
          <cell r="E74">
            <v>10</v>
          </cell>
          <cell r="F74">
            <v>3</v>
          </cell>
          <cell r="G74">
            <v>2.75</v>
          </cell>
          <cell r="H74" t="str">
            <v>DR</v>
          </cell>
          <cell r="I74">
            <v>11</v>
          </cell>
          <cell r="J74">
            <v>11</v>
          </cell>
          <cell r="K74">
            <v>4</v>
          </cell>
          <cell r="L74">
            <v>27.5</v>
          </cell>
          <cell r="M74">
            <v>4.2809406396473975</v>
          </cell>
          <cell r="N74">
            <v>10.702351599118494</v>
          </cell>
        </row>
        <row r="75">
          <cell r="A75">
            <v>8952</v>
          </cell>
          <cell r="B75" t="str">
            <v>Past Grapefruit Juice Drums REF [8952]</v>
          </cell>
          <cell r="C75">
            <v>50</v>
          </cell>
          <cell r="D75" t="str">
            <v>FG Refrigerated 50</v>
          </cell>
          <cell r="E75">
            <v>1.5</v>
          </cell>
          <cell r="F75">
            <v>8</v>
          </cell>
          <cell r="G75">
            <v>146.35416750000002</v>
          </cell>
          <cell r="H75" t="str">
            <v>DR</v>
          </cell>
          <cell r="I75">
            <v>21</v>
          </cell>
          <cell r="J75">
            <v>585.41667000000007</v>
          </cell>
          <cell r="K75">
            <v>4</v>
          </cell>
          <cell r="L75">
            <v>219.53125125000003</v>
          </cell>
          <cell r="M75">
            <v>4.2809406396473975</v>
          </cell>
          <cell r="N75">
            <v>1.605352739867774</v>
          </cell>
        </row>
        <row r="76">
          <cell r="A76">
            <v>9002</v>
          </cell>
          <cell r="B76" t="str">
            <v>SOI LA Gln 4pk [9002]</v>
          </cell>
          <cell r="C76">
            <v>50</v>
          </cell>
          <cell r="D76" t="str">
            <v>FG Refrigerated 50</v>
          </cell>
          <cell r="E76">
            <v>1.5</v>
          </cell>
          <cell r="F76">
            <v>30</v>
          </cell>
          <cell r="G76">
            <v>354.90855383333326</v>
          </cell>
          <cell r="H76" t="str">
            <v>CS</v>
          </cell>
          <cell r="I76">
            <v>1390</v>
          </cell>
          <cell r="J76">
            <v>21294.513229999997</v>
          </cell>
          <cell r="K76">
            <v>60</v>
          </cell>
          <cell r="L76">
            <v>532.36283074999983</v>
          </cell>
          <cell r="M76">
            <v>4.2809406396473975</v>
          </cell>
          <cell r="N76">
            <v>0.10702351599118494</v>
          </cell>
        </row>
        <row r="77">
          <cell r="A77">
            <v>9006</v>
          </cell>
          <cell r="B77" t="str">
            <v>Markon LA Gln 4pk [9006]</v>
          </cell>
          <cell r="C77">
            <v>50</v>
          </cell>
          <cell r="D77" t="str">
            <v>FG Refrigerated 50</v>
          </cell>
          <cell r="E77">
            <v>1.5</v>
          </cell>
          <cell r="F77">
            <v>16</v>
          </cell>
          <cell r="G77">
            <v>703.15490033333344</v>
          </cell>
          <cell r="H77" t="str">
            <v>CS</v>
          </cell>
          <cell r="I77">
            <v>685</v>
          </cell>
          <cell r="J77">
            <v>42189.294020000008</v>
          </cell>
          <cell r="K77">
            <v>60</v>
          </cell>
          <cell r="L77">
            <v>1054.7323505000002</v>
          </cell>
          <cell r="M77">
            <v>4.2809406396473975</v>
          </cell>
          <cell r="N77">
            <v>0.10702351599118494</v>
          </cell>
        </row>
        <row r="78">
          <cell r="A78">
            <v>9091</v>
          </cell>
          <cell r="B78" t="str">
            <v>SYSCO LA Gln 4pk [9091]</v>
          </cell>
          <cell r="C78">
            <v>50</v>
          </cell>
          <cell r="D78" t="str">
            <v>FG Refrigerated 50</v>
          </cell>
          <cell r="E78">
            <v>1.5</v>
          </cell>
          <cell r="F78">
            <v>29</v>
          </cell>
          <cell r="G78">
            <v>934.67789566666659</v>
          </cell>
          <cell r="H78" t="str">
            <v>CS</v>
          </cell>
          <cell r="I78">
            <v>1092</v>
          </cell>
          <cell r="J78">
            <v>56080.673739999998</v>
          </cell>
          <cell r="K78">
            <v>60</v>
          </cell>
          <cell r="L78">
            <v>1402.0168434999998</v>
          </cell>
          <cell r="M78">
            <v>4.2809406396473975</v>
          </cell>
          <cell r="N78">
            <v>0.10702351599118494</v>
          </cell>
        </row>
        <row r="79">
          <cell r="A79">
            <v>9102</v>
          </cell>
          <cell r="B79" t="str">
            <v>SOI LA Cond 4+1 Gln 4pk [9102]</v>
          </cell>
          <cell r="C79">
            <v>60</v>
          </cell>
          <cell r="D79" t="str">
            <v>FG Refrigerated 60</v>
          </cell>
          <cell r="E79">
            <v>2</v>
          </cell>
          <cell r="F79">
            <v>19</v>
          </cell>
          <cell r="G79">
            <v>295.69118733333323</v>
          </cell>
          <cell r="H79" t="str">
            <v>CS</v>
          </cell>
          <cell r="I79">
            <v>792</v>
          </cell>
          <cell r="J79">
            <v>17741.471239999995</v>
          </cell>
          <cell r="K79">
            <v>60</v>
          </cell>
          <cell r="L79">
            <v>591.38237466666646</v>
          </cell>
          <cell r="M79">
            <v>4.2809406396473975</v>
          </cell>
          <cell r="N79">
            <v>0.14269802132157991</v>
          </cell>
        </row>
        <row r="80">
          <cell r="A80">
            <v>9123</v>
          </cell>
          <cell r="B80" t="str">
            <v>Charleys LA Cond FZN 4+1 Gln 4pk [9123]</v>
          </cell>
          <cell r="C80">
            <v>547</v>
          </cell>
          <cell r="D80" t="str">
            <v>FG Frozen</v>
          </cell>
          <cell r="E80">
            <v>10</v>
          </cell>
          <cell r="F80">
            <v>49</v>
          </cell>
          <cell r="G80">
            <v>736.76601400000015</v>
          </cell>
          <cell r="H80" t="str">
            <v>CS</v>
          </cell>
          <cell r="I80">
            <v>2429</v>
          </cell>
          <cell r="J80">
            <v>44205.960840000007</v>
          </cell>
          <cell r="K80">
            <v>60</v>
          </cell>
          <cell r="L80">
            <v>7367.6601400000018</v>
          </cell>
          <cell r="M80">
            <v>4.2809406396473975</v>
          </cell>
          <cell r="N80">
            <v>0.71349010660789958</v>
          </cell>
        </row>
        <row r="81">
          <cell r="A81">
            <v>9131</v>
          </cell>
          <cell r="B81" t="str">
            <v>SOI Old Fashioned 4+1 Lemonade Mix FZN [9131]</v>
          </cell>
          <cell r="C81">
            <v>547</v>
          </cell>
          <cell r="D81" t="str">
            <v>FG Frozen</v>
          </cell>
          <cell r="E81">
            <v>10</v>
          </cell>
          <cell r="F81">
            <v>27</v>
          </cell>
          <cell r="G81">
            <v>67.785310166666662</v>
          </cell>
          <cell r="H81" t="str">
            <v>CS</v>
          </cell>
          <cell r="I81">
            <v>1411</v>
          </cell>
          <cell r="J81">
            <v>4067.11861</v>
          </cell>
          <cell r="K81">
            <v>60</v>
          </cell>
          <cell r="L81">
            <v>677.85310166666659</v>
          </cell>
          <cell r="M81">
            <v>4.2809406396473975</v>
          </cell>
          <cell r="N81">
            <v>0.71349010660789958</v>
          </cell>
        </row>
        <row r="82">
          <cell r="A82">
            <v>9132</v>
          </cell>
          <cell r="B82" t="str">
            <v>FAT Brands LA Cond 4+1 Fzn Gln 4pk</v>
          </cell>
          <cell r="C82">
            <v>547</v>
          </cell>
          <cell r="D82" t="str">
            <v>FG Frozen</v>
          </cell>
          <cell r="E82">
            <v>10</v>
          </cell>
          <cell r="F82">
            <v>4</v>
          </cell>
          <cell r="G82">
            <v>107.10000199999999</v>
          </cell>
          <cell r="H82" t="str">
            <v>CS</v>
          </cell>
          <cell r="I82">
            <v>151</v>
          </cell>
          <cell r="J82">
            <v>6426.0001199999997</v>
          </cell>
          <cell r="K82">
            <v>60</v>
          </cell>
          <cell r="L82">
            <v>1071.0000199999999</v>
          </cell>
          <cell r="M82">
            <v>4.2809406396473975</v>
          </cell>
          <cell r="N82">
            <v>0.71349010660789958</v>
          </cell>
        </row>
        <row r="83">
          <cell r="A83">
            <v>9164</v>
          </cell>
          <cell r="B83" t="str">
            <v>Panera 5+1 Agave Lemonade FZN 64 oz 6pk [9164]</v>
          </cell>
          <cell r="C83">
            <v>365</v>
          </cell>
          <cell r="D83" t="str">
            <v>FG Frozen</v>
          </cell>
          <cell r="E83">
            <v>10</v>
          </cell>
          <cell r="F83">
            <v>44</v>
          </cell>
          <cell r="G83">
            <v>493.64684200000011</v>
          </cell>
          <cell r="H83" t="str">
            <v>CS</v>
          </cell>
          <cell r="I83">
            <v>3232</v>
          </cell>
          <cell r="J83">
            <v>37023.513150000006</v>
          </cell>
          <cell r="K83">
            <v>75</v>
          </cell>
          <cell r="L83">
            <v>4936.4684200000011</v>
          </cell>
          <cell r="M83">
            <v>4.2809406396473975</v>
          </cell>
          <cell r="N83">
            <v>0.57079208528631964</v>
          </cell>
        </row>
        <row r="84">
          <cell r="A84">
            <v>9165</v>
          </cell>
          <cell r="B84" t="str">
            <v>Panera 3+1 Blood Orange Carrot LA FZN 61.5 oz 6pk [9165]</v>
          </cell>
          <cell r="C84">
            <v>365</v>
          </cell>
          <cell r="D84" t="str">
            <v>FG Frozen</v>
          </cell>
          <cell r="E84">
            <v>10</v>
          </cell>
          <cell r="F84">
            <v>0</v>
          </cell>
          <cell r="G84">
            <v>0</v>
          </cell>
          <cell r="H84" t="str">
            <v>CS</v>
          </cell>
          <cell r="I84">
            <v>0</v>
          </cell>
          <cell r="J84">
            <v>0</v>
          </cell>
          <cell r="K84">
            <v>75</v>
          </cell>
          <cell r="L84">
            <v>0</v>
          </cell>
          <cell r="M84">
            <v>4.2809406396473975</v>
          </cell>
          <cell r="N84">
            <v>0.57079208528631964</v>
          </cell>
        </row>
        <row r="85">
          <cell r="A85">
            <v>9314</v>
          </cell>
          <cell r="B85" t="str">
            <v>Meyer LA 6pk Hgln [9314]</v>
          </cell>
          <cell r="C85">
            <v>50</v>
          </cell>
          <cell r="D85" t="str">
            <v>FG Refrigerated 50</v>
          </cell>
          <cell r="E85">
            <v>1.5</v>
          </cell>
          <cell r="F85">
            <v>18</v>
          </cell>
          <cell r="G85">
            <v>255.24953973333336</v>
          </cell>
          <cell r="H85" t="str">
            <v>CS</v>
          </cell>
          <cell r="I85">
            <v>656</v>
          </cell>
          <cell r="J85">
            <v>19143.715480000003</v>
          </cell>
          <cell r="K85">
            <v>75</v>
          </cell>
          <cell r="L85">
            <v>382.87430960000006</v>
          </cell>
          <cell r="M85">
            <v>4.2809406396473975</v>
          </cell>
          <cell r="N85">
            <v>8.5618812792947946E-2</v>
          </cell>
        </row>
        <row r="86">
          <cell r="A86">
            <v>9324</v>
          </cell>
          <cell r="B86" t="str">
            <v>Meyer Stw LA 6pk Hgln [9324]</v>
          </cell>
          <cell r="C86">
            <v>50</v>
          </cell>
          <cell r="D86" t="str">
            <v>FG Refrigerated 50</v>
          </cell>
          <cell r="E86">
            <v>1.5</v>
          </cell>
          <cell r="F86">
            <v>0</v>
          </cell>
          <cell r="G86">
            <v>0</v>
          </cell>
          <cell r="H86" t="str">
            <v>CS</v>
          </cell>
          <cell r="I86">
            <v>0</v>
          </cell>
          <cell r="J86">
            <v>0</v>
          </cell>
          <cell r="K86">
            <v>75</v>
          </cell>
          <cell r="L86">
            <v>0</v>
          </cell>
          <cell r="M86">
            <v>4.2809406396473975</v>
          </cell>
          <cell r="N86">
            <v>8.5618812792947946E-2</v>
          </cell>
        </row>
        <row r="87">
          <cell r="A87">
            <v>9334</v>
          </cell>
          <cell r="B87" t="str">
            <v>Rykoff Sexton Prickly Pear Lemonade 64 oz 6 pk [9334]</v>
          </cell>
          <cell r="C87">
            <v>50</v>
          </cell>
          <cell r="D87" t="str">
            <v>FG Refrigerated 50</v>
          </cell>
          <cell r="E87">
            <v>1.5</v>
          </cell>
          <cell r="F87">
            <v>0</v>
          </cell>
          <cell r="G87">
            <v>0</v>
          </cell>
          <cell r="H87" t="str">
            <v>CS</v>
          </cell>
          <cell r="I87">
            <v>0</v>
          </cell>
          <cell r="J87">
            <v>0</v>
          </cell>
          <cell r="K87">
            <v>75</v>
          </cell>
          <cell r="L87">
            <v>0</v>
          </cell>
          <cell r="M87">
            <v>4.2809406396473975</v>
          </cell>
          <cell r="N87">
            <v>8.5618812792947946E-2</v>
          </cell>
        </row>
        <row r="88">
          <cell r="A88">
            <v>9454</v>
          </cell>
          <cell r="B88" t="str">
            <v>SOI LA Strw Cond 3+1 Gln 4pk [9454]</v>
          </cell>
          <cell r="C88">
            <v>60</v>
          </cell>
          <cell r="D88" t="str">
            <v>FG Refrigerated 60</v>
          </cell>
          <cell r="E88">
            <v>2</v>
          </cell>
          <cell r="F88">
            <v>10</v>
          </cell>
          <cell r="G88">
            <v>103.65030983333332</v>
          </cell>
          <cell r="H88" t="str">
            <v>CS</v>
          </cell>
          <cell r="I88">
            <v>418</v>
          </cell>
          <cell r="J88">
            <v>6219.0185899999997</v>
          </cell>
          <cell r="K88">
            <v>60</v>
          </cell>
          <cell r="L88">
            <v>207.30061966666665</v>
          </cell>
          <cell r="M88">
            <v>4.2809406396473975</v>
          </cell>
          <cell r="N88">
            <v>0.14269802132157991</v>
          </cell>
        </row>
        <row r="89">
          <cell r="A89">
            <v>9456</v>
          </cell>
          <cell r="B89" t="str">
            <v>SOI 3+1 Sweet Strw LA FZN 9pk HGln 61.5oz [9456]</v>
          </cell>
          <cell r="C89">
            <v>547</v>
          </cell>
          <cell r="D89" t="str">
            <v>FG Frozen</v>
          </cell>
          <cell r="E89">
            <v>10</v>
          </cell>
          <cell r="F89">
            <v>26</v>
          </cell>
          <cell r="G89">
            <v>37.656029166666663</v>
          </cell>
          <cell r="H89" t="str">
            <v>CS</v>
          </cell>
          <cell r="I89">
            <v>1197</v>
          </cell>
          <cell r="J89">
            <v>1807.4893999999999</v>
          </cell>
          <cell r="K89">
            <v>48</v>
          </cell>
          <cell r="L89">
            <v>376.56029166666661</v>
          </cell>
          <cell r="M89">
            <v>4.2809406396473975</v>
          </cell>
          <cell r="N89">
            <v>0.89186263325987447</v>
          </cell>
        </row>
        <row r="90">
          <cell r="A90">
            <v>9660</v>
          </cell>
          <cell r="B90" t="str">
            <v>SOI LA Cond 3+1 FZN HGln 6pk [9660]</v>
          </cell>
          <cell r="C90">
            <v>547</v>
          </cell>
          <cell r="D90" t="str">
            <v>FG Frozen</v>
          </cell>
          <cell r="E90">
            <v>10</v>
          </cell>
          <cell r="F90">
            <v>10</v>
          </cell>
          <cell r="G90">
            <v>30.544010333333336</v>
          </cell>
          <cell r="H90" t="str">
            <v>CS</v>
          </cell>
          <cell r="I90">
            <v>540</v>
          </cell>
          <cell r="J90">
            <v>1832.6406200000001</v>
          </cell>
          <cell r="K90">
            <v>60</v>
          </cell>
          <cell r="L90">
            <v>305.44010333333335</v>
          </cell>
          <cell r="M90">
            <v>4.2809406396473975</v>
          </cell>
          <cell r="N90">
            <v>0.71349010660789958</v>
          </cell>
        </row>
        <row r="91">
          <cell r="A91">
            <v>9710</v>
          </cell>
          <cell r="B91" t="str">
            <v>SOI LA 2+1 4pk Gln [9710]</v>
          </cell>
          <cell r="C91">
            <v>60</v>
          </cell>
          <cell r="D91" t="str">
            <v>FG Refrigerated 60</v>
          </cell>
          <cell r="E91">
            <v>2</v>
          </cell>
          <cell r="F91">
            <v>2</v>
          </cell>
          <cell r="G91">
            <v>201.9679955</v>
          </cell>
          <cell r="H91" t="str">
            <v>CS</v>
          </cell>
          <cell r="I91">
            <v>80</v>
          </cell>
          <cell r="J91">
            <v>12118.079729999999</v>
          </cell>
          <cell r="K91">
            <v>60</v>
          </cell>
          <cell r="L91">
            <v>403.935991</v>
          </cell>
          <cell r="M91">
            <v>4.2809406396473975</v>
          </cell>
          <cell r="N91">
            <v>0.14269802132157991</v>
          </cell>
        </row>
        <row r="92">
          <cell r="A92">
            <v>9814</v>
          </cell>
          <cell r="B92" t="str">
            <v>SOI 3+1 Sweet LA Mix FZN HGln 9pk [9814]</v>
          </cell>
          <cell r="C92">
            <v>547</v>
          </cell>
          <cell r="D92" t="str">
            <v>FG Frozen</v>
          </cell>
          <cell r="E92">
            <v>10</v>
          </cell>
          <cell r="F92">
            <v>17</v>
          </cell>
          <cell r="G92">
            <v>197.79622895833333</v>
          </cell>
          <cell r="H92" t="str">
            <v>CS</v>
          </cell>
          <cell r="I92">
            <v>788</v>
          </cell>
          <cell r="J92">
            <v>9494.2189899999994</v>
          </cell>
          <cell r="K92">
            <v>48</v>
          </cell>
          <cell r="L92">
            <v>1977.9622895833334</v>
          </cell>
          <cell r="M92">
            <v>4.2809406396473975</v>
          </cell>
          <cell r="N92">
            <v>0.89186263325987447</v>
          </cell>
        </row>
        <row r="93">
          <cell r="A93">
            <v>9818</v>
          </cell>
          <cell r="B93" t="str">
            <v>Creative BevBlends 3+1 Sweet LA Mix FZN HGln 9pk</v>
          </cell>
          <cell r="C93">
            <v>547</v>
          </cell>
          <cell r="D93" t="str">
            <v>FG Frozen</v>
          </cell>
          <cell r="E93">
            <v>10</v>
          </cell>
          <cell r="F93">
            <v>4</v>
          </cell>
          <cell r="G93">
            <v>28.778334333333337</v>
          </cell>
          <cell r="H93" t="str">
            <v>CS</v>
          </cell>
          <cell r="I93">
            <v>143</v>
          </cell>
          <cell r="J93">
            <v>1726.7000600000001</v>
          </cell>
          <cell r="K93">
            <v>60</v>
          </cell>
          <cell r="L93">
            <v>287.78334333333339</v>
          </cell>
          <cell r="M93">
            <v>4.2809406396473975</v>
          </cell>
          <cell r="N93">
            <v>0.71349010660789958</v>
          </cell>
        </row>
        <row r="94">
          <cell r="A94">
            <v>9820</v>
          </cell>
          <cell r="B94" t="str">
            <v>Auntie Annes FZN LA 3+1 HGln 6pk [9820]</v>
          </cell>
          <cell r="C94">
            <v>547</v>
          </cell>
          <cell r="D94" t="str">
            <v>FG Frozen</v>
          </cell>
          <cell r="E94">
            <v>10</v>
          </cell>
          <cell r="F94">
            <v>67</v>
          </cell>
          <cell r="G94">
            <v>888.88888916666656</v>
          </cell>
          <cell r="H94" t="str">
            <v>CS</v>
          </cell>
          <cell r="I94">
            <v>3587</v>
          </cell>
          <cell r="J94">
            <v>53333.333349999994</v>
          </cell>
          <cell r="K94">
            <v>60</v>
          </cell>
          <cell r="L94">
            <v>8888.8888916666656</v>
          </cell>
          <cell r="M94">
            <v>4.2809406396473975</v>
          </cell>
          <cell r="N94">
            <v>0.71349010660789958</v>
          </cell>
        </row>
        <row r="95">
          <cell r="A95">
            <v>9823</v>
          </cell>
          <cell r="B95" t="str">
            <v>Wendy's LA 3+1 FZN HGln 6pk</v>
          </cell>
          <cell r="C95">
            <v>547</v>
          </cell>
          <cell r="D95" t="str">
            <v>FG Frozen</v>
          </cell>
          <cell r="E95">
            <v>10</v>
          </cell>
          <cell r="F95">
            <v>50</v>
          </cell>
          <cell r="G95">
            <v>49.633333333333333</v>
          </cell>
          <cell r="H95" t="str">
            <v>CS</v>
          </cell>
          <cell r="I95">
            <v>2978</v>
          </cell>
          <cell r="J95">
            <v>2978</v>
          </cell>
          <cell r="K95">
            <v>60</v>
          </cell>
          <cell r="L95">
            <v>496.33333333333331</v>
          </cell>
          <cell r="M95">
            <v>4.2809406396473975</v>
          </cell>
          <cell r="N95">
            <v>0.71349010660789958</v>
          </cell>
        </row>
        <row r="96">
          <cell r="A96" t="str">
            <v>BOX132WAV2</v>
          </cell>
          <cell r="B96" t="str">
            <v>White 12 QT Key Lime Juice Wrap Around [BOX132WA]</v>
          </cell>
          <cell r="D96" t="str">
            <v>Box</v>
          </cell>
          <cell r="E96">
            <v>4</v>
          </cell>
          <cell r="F96">
            <v>7</v>
          </cell>
          <cell r="G96">
            <v>18.20504</v>
          </cell>
          <cell r="H96" t="str">
            <v>EA</v>
          </cell>
          <cell r="I96">
            <v>3500</v>
          </cell>
          <cell r="J96">
            <v>9102.52</v>
          </cell>
          <cell r="K96">
            <v>500</v>
          </cell>
          <cell r="L96">
            <v>72.820160000000001</v>
          </cell>
          <cell r="M96">
            <v>4.2809406396473975</v>
          </cell>
          <cell r="N96">
            <v>3.4247525117179177E-2</v>
          </cell>
        </row>
        <row r="97">
          <cell r="A97" t="str">
            <v>BOX133WAV2</v>
          </cell>
          <cell r="B97" t="str">
            <v>12 QT Meyer Lemon Juice Wrap Around V2</v>
          </cell>
          <cell r="D97" t="str">
            <v>Box</v>
          </cell>
          <cell r="E97">
            <v>4</v>
          </cell>
          <cell r="F97">
            <v>13</v>
          </cell>
          <cell r="G97">
            <v>20.21068</v>
          </cell>
          <cell r="H97" t="str">
            <v>EA</v>
          </cell>
          <cell r="I97">
            <v>6280</v>
          </cell>
          <cell r="J97">
            <v>10105.34</v>
          </cell>
          <cell r="K97">
            <v>500</v>
          </cell>
          <cell r="L97">
            <v>80.84272</v>
          </cell>
          <cell r="M97">
            <v>4.2809406396473975</v>
          </cell>
          <cell r="N97">
            <v>3.4247525117179177E-2</v>
          </cell>
        </row>
        <row r="98">
          <cell r="A98" t="str">
            <v>BOX150WAV2</v>
          </cell>
          <cell r="B98" t="str">
            <v>White 6 Hgln Bloody Mary Mix Wrap [BOX150WA]</v>
          </cell>
          <cell r="D98" t="str">
            <v>Box</v>
          </cell>
          <cell r="E98">
            <v>4</v>
          </cell>
          <cell r="F98">
            <v>4</v>
          </cell>
          <cell r="G98">
            <v>12.724716666666666</v>
          </cell>
          <cell r="H98" t="str">
            <v>EA</v>
          </cell>
          <cell r="I98">
            <v>1492</v>
          </cell>
          <cell r="J98">
            <v>7634.83</v>
          </cell>
          <cell r="K98">
            <v>600</v>
          </cell>
          <cell r="L98">
            <v>50.898866666666663</v>
          </cell>
          <cell r="M98">
            <v>4.2809406396473975</v>
          </cell>
          <cell r="N98">
            <v>2.8539604264315982E-2</v>
          </cell>
        </row>
        <row r="99">
          <cell r="A99" t="str">
            <v>BOX152WAV2</v>
          </cell>
          <cell r="B99" t="str">
            <v>White 6 Hgln Marg Mix Wrap Around [BOX152WA]</v>
          </cell>
          <cell r="D99" t="str">
            <v>Box</v>
          </cell>
          <cell r="E99">
            <v>4</v>
          </cell>
          <cell r="F99">
            <v>4</v>
          </cell>
          <cell r="G99">
            <v>23.905280000000001</v>
          </cell>
          <cell r="H99" t="str">
            <v>EA</v>
          </cell>
          <cell r="I99">
            <v>1748</v>
          </cell>
          <cell r="J99">
            <v>11952.640000000001</v>
          </cell>
          <cell r="K99">
            <v>500</v>
          </cell>
          <cell r="L99">
            <v>95.621120000000005</v>
          </cell>
          <cell r="M99">
            <v>4.2809406396473975</v>
          </cell>
          <cell r="N99">
            <v>3.4247525117179177E-2</v>
          </cell>
        </row>
        <row r="100">
          <cell r="A100" t="str">
            <v>BOX164AWAV2</v>
          </cell>
          <cell r="B100" t="str">
            <v>White 6 Hgln Val OJ Wrap Around [BOX164AWA]</v>
          </cell>
          <cell r="D100" t="str">
            <v>Box</v>
          </cell>
          <cell r="E100">
            <v>4</v>
          </cell>
          <cell r="F100">
            <v>32</v>
          </cell>
          <cell r="G100">
            <v>130.95936</v>
          </cell>
          <cell r="H100" t="str">
            <v>EA</v>
          </cell>
          <cell r="I100">
            <v>15800</v>
          </cell>
          <cell r="J100">
            <v>65479.68</v>
          </cell>
          <cell r="K100">
            <v>500</v>
          </cell>
          <cell r="L100">
            <v>523.83744000000002</v>
          </cell>
          <cell r="M100">
            <v>4.2809406396473975</v>
          </cell>
          <cell r="N100">
            <v>3.4247525117179177E-2</v>
          </cell>
        </row>
        <row r="101">
          <cell r="A101" t="str">
            <v>BOX165WAV2</v>
          </cell>
          <cell r="B101" t="str">
            <v>White 6 Hgln Meyer LA Wrap Around [BOX165WA]</v>
          </cell>
          <cell r="D101" t="str">
            <v>Box</v>
          </cell>
          <cell r="E101">
            <v>4</v>
          </cell>
          <cell r="F101">
            <v>18</v>
          </cell>
          <cell r="G101">
            <v>46.164229999999996</v>
          </cell>
          <cell r="H101" t="str">
            <v>EA</v>
          </cell>
          <cell r="I101">
            <v>8813</v>
          </cell>
          <cell r="J101">
            <v>23082.114999999998</v>
          </cell>
          <cell r="K101">
            <v>500</v>
          </cell>
          <cell r="L101">
            <v>184.65691999999999</v>
          </cell>
          <cell r="M101">
            <v>4.2809406396473975</v>
          </cell>
          <cell r="N101">
            <v>3.4247525117179177E-2</v>
          </cell>
        </row>
        <row r="102">
          <cell r="A102" t="str">
            <v>BOX170WA</v>
          </cell>
          <cell r="B102" t="str">
            <v>Kraft 6 Hgln Rykoff Sexton Prickly Pear Lemonade [BOX170WA]</v>
          </cell>
          <cell r="D102" t="str">
            <v>Box</v>
          </cell>
          <cell r="E102">
            <v>4</v>
          </cell>
          <cell r="F102">
            <v>5</v>
          </cell>
          <cell r="G102">
            <v>0</v>
          </cell>
          <cell r="H102" t="str">
            <v>EA</v>
          </cell>
          <cell r="I102">
            <v>2832</v>
          </cell>
          <cell r="J102">
            <v>0</v>
          </cell>
          <cell r="K102">
            <v>600</v>
          </cell>
          <cell r="L102">
            <v>0</v>
          </cell>
          <cell r="M102">
            <v>4.2809406396473975</v>
          </cell>
          <cell r="N102">
            <v>2.8539604264315982E-2</v>
          </cell>
        </row>
        <row r="103">
          <cell r="A103" t="str">
            <v>BOX211</v>
          </cell>
          <cell r="B103" t="str">
            <v>WHT 4/Gln RSC [BOX211]</v>
          </cell>
          <cell r="D103" t="str">
            <v>Box</v>
          </cell>
          <cell r="E103">
            <v>4</v>
          </cell>
          <cell r="F103">
            <v>0</v>
          </cell>
          <cell r="G103">
            <v>0</v>
          </cell>
          <cell r="H103" t="str">
            <v>EA</v>
          </cell>
          <cell r="I103">
            <v>0</v>
          </cell>
          <cell r="J103">
            <v>0</v>
          </cell>
          <cell r="K103">
            <v>500</v>
          </cell>
          <cell r="L103">
            <v>0</v>
          </cell>
          <cell r="M103">
            <v>4.2809406396473975</v>
          </cell>
          <cell r="N103">
            <v>3.4247525117179177E-2</v>
          </cell>
        </row>
        <row r="104">
          <cell r="A104" t="str">
            <v>BOX211WA</v>
          </cell>
          <cell r="B104" t="str">
            <v>WHT 4/Gln Wrap Around [BOX211WA]</v>
          </cell>
          <cell r="D104" t="str">
            <v>Box</v>
          </cell>
          <cell r="E104">
            <v>4</v>
          </cell>
          <cell r="F104">
            <v>84</v>
          </cell>
          <cell r="G104">
            <v>580.72819000000004</v>
          </cell>
          <cell r="H104" t="str">
            <v>EA</v>
          </cell>
          <cell r="I104">
            <v>42150</v>
          </cell>
          <cell r="J104">
            <v>290364.09500000003</v>
          </cell>
          <cell r="K104">
            <v>500</v>
          </cell>
          <cell r="L104">
            <v>2322.9127600000002</v>
          </cell>
          <cell r="M104">
            <v>4.2809406396473975</v>
          </cell>
          <cell r="N104">
            <v>3.4247525117179177E-2</v>
          </cell>
        </row>
        <row r="105">
          <cell r="A105" t="str">
            <v>BOX212</v>
          </cell>
          <cell r="B105" t="str">
            <v>WHT 6/HGln RSC [BOX212]</v>
          </cell>
          <cell r="D105" t="str">
            <v>Box</v>
          </cell>
          <cell r="E105">
            <v>4</v>
          </cell>
          <cell r="F105">
            <v>1</v>
          </cell>
          <cell r="G105">
            <v>0</v>
          </cell>
          <cell r="H105" t="str">
            <v>EA</v>
          </cell>
          <cell r="I105">
            <v>750</v>
          </cell>
          <cell r="J105">
            <v>0</v>
          </cell>
          <cell r="K105">
            <v>750</v>
          </cell>
          <cell r="L105">
            <v>0</v>
          </cell>
          <cell r="M105">
            <v>4.2809406396473975</v>
          </cell>
          <cell r="N105">
            <v>2.2831683411452787E-2</v>
          </cell>
        </row>
        <row r="106">
          <cell r="A106" t="str">
            <v>BOX212WA</v>
          </cell>
          <cell r="B106" t="str">
            <v>WHT 6/HGln Wrap Around [BOX212WA]</v>
          </cell>
          <cell r="D106" t="str">
            <v>Box</v>
          </cell>
          <cell r="E106">
            <v>4</v>
          </cell>
          <cell r="F106">
            <v>29</v>
          </cell>
          <cell r="G106">
            <v>157.05297999999996</v>
          </cell>
          <cell r="H106" t="str">
            <v>EA</v>
          </cell>
          <cell r="I106">
            <v>16887</v>
          </cell>
          <cell r="J106">
            <v>78526.489999999976</v>
          </cell>
          <cell r="K106">
            <v>500</v>
          </cell>
          <cell r="L106">
            <v>628.21191999999985</v>
          </cell>
          <cell r="M106">
            <v>4.2809406396473975</v>
          </cell>
          <cell r="N106">
            <v>3.4247525117179177E-2</v>
          </cell>
        </row>
        <row r="107">
          <cell r="A107" t="str">
            <v>BOX213</v>
          </cell>
          <cell r="B107" t="str">
            <v>WHT 16/Qt RSC [BOX213]</v>
          </cell>
          <cell r="D107" t="str">
            <v>Box</v>
          </cell>
          <cell r="E107">
            <v>4</v>
          </cell>
          <cell r="F107">
            <v>0</v>
          </cell>
          <cell r="G107">
            <v>0</v>
          </cell>
          <cell r="H107" t="str">
            <v>EA</v>
          </cell>
          <cell r="I107">
            <v>0</v>
          </cell>
          <cell r="J107">
            <v>0</v>
          </cell>
          <cell r="K107">
            <v>500</v>
          </cell>
          <cell r="L107">
            <v>0</v>
          </cell>
          <cell r="M107">
            <v>4.2809406396473975</v>
          </cell>
          <cell r="N107">
            <v>3.4247525117179177E-2</v>
          </cell>
        </row>
        <row r="108">
          <cell r="A108" t="str">
            <v>BOX213WA</v>
          </cell>
          <cell r="B108" t="str">
            <v>WHT 16/Qt Wrap Around [BOX213WA]</v>
          </cell>
          <cell r="D108" t="str">
            <v>Box</v>
          </cell>
          <cell r="E108">
            <v>4</v>
          </cell>
          <cell r="F108">
            <v>15</v>
          </cell>
          <cell r="G108">
            <v>0</v>
          </cell>
          <cell r="H108" t="str">
            <v>EA</v>
          </cell>
          <cell r="I108">
            <v>7550</v>
          </cell>
          <cell r="J108">
            <v>0</v>
          </cell>
          <cell r="K108">
            <v>500</v>
          </cell>
          <cell r="L108">
            <v>0</v>
          </cell>
          <cell r="M108">
            <v>4.2809406396473975</v>
          </cell>
          <cell r="N108">
            <v>3.4247525117179177E-2</v>
          </cell>
        </row>
        <row r="109">
          <cell r="A109" t="str">
            <v>BOX321WA</v>
          </cell>
          <cell r="B109" t="str">
            <v>WHT 4/Gln Wrap Around [BOX321WA]</v>
          </cell>
          <cell r="D109" t="str">
            <v>Box</v>
          </cell>
          <cell r="E109">
            <v>4</v>
          </cell>
          <cell r="F109">
            <v>88</v>
          </cell>
          <cell r="G109">
            <v>829.48845000000017</v>
          </cell>
          <cell r="H109" t="str">
            <v>EA</v>
          </cell>
          <cell r="I109">
            <v>43827</v>
          </cell>
          <cell r="J109">
            <v>414744.22500000009</v>
          </cell>
          <cell r="K109">
            <v>500</v>
          </cell>
          <cell r="L109">
            <v>3317.9538000000007</v>
          </cell>
          <cell r="M109">
            <v>4.2809406396473975</v>
          </cell>
          <cell r="N109">
            <v>3.4247525117179177E-2</v>
          </cell>
        </row>
        <row r="110">
          <cell r="A110" t="str">
            <v>BOX322</v>
          </cell>
          <cell r="B110" t="str">
            <v>WHT 6 HGln RSC [BOX322]</v>
          </cell>
          <cell r="D110" t="str">
            <v>Box</v>
          </cell>
          <cell r="E110">
            <v>4</v>
          </cell>
          <cell r="F110">
            <v>1</v>
          </cell>
          <cell r="G110">
            <v>0</v>
          </cell>
          <cell r="H110" t="str">
            <v>EA</v>
          </cell>
          <cell r="I110">
            <v>500</v>
          </cell>
          <cell r="J110">
            <v>0</v>
          </cell>
          <cell r="K110">
            <v>750</v>
          </cell>
          <cell r="L110">
            <v>0</v>
          </cell>
          <cell r="M110">
            <v>4.2809406396473975</v>
          </cell>
          <cell r="N110">
            <v>2.2831683411452787E-2</v>
          </cell>
        </row>
        <row r="111">
          <cell r="A111" t="str">
            <v>BOX322WA</v>
          </cell>
          <cell r="B111" t="str">
            <v>WHT 6 HGln Wrap Around [BOX322WA]</v>
          </cell>
          <cell r="D111" t="str">
            <v>Box</v>
          </cell>
          <cell r="E111">
            <v>4</v>
          </cell>
          <cell r="F111">
            <v>40</v>
          </cell>
          <cell r="G111">
            <v>109.25663000000002</v>
          </cell>
          <cell r="H111" t="str">
            <v>EA</v>
          </cell>
          <cell r="I111">
            <v>19700</v>
          </cell>
          <cell r="J111">
            <v>54628.31500000001</v>
          </cell>
          <cell r="K111">
            <v>500</v>
          </cell>
          <cell r="L111">
            <v>437.02652000000006</v>
          </cell>
          <cell r="M111">
            <v>4.2809406396473975</v>
          </cell>
          <cell r="N111">
            <v>3.4247525117179177E-2</v>
          </cell>
        </row>
        <row r="112">
          <cell r="A112" t="str">
            <v>BOX323WA</v>
          </cell>
          <cell r="B112" t="str">
            <v>WHT 6/Qt Wrap Around [BOX323WA]</v>
          </cell>
          <cell r="D112" t="str">
            <v>Box</v>
          </cell>
          <cell r="E112">
            <v>4</v>
          </cell>
          <cell r="F112">
            <v>3</v>
          </cell>
          <cell r="G112">
            <v>191.68208515283843</v>
          </cell>
          <cell r="H112" t="str">
            <v>EA</v>
          </cell>
          <cell r="I112">
            <v>1374</v>
          </cell>
          <cell r="J112">
            <v>87790.395000000004</v>
          </cell>
          <cell r="K112">
            <v>458</v>
          </cell>
          <cell r="L112">
            <v>766.7283406113537</v>
          </cell>
          <cell r="M112">
            <v>4.2809406396473975</v>
          </cell>
          <cell r="N112">
            <v>3.7388127857182513E-2</v>
          </cell>
        </row>
        <row r="113">
          <cell r="A113" t="str">
            <v>BOX411</v>
          </cell>
          <cell r="B113" t="str">
            <v>BRN 4/Gln RSC [BOX411]</v>
          </cell>
          <cell r="D113" t="str">
            <v>Box</v>
          </cell>
          <cell r="E113">
            <v>4</v>
          </cell>
          <cell r="F113">
            <v>10</v>
          </cell>
          <cell r="G113">
            <v>0</v>
          </cell>
          <cell r="H113" t="str">
            <v>EA</v>
          </cell>
          <cell r="I113">
            <v>5000</v>
          </cell>
          <cell r="J113">
            <v>0</v>
          </cell>
          <cell r="K113">
            <v>500</v>
          </cell>
          <cell r="L113">
            <v>0</v>
          </cell>
          <cell r="M113">
            <v>4.2809406396473975</v>
          </cell>
          <cell r="N113">
            <v>3.4247525117179177E-2</v>
          </cell>
        </row>
        <row r="114">
          <cell r="A114" t="str">
            <v>BOX411WA</v>
          </cell>
          <cell r="B114" t="str">
            <v>BRN 4/Gln Wrap Around [BOX411WA]</v>
          </cell>
          <cell r="D114" t="str">
            <v>Box</v>
          </cell>
          <cell r="E114">
            <v>4</v>
          </cell>
          <cell r="F114">
            <v>72</v>
          </cell>
          <cell r="G114">
            <v>1324.0819611129787</v>
          </cell>
          <cell r="H114" t="str">
            <v>EA</v>
          </cell>
          <cell r="I114">
            <v>35796</v>
          </cell>
          <cell r="J114">
            <v>658289.4150000026</v>
          </cell>
          <cell r="K114">
            <v>497.16666666666669</v>
          </cell>
          <cell r="L114">
            <v>5296.3278444519146</v>
          </cell>
          <cell r="M114">
            <v>4.2809406396473975</v>
          </cell>
          <cell r="N114">
            <v>3.4442700419556667E-2</v>
          </cell>
        </row>
        <row r="115">
          <cell r="A115" t="str">
            <v>BOX412</v>
          </cell>
          <cell r="B115" t="str">
            <v>BRN 6 HGln RSC [BOX412]</v>
          </cell>
          <cell r="D115" t="str">
            <v>Box</v>
          </cell>
          <cell r="E115">
            <v>4</v>
          </cell>
          <cell r="F115">
            <v>11</v>
          </cell>
          <cell r="G115">
            <v>0</v>
          </cell>
          <cell r="H115" t="str">
            <v>EA</v>
          </cell>
          <cell r="I115">
            <v>5435</v>
          </cell>
          <cell r="J115">
            <v>0</v>
          </cell>
          <cell r="K115">
            <v>494.09090909090907</v>
          </cell>
          <cell r="L115">
            <v>0</v>
          </cell>
          <cell r="M115">
            <v>4.2809406396473975</v>
          </cell>
          <cell r="N115">
            <v>3.465710913421996E-2</v>
          </cell>
        </row>
        <row r="116">
          <cell r="A116" t="str">
            <v>BOX412WA</v>
          </cell>
          <cell r="B116" t="str">
            <v>BRN 6 HGln Wrap Around [BOX412WA]</v>
          </cell>
          <cell r="D116" t="str">
            <v>Box</v>
          </cell>
          <cell r="E116">
            <v>4</v>
          </cell>
          <cell r="F116">
            <v>22</v>
          </cell>
          <cell r="G116">
            <v>462.56595000000124</v>
          </cell>
          <cell r="H116" t="str">
            <v>EA</v>
          </cell>
          <cell r="I116">
            <v>11000</v>
          </cell>
          <cell r="J116">
            <v>231282.97500000062</v>
          </cell>
          <cell r="K116">
            <v>500</v>
          </cell>
          <cell r="L116">
            <v>1850.2638000000049</v>
          </cell>
          <cell r="M116">
            <v>4.2809406396473975</v>
          </cell>
          <cell r="N116">
            <v>3.4247525117179177E-2</v>
          </cell>
        </row>
        <row r="117">
          <cell r="A117" t="str">
            <v>BOX414WA</v>
          </cell>
          <cell r="B117" t="str">
            <v>BRN 6/Qt Wrap Around [BOX414WA]</v>
          </cell>
          <cell r="D117" t="str">
            <v>Box</v>
          </cell>
          <cell r="E117">
            <v>4</v>
          </cell>
          <cell r="F117">
            <v>10</v>
          </cell>
          <cell r="G117">
            <v>157.5419518900342</v>
          </cell>
          <cell r="H117" t="str">
            <v>EA</v>
          </cell>
          <cell r="I117">
            <v>7275</v>
          </cell>
          <cell r="J117">
            <v>114611.76999999987</v>
          </cell>
          <cell r="K117">
            <v>727.5</v>
          </cell>
          <cell r="L117">
            <v>630.16780756013679</v>
          </cell>
          <cell r="M117">
            <v>4.2809406396473975</v>
          </cell>
          <cell r="N117">
            <v>2.3537817949951325E-2</v>
          </cell>
        </row>
        <row r="118">
          <cell r="A118" t="str">
            <v>BOX415WA</v>
          </cell>
          <cell r="B118" t="str">
            <v>BRN 16/Qt Wrap Around [BOX415WA]</v>
          </cell>
          <cell r="D118" t="str">
            <v>Box</v>
          </cell>
          <cell r="E118">
            <v>4</v>
          </cell>
          <cell r="F118">
            <v>11</v>
          </cell>
          <cell r="G118">
            <v>0</v>
          </cell>
          <cell r="H118" t="str">
            <v>EA</v>
          </cell>
          <cell r="I118">
            <v>5476</v>
          </cell>
          <cell r="J118">
            <v>0</v>
          </cell>
          <cell r="K118">
            <v>497.81818181818181</v>
          </cell>
          <cell r="L118">
            <v>0</v>
          </cell>
          <cell r="M118">
            <v>4.2809406396473975</v>
          </cell>
          <cell r="N118">
            <v>3.4397623839387416E-2</v>
          </cell>
        </row>
        <row r="119">
          <cell r="A119" t="str">
            <v>BOX420WA</v>
          </cell>
          <cell r="B119" t="str">
            <v>BRN 16/Qt Wrap Around</v>
          </cell>
          <cell r="D119" t="str">
            <v>Box</v>
          </cell>
          <cell r="E119">
            <v>4</v>
          </cell>
          <cell r="F119">
            <v>0</v>
          </cell>
          <cell r="G119">
            <v>2.4928400000000015</v>
          </cell>
          <cell r="H119" t="str">
            <v>EA</v>
          </cell>
          <cell r="I119">
            <v>0</v>
          </cell>
          <cell r="J119">
            <v>1246.4200000000008</v>
          </cell>
          <cell r="K119">
            <v>500</v>
          </cell>
          <cell r="L119">
            <v>9.971360000000006</v>
          </cell>
          <cell r="M119">
            <v>4.2809406396473975</v>
          </cell>
          <cell r="N119">
            <v>3.4247525117179177E-2</v>
          </cell>
        </row>
        <row r="120">
          <cell r="A120" t="str">
            <v>BOX521WA</v>
          </cell>
          <cell r="B120" t="str">
            <v>BRN 24pk 12oz Wrap Around</v>
          </cell>
          <cell r="D120" t="str">
            <v>Box</v>
          </cell>
          <cell r="E120">
            <v>4</v>
          </cell>
          <cell r="F120">
            <v>21</v>
          </cell>
          <cell r="G120">
            <v>48.052130000000005</v>
          </cell>
          <cell r="H120" t="str">
            <v>EA</v>
          </cell>
          <cell r="I120">
            <v>10592</v>
          </cell>
          <cell r="J120">
            <v>24026.065000000002</v>
          </cell>
          <cell r="K120">
            <v>500</v>
          </cell>
          <cell r="L120">
            <v>192.20852000000002</v>
          </cell>
          <cell r="M120">
            <v>4.2809406396473975</v>
          </cell>
          <cell r="N120">
            <v>3.4247525117179177E-2</v>
          </cell>
        </row>
        <row r="121">
          <cell r="A121" t="str">
            <v>BTL213</v>
          </cell>
          <cell r="B121" t="str">
            <v>Qt HDPE DBJ [BTL213]</v>
          </cell>
          <cell r="D121" t="str">
            <v>Bottle Other</v>
          </cell>
          <cell r="E121">
            <v>0</v>
          </cell>
          <cell r="F121">
            <v>49</v>
          </cell>
          <cell r="G121">
            <v>847.71413773148208</v>
          </cell>
          <cell r="H121" t="str">
            <v>EA</v>
          </cell>
          <cell r="I121">
            <v>84672</v>
          </cell>
          <cell r="J121">
            <v>1464850.030000001</v>
          </cell>
          <cell r="K121">
            <v>1728</v>
          </cell>
          <cell r="L121">
            <v>0</v>
          </cell>
          <cell r="M121">
            <v>4.2809406396473975</v>
          </cell>
          <cell r="N121">
            <v>0</v>
          </cell>
        </row>
        <row r="122">
          <cell r="A122" t="str">
            <v>BTL214</v>
          </cell>
          <cell r="B122" t="str">
            <v>Pint HDPE DBJ [BTL214]</v>
          </cell>
          <cell r="D122" t="str">
            <v>Bottle Pints</v>
          </cell>
          <cell r="E122">
            <v>4</v>
          </cell>
          <cell r="F122">
            <v>17</v>
          </cell>
          <cell r="G122">
            <v>0</v>
          </cell>
          <cell r="H122" t="str">
            <v>EA</v>
          </cell>
          <cell r="I122">
            <v>60096</v>
          </cell>
          <cell r="J122">
            <v>0</v>
          </cell>
          <cell r="K122">
            <v>3535.0588235294117</v>
          </cell>
          <cell r="L122">
            <v>0</v>
          </cell>
          <cell r="M122">
            <v>4.2809406396473975</v>
          </cell>
          <cell r="N122">
            <v>4.8439823531686473E-3</v>
          </cell>
        </row>
        <row r="123">
          <cell r="A123" t="str">
            <v>BTL215</v>
          </cell>
          <cell r="B123" t="str">
            <v>12.5  oz HDPE DBJ [BTL215]</v>
          </cell>
          <cell r="D123" t="str">
            <v>Bottle 12OZ</v>
          </cell>
          <cell r="E123">
            <v>4</v>
          </cell>
          <cell r="F123">
            <v>13</v>
          </cell>
          <cell r="G123">
            <v>126.45297368421053</v>
          </cell>
          <cell r="H123" t="str">
            <v>EA</v>
          </cell>
          <cell r="I123">
            <v>59280</v>
          </cell>
          <cell r="J123">
            <v>576625.56000000006</v>
          </cell>
          <cell r="K123">
            <v>4560</v>
          </cell>
          <cell r="L123">
            <v>505.81189473684213</v>
          </cell>
          <cell r="M123">
            <v>4.2809406396473975</v>
          </cell>
          <cell r="N123">
            <v>3.7552110874099977E-3</v>
          </cell>
        </row>
        <row r="124">
          <cell r="A124" t="str">
            <v>COL003</v>
          </cell>
          <cell r="B124" t="str">
            <v>Exberry Shade Red 153330 [COL003]</v>
          </cell>
          <cell r="D124" t="str">
            <v>Color</v>
          </cell>
          <cell r="E124">
            <v>12.899999999999999</v>
          </cell>
          <cell r="F124">
            <v>0</v>
          </cell>
          <cell r="G124">
            <v>0.90666329090909092</v>
          </cell>
          <cell r="H124" t="str">
            <v>LB</v>
          </cell>
          <cell r="I124">
            <v>0</v>
          </cell>
          <cell r="J124">
            <v>99.732962000000001</v>
          </cell>
          <cell r="K124">
            <v>110</v>
          </cell>
          <cell r="L124">
            <v>11.695956452727271</v>
          </cell>
          <cell r="M124">
            <v>4.2809406396473975</v>
          </cell>
          <cell r="N124">
            <v>0.50203758410410382</v>
          </cell>
        </row>
        <row r="125">
          <cell r="A125" t="str">
            <v>COL004</v>
          </cell>
          <cell r="B125" t="str">
            <v>Exberry Mango Yel 450005 [COL004]</v>
          </cell>
          <cell r="D125" t="str">
            <v>Color</v>
          </cell>
          <cell r="E125">
            <v>12.899999999999999</v>
          </cell>
          <cell r="F125">
            <v>0</v>
          </cell>
          <cell r="G125">
            <v>3.8173471636363643</v>
          </cell>
          <cell r="H125" t="str">
            <v>LB</v>
          </cell>
          <cell r="I125">
            <v>0</v>
          </cell>
          <cell r="J125">
            <v>419.90818800000005</v>
          </cell>
          <cell r="K125">
            <v>110</v>
          </cell>
          <cell r="L125">
            <v>49.243778410909094</v>
          </cell>
          <cell r="M125">
            <v>4.2809406396473975</v>
          </cell>
          <cell r="N125">
            <v>0.50203758410410382</v>
          </cell>
        </row>
        <row r="126">
          <cell r="A126" t="str">
            <v>CON003</v>
          </cell>
          <cell r="B126" t="str">
            <v>White Grape Juice Con Brix 68 [CON003]</v>
          </cell>
          <cell r="D126" t="str">
            <v>Con</v>
          </cell>
          <cell r="E126">
            <v>12.899999999999999</v>
          </cell>
          <cell r="F126">
            <v>89</v>
          </cell>
          <cell r="G126">
            <v>207.93473573903665</v>
          </cell>
          <cell r="H126" t="str">
            <v>GL</v>
          </cell>
          <cell r="I126">
            <v>17650</v>
          </cell>
          <cell r="J126">
            <v>41236.495345999967</v>
          </cell>
          <cell r="K126">
            <v>198.31460674157304</v>
          </cell>
          <cell r="L126">
            <v>2682.3580910335727</v>
          </cell>
          <cell r="M126">
            <v>4.2809406396473975</v>
          </cell>
          <cell r="N126">
            <v>0.27846730585717716</v>
          </cell>
        </row>
        <row r="127">
          <cell r="A127" t="str">
            <v>CON005</v>
          </cell>
          <cell r="B127" t="str">
            <v>Lemon Juice Concentrate Brix 43</v>
          </cell>
          <cell r="D127" t="str">
            <v>Con</v>
          </cell>
          <cell r="E127">
            <v>12.899999999999999</v>
          </cell>
          <cell r="F127">
            <v>16</v>
          </cell>
          <cell r="G127">
            <v>0.58440144230769231</v>
          </cell>
          <cell r="H127" t="str">
            <v>GL</v>
          </cell>
          <cell r="I127">
            <v>3328</v>
          </cell>
          <cell r="J127">
            <v>121.55550000000001</v>
          </cell>
          <cell r="K127">
            <v>208</v>
          </cell>
          <cell r="L127">
            <v>7.5387786057692301</v>
          </cell>
          <cell r="M127">
            <v>4.2809406396473975</v>
          </cell>
          <cell r="N127">
            <v>0.26550064543967034</v>
          </cell>
        </row>
        <row r="128">
          <cell r="A128" t="str">
            <v>CON017</v>
          </cell>
          <cell r="B128" t="str">
            <v>Concord Grape Concentrate [CON017]</v>
          </cell>
          <cell r="D128" t="str">
            <v>Con</v>
          </cell>
          <cell r="E128">
            <v>12.899999999999999</v>
          </cell>
          <cell r="F128">
            <v>3</v>
          </cell>
          <cell r="G128">
            <v>8.4372374799999985</v>
          </cell>
          <cell r="H128" t="str">
            <v>GL</v>
          </cell>
          <cell r="I128">
            <v>600</v>
          </cell>
          <cell r="J128">
            <v>1687.4474959999998</v>
          </cell>
          <cell r="K128">
            <v>200</v>
          </cell>
          <cell r="L128">
            <v>108.84036349199997</v>
          </cell>
          <cell r="M128">
            <v>4.2809406396473975</v>
          </cell>
          <cell r="N128">
            <v>0.27612067125725714</v>
          </cell>
        </row>
        <row r="129">
          <cell r="A129" t="str">
            <v>CON020</v>
          </cell>
          <cell r="B129" t="str">
            <v>Passionfruit Juice Con 50 Brix</v>
          </cell>
          <cell r="D129" t="str">
            <v>Con</v>
          </cell>
          <cell r="E129">
            <v>12.899999999999999</v>
          </cell>
          <cell r="F129">
            <v>5</v>
          </cell>
          <cell r="G129">
            <v>7.8600450284475745</v>
          </cell>
          <cell r="H129" t="str">
            <v>GL</v>
          </cell>
          <cell r="I129">
            <v>738.2</v>
          </cell>
          <cell r="J129">
            <v>1160.457048</v>
          </cell>
          <cell r="K129">
            <v>147.64000000000001</v>
          </cell>
          <cell r="L129">
            <v>101.3945808669737</v>
          </cell>
          <cell r="M129">
            <v>4.2809406396473975</v>
          </cell>
          <cell r="N129">
            <v>0.37404588357796953</v>
          </cell>
        </row>
        <row r="130">
          <cell r="A130" t="str">
            <v>CON037</v>
          </cell>
          <cell r="B130" t="str">
            <v>Carrot Juice Conc W/Citric Acid 42 Brix [CON037]</v>
          </cell>
          <cell r="D130" t="str">
            <v>Con</v>
          </cell>
          <cell r="E130">
            <v>12.899999999999999</v>
          </cell>
          <cell r="F130">
            <v>4</v>
          </cell>
          <cell r="G130">
            <v>0</v>
          </cell>
          <cell r="H130" t="str">
            <v>GL</v>
          </cell>
          <cell r="I130">
            <v>475</v>
          </cell>
          <cell r="J130">
            <v>0</v>
          </cell>
          <cell r="K130">
            <v>118.75</v>
          </cell>
          <cell r="L130">
            <v>0</v>
          </cell>
          <cell r="M130">
            <v>4.2809406396473975</v>
          </cell>
          <cell r="N130">
            <v>0.46504534106485412</v>
          </cell>
        </row>
        <row r="131">
          <cell r="A131" t="str">
            <v>CON042</v>
          </cell>
          <cell r="B131" t="str">
            <v>Blood Orange Juice Con 50 Brix [CON042]</v>
          </cell>
          <cell r="D131" t="str">
            <v>Con</v>
          </cell>
          <cell r="E131">
            <v>12.899999999999999</v>
          </cell>
          <cell r="F131">
            <v>1</v>
          </cell>
          <cell r="G131">
            <v>0</v>
          </cell>
          <cell r="H131" t="str">
            <v>GL</v>
          </cell>
          <cell r="I131">
            <v>144</v>
          </cell>
          <cell r="J131">
            <v>0</v>
          </cell>
          <cell r="K131">
            <v>144</v>
          </cell>
          <cell r="L131">
            <v>0</v>
          </cell>
          <cell r="M131">
            <v>4.2809406396473975</v>
          </cell>
          <cell r="N131">
            <v>0.38350093230174598</v>
          </cell>
        </row>
        <row r="132">
          <cell r="A132" t="str">
            <v>CPBK08</v>
          </cell>
          <cell r="B132" t="str">
            <v>BLACK DBJ Cap</v>
          </cell>
          <cell r="D132" t="str">
            <v>Cap</v>
          </cell>
          <cell r="E132">
            <v>3</v>
          </cell>
          <cell r="F132">
            <v>1</v>
          </cell>
          <cell r="G132">
            <v>2.1468216857142846</v>
          </cell>
          <cell r="H132" t="str">
            <v>EA</v>
          </cell>
          <cell r="I132">
            <v>70000</v>
          </cell>
          <cell r="J132">
            <v>150277.51799999992</v>
          </cell>
          <cell r="K132">
            <v>70000</v>
          </cell>
          <cell r="L132">
            <v>6.4404650571428537</v>
          </cell>
          <cell r="M132">
            <v>4.2809406396473975</v>
          </cell>
          <cell r="N132">
            <v>1.8346888455631703E-4</v>
          </cell>
        </row>
        <row r="133">
          <cell r="A133" t="str">
            <v>CPGD08</v>
          </cell>
          <cell r="B133" t="str">
            <v>GOLD DBJ Cap</v>
          </cell>
          <cell r="D133" t="str">
            <v>Cap</v>
          </cell>
          <cell r="E133">
            <v>3</v>
          </cell>
          <cell r="F133">
            <v>2</v>
          </cell>
          <cell r="G133">
            <v>7.3967084250000017</v>
          </cell>
          <cell r="H133" t="str">
            <v>EA</v>
          </cell>
          <cell r="I133">
            <v>80000</v>
          </cell>
          <cell r="J133">
            <v>295868.33700000006</v>
          </cell>
          <cell r="K133">
            <v>40000</v>
          </cell>
          <cell r="L133">
            <v>22.190125275000007</v>
          </cell>
          <cell r="M133">
            <v>4.2809406396473975</v>
          </cell>
          <cell r="N133">
            <v>3.2107054797355478E-4</v>
          </cell>
        </row>
        <row r="134">
          <cell r="A134" t="str">
            <v>CPGR08</v>
          </cell>
          <cell r="B134" t="str">
            <v>Green DBJ Cap [CPGR08]</v>
          </cell>
          <cell r="D134" t="str">
            <v>Cap</v>
          </cell>
          <cell r="E134">
            <v>3</v>
          </cell>
          <cell r="F134">
            <v>5</v>
          </cell>
          <cell r="G134">
            <v>39.419206740317883</v>
          </cell>
          <cell r="H134" t="str">
            <v>EA</v>
          </cell>
          <cell r="I134">
            <v>437500</v>
          </cell>
          <cell r="J134">
            <v>3449180.5897778147</v>
          </cell>
          <cell r="K134">
            <v>87500</v>
          </cell>
          <cell r="L134">
            <v>118.25762022095364</v>
          </cell>
          <cell r="M134">
            <v>4.2809406396473975</v>
          </cell>
          <cell r="N134">
            <v>1.4677510764505363E-4</v>
          </cell>
        </row>
        <row r="135">
          <cell r="A135" t="str">
            <v>CPLG08</v>
          </cell>
          <cell r="B135" t="str">
            <v>Cap LIGHT GREEN DBJ</v>
          </cell>
          <cell r="D135" t="str">
            <v>Cap</v>
          </cell>
          <cell r="E135">
            <v>3</v>
          </cell>
          <cell r="F135">
            <v>2</v>
          </cell>
          <cell r="G135">
            <v>2.679846</v>
          </cell>
          <cell r="H135" t="str">
            <v>EA</v>
          </cell>
          <cell r="I135">
            <v>35000</v>
          </cell>
          <cell r="J135">
            <v>46897.305</v>
          </cell>
          <cell r="K135">
            <v>17500</v>
          </cell>
          <cell r="L135">
            <v>8.0395380000000003</v>
          </cell>
          <cell r="M135">
            <v>4.2809406396473975</v>
          </cell>
          <cell r="N135">
            <v>7.3387553822526811E-4</v>
          </cell>
        </row>
        <row r="136">
          <cell r="A136" t="str">
            <v>CPMN08</v>
          </cell>
          <cell r="B136" t="str">
            <v>Cap Maroon DBJ [CPMN08]</v>
          </cell>
          <cell r="D136" t="str">
            <v>Cap</v>
          </cell>
          <cell r="E136">
            <v>3</v>
          </cell>
          <cell r="F136">
            <v>7</v>
          </cell>
          <cell r="G136">
            <v>2.3319914799999992</v>
          </cell>
          <cell r="H136" t="str">
            <v>EA</v>
          </cell>
          <cell r="I136">
            <v>150000</v>
          </cell>
          <cell r="J136">
            <v>49971.245999999985</v>
          </cell>
          <cell r="K136">
            <v>21428.571428571428</v>
          </cell>
          <cell r="L136">
            <v>6.9959744399999977</v>
          </cell>
          <cell r="M136">
            <v>4.2809406396473975</v>
          </cell>
          <cell r="N136">
            <v>5.9933168955063571E-4</v>
          </cell>
        </row>
        <row r="137">
          <cell r="A137" t="str">
            <v>CPOG08</v>
          </cell>
          <cell r="B137" t="str">
            <v>ORANGE DBJ Cap</v>
          </cell>
          <cell r="D137" t="str">
            <v>Cap</v>
          </cell>
          <cell r="E137">
            <v>3</v>
          </cell>
          <cell r="F137">
            <v>5</v>
          </cell>
          <cell r="G137">
            <v>35.21087258281657</v>
          </cell>
          <cell r="H137" t="str">
            <v>EA</v>
          </cell>
          <cell r="I137">
            <v>437500</v>
          </cell>
          <cell r="J137">
            <v>3080951.3509964501</v>
          </cell>
          <cell r="K137">
            <v>87500</v>
          </cell>
          <cell r="L137">
            <v>105.63261774844972</v>
          </cell>
          <cell r="M137">
            <v>4.2809406396473975</v>
          </cell>
          <cell r="N137">
            <v>1.4677510764505363E-4</v>
          </cell>
        </row>
        <row r="138">
          <cell r="A138" t="str">
            <v>CPRD08</v>
          </cell>
          <cell r="B138" t="str">
            <v>Red DBJ Cap [CPRD08]</v>
          </cell>
          <cell r="D138" t="str">
            <v>Cap</v>
          </cell>
          <cell r="E138">
            <v>3</v>
          </cell>
          <cell r="F138">
            <v>1</v>
          </cell>
          <cell r="G138">
            <v>2.5066463000000008</v>
          </cell>
          <cell r="H138" t="str">
            <v>EA</v>
          </cell>
          <cell r="I138">
            <v>85000</v>
          </cell>
          <cell r="J138">
            <v>213064.93550000008</v>
          </cell>
          <cell r="K138">
            <v>85000</v>
          </cell>
          <cell r="L138">
            <v>7.5199389000000023</v>
          </cell>
          <cell r="M138">
            <v>4.2809406396473975</v>
          </cell>
          <cell r="N138">
            <v>1.5109202257579049E-4</v>
          </cell>
        </row>
        <row r="139">
          <cell r="A139" t="str">
            <v>CPYL08</v>
          </cell>
          <cell r="B139" t="str">
            <v>Cap Yellow DBJ [CPYL08]</v>
          </cell>
          <cell r="D139" t="str">
            <v>Cap</v>
          </cell>
          <cell r="E139">
            <v>3</v>
          </cell>
          <cell r="F139">
            <v>6</v>
          </cell>
          <cell r="G139">
            <v>36.542852900709768</v>
          </cell>
          <cell r="H139" t="str">
            <v>EA</v>
          </cell>
          <cell r="I139">
            <v>477500</v>
          </cell>
          <cell r="J139">
            <v>2908202.0433481522</v>
          </cell>
          <cell r="K139">
            <v>79583.333333333328</v>
          </cell>
          <cell r="L139">
            <v>109.62855870212931</v>
          </cell>
          <cell r="M139">
            <v>4.2809406396473975</v>
          </cell>
          <cell r="N139">
            <v>1.6137577280346213E-4</v>
          </cell>
        </row>
        <row r="140">
          <cell r="A140" t="str">
            <v>CPWT08</v>
          </cell>
          <cell r="B140" t="str">
            <v>Cap WHITE DBJ</v>
          </cell>
          <cell r="D140" t="str">
            <v>Cap</v>
          </cell>
          <cell r="E140">
            <v>3</v>
          </cell>
          <cell r="F140">
            <v>2</v>
          </cell>
          <cell r="G140">
            <v>7.9275606620689665</v>
          </cell>
          <cell r="H140" t="str">
            <v>EA</v>
          </cell>
          <cell r="I140">
            <v>72500</v>
          </cell>
          <cell r="J140">
            <v>287374.07400000002</v>
          </cell>
          <cell r="K140">
            <v>36250</v>
          </cell>
          <cell r="L140">
            <v>23.782681986206899</v>
          </cell>
          <cell r="M140">
            <v>4.2809406396473975</v>
          </cell>
          <cell r="N140">
            <v>3.5428474259150875E-4</v>
          </cell>
        </row>
        <row r="141">
          <cell r="A141" t="str">
            <v>FLV001</v>
          </cell>
          <cell r="B141" t="str">
            <v>Lemon Oil - INFO PURPOSES ONLY. THIS IS ALL UNDER SKU 4800</v>
          </cell>
          <cell r="D141" t="str">
            <v>Flavor</v>
          </cell>
          <cell r="E141">
            <v>12.899999999999999</v>
          </cell>
          <cell r="F141">
            <v>0</v>
          </cell>
          <cell r="G141">
            <v>0</v>
          </cell>
          <cell r="H141" t="str">
            <v>LB</v>
          </cell>
          <cell r="I141">
            <v>0</v>
          </cell>
          <cell r="J141">
            <v>3203.2112369031647</v>
          </cell>
          <cell r="K141" t="e">
            <v>#N/A</v>
          </cell>
          <cell r="L141">
            <v>0</v>
          </cell>
          <cell r="M141">
            <v>4.2809406396473975</v>
          </cell>
          <cell r="N141">
            <v>0</v>
          </cell>
        </row>
        <row r="142">
          <cell r="A142" t="str">
            <v>FLV009</v>
          </cell>
          <cell r="B142" t="str">
            <v>Cold Pressed Lime Oil</v>
          </cell>
          <cell r="D142" t="str">
            <v>Flavor</v>
          </cell>
          <cell r="E142">
            <v>12.899999999999999</v>
          </cell>
          <cell r="F142">
            <v>1</v>
          </cell>
          <cell r="G142">
            <v>0.69564619999999988</v>
          </cell>
          <cell r="H142" t="str">
            <v>LB</v>
          </cell>
          <cell r="I142">
            <v>40</v>
          </cell>
          <cell r="J142">
            <v>27.825847999999997</v>
          </cell>
          <cell r="K142">
            <v>40</v>
          </cell>
          <cell r="L142">
            <v>8.9738359799999969</v>
          </cell>
          <cell r="M142">
            <v>4.2809406396473975</v>
          </cell>
          <cell r="N142">
            <v>1.3806033562862856</v>
          </cell>
        </row>
        <row r="143">
          <cell r="A143" t="str">
            <v>FLV063</v>
          </cell>
          <cell r="B143" t="str">
            <v>Treat Lemon Oil Meyer Type 17684</v>
          </cell>
          <cell r="D143" t="str">
            <v>Flavor</v>
          </cell>
          <cell r="E143">
            <v>12.899999999999999</v>
          </cell>
          <cell r="F143">
            <v>3</v>
          </cell>
          <cell r="G143">
            <v>3.0679676363636363</v>
          </cell>
          <cell r="H143" t="str">
            <v>LB</v>
          </cell>
          <cell r="I143">
            <v>33</v>
          </cell>
          <cell r="J143">
            <v>33.747644000000001</v>
          </cell>
          <cell r="K143">
            <v>11</v>
          </cell>
          <cell r="L143">
            <v>39.576782509090904</v>
          </cell>
          <cell r="M143">
            <v>4.2809406396473975</v>
          </cell>
          <cell r="N143">
            <v>5.0203758410410382</v>
          </cell>
        </row>
        <row r="144">
          <cell r="A144" t="str">
            <v>FLV068</v>
          </cell>
          <cell r="B144" t="str">
            <v>Robertet Peach Flavor NV-10640</v>
          </cell>
          <cell r="D144" t="str">
            <v>Flavor</v>
          </cell>
          <cell r="E144">
            <v>12.899999999999999</v>
          </cell>
          <cell r="F144">
            <v>2</v>
          </cell>
          <cell r="G144">
            <v>28.893206755555564</v>
          </cell>
          <cell r="H144" t="str">
            <v>LB</v>
          </cell>
          <cell r="I144">
            <v>135</v>
          </cell>
          <cell r="J144">
            <v>1950.2914560000006</v>
          </cell>
          <cell r="K144">
            <v>67.5</v>
          </cell>
          <cell r="L144">
            <v>372.72236714666673</v>
          </cell>
          <cell r="M144">
            <v>4.2809406396473975</v>
          </cell>
          <cell r="N144">
            <v>0.81813532224372476</v>
          </cell>
        </row>
        <row r="145">
          <cell r="A145" t="str">
            <v>FLV015</v>
          </cell>
          <cell r="B145" t="str">
            <v>Blueberry NV 28106 [FLV015]</v>
          </cell>
          <cell r="D145" t="str">
            <v>Flavor</v>
          </cell>
          <cell r="E145">
            <v>12.899999999999999</v>
          </cell>
          <cell r="F145">
            <v>0</v>
          </cell>
          <cell r="G145">
            <v>0</v>
          </cell>
          <cell r="H145" t="str">
            <v>LB</v>
          </cell>
          <cell r="I145">
            <v>0</v>
          </cell>
          <cell r="J145">
            <v>0</v>
          </cell>
          <cell r="K145">
            <v>400</v>
          </cell>
          <cell r="L145">
            <v>0</v>
          </cell>
          <cell r="M145">
            <v>4.2809406396473975</v>
          </cell>
          <cell r="N145">
            <v>0.13806033562862857</v>
          </cell>
        </row>
        <row r="146">
          <cell r="A146" t="str">
            <v>FLV050</v>
          </cell>
          <cell r="B146" t="str">
            <v>Robertet Blood Org Flv NV 37,201 [FLV050]</v>
          </cell>
          <cell r="D146" t="str">
            <v>Flavor</v>
          </cell>
          <cell r="E146">
            <v>12.899999999999999</v>
          </cell>
          <cell r="F146">
            <v>2</v>
          </cell>
          <cell r="G146">
            <v>0</v>
          </cell>
          <cell r="H146" t="str">
            <v>LB</v>
          </cell>
          <cell r="I146">
            <v>74</v>
          </cell>
          <cell r="J146">
            <v>0</v>
          </cell>
          <cell r="K146">
            <v>37</v>
          </cell>
          <cell r="L146">
            <v>0</v>
          </cell>
          <cell r="M146">
            <v>4.2809406396473975</v>
          </cell>
          <cell r="N146">
            <v>1.4925441689581467</v>
          </cell>
        </row>
        <row r="147">
          <cell r="A147" t="str">
            <v>FLV069</v>
          </cell>
          <cell r="B147" t="str">
            <v>Treatt Lemon Aroma Plus Enhanced SA889256/7 [FLV069]</v>
          </cell>
          <cell r="D147" t="str">
            <v>Flavor</v>
          </cell>
          <cell r="E147">
            <v>12.899999999999999</v>
          </cell>
          <cell r="F147">
            <v>0</v>
          </cell>
          <cell r="G147">
            <v>0</v>
          </cell>
          <cell r="H147" t="str">
            <v>LB</v>
          </cell>
          <cell r="I147">
            <v>0</v>
          </cell>
          <cell r="J147">
            <v>0</v>
          </cell>
          <cell r="K147">
            <v>400</v>
          </cell>
          <cell r="L147">
            <v>0</v>
          </cell>
          <cell r="M147">
            <v>4.2809406396473975</v>
          </cell>
          <cell r="N147">
            <v>0.13806033562862857</v>
          </cell>
        </row>
        <row r="148">
          <cell r="A148" t="str">
            <v>FLV076</v>
          </cell>
          <cell r="B148" t="str">
            <v>Flavormatic Peach 713-091 [FLV076]</v>
          </cell>
          <cell r="D148" t="str">
            <v>Flavor</v>
          </cell>
          <cell r="E148">
            <v>12.899999999999999</v>
          </cell>
          <cell r="F148">
            <v>5</v>
          </cell>
          <cell r="G148">
            <v>7.7640541764705882</v>
          </cell>
          <cell r="H148" t="str">
            <v>LB</v>
          </cell>
          <cell r="I148">
            <v>170</v>
          </cell>
          <cell r="J148">
            <v>263.97784200000001</v>
          </cell>
          <cell r="K148">
            <v>34</v>
          </cell>
          <cell r="L148">
            <v>100.15629887647057</v>
          </cell>
          <cell r="M148">
            <v>4.2809406396473975</v>
          </cell>
          <cell r="N148">
            <v>1.6242392426897478</v>
          </cell>
        </row>
        <row r="149">
          <cell r="A149" t="str">
            <v>FLV077</v>
          </cell>
          <cell r="B149" t="str">
            <v>Robertet Mango NV 71,484 [FLV077]</v>
          </cell>
          <cell r="D149" t="str">
            <v>Flavor</v>
          </cell>
          <cell r="E149">
            <v>12.899999999999999</v>
          </cell>
          <cell r="F149">
            <v>5</v>
          </cell>
          <cell r="G149">
            <v>8.2252851176470614</v>
          </cell>
          <cell r="H149" t="str">
            <v>LB</v>
          </cell>
          <cell r="I149">
            <v>170</v>
          </cell>
          <cell r="J149">
            <v>279.65969400000006</v>
          </cell>
          <cell r="K149">
            <v>34</v>
          </cell>
          <cell r="L149">
            <v>106.10617801764708</v>
          </cell>
          <cell r="M149">
            <v>4.2809406396473975</v>
          </cell>
          <cell r="N149">
            <v>1.6242392426897478</v>
          </cell>
        </row>
        <row r="150">
          <cell r="A150" t="str">
            <v>FLV080</v>
          </cell>
          <cell r="B150" t="str">
            <v>Flavorchem Vanilla 93.7309 [FLV080]</v>
          </cell>
          <cell r="D150" t="str">
            <v>Flavor</v>
          </cell>
          <cell r="E150">
            <v>12.899999999999999</v>
          </cell>
          <cell r="F150">
            <v>4</v>
          </cell>
          <cell r="G150">
            <v>5.5900424999999991</v>
          </cell>
          <cell r="H150" t="str">
            <v>LB</v>
          </cell>
          <cell r="I150">
            <v>128</v>
          </cell>
          <cell r="J150">
            <v>178.88135999999997</v>
          </cell>
          <cell r="K150">
            <v>32</v>
          </cell>
          <cell r="L150">
            <v>72.111548249999984</v>
          </cell>
          <cell r="M150">
            <v>4.2809406396473975</v>
          </cell>
          <cell r="N150">
            <v>1.725754195357857</v>
          </cell>
        </row>
        <row r="151">
          <cell r="A151" t="str">
            <v>FLV089</v>
          </cell>
          <cell r="B151" t="str">
            <v>Mango (Bell) 85.20948 (no PG) Panera [FLV089]</v>
          </cell>
          <cell r="D151" t="str">
            <v>Flavor</v>
          </cell>
          <cell r="E151">
            <v>12.899999999999999</v>
          </cell>
          <cell r="F151">
            <v>15</v>
          </cell>
          <cell r="G151">
            <v>16.949840960000003</v>
          </cell>
          <cell r="H151" t="str">
            <v>LB</v>
          </cell>
          <cell r="I151">
            <v>375</v>
          </cell>
          <cell r="J151">
            <v>423.74602400000003</v>
          </cell>
          <cell r="K151">
            <v>25</v>
          </cell>
          <cell r="L151">
            <v>218.65294838400001</v>
          </cell>
          <cell r="M151">
            <v>4.2809406396473975</v>
          </cell>
          <cell r="N151">
            <v>2.2089653700580572</v>
          </cell>
        </row>
        <row r="152">
          <cell r="A152" t="str">
            <v>FLV090</v>
          </cell>
          <cell r="B152" t="str">
            <v>Strw (IFF) SC559193 (No PG) Panera [FLV090]</v>
          </cell>
          <cell r="D152" t="str">
            <v>Flavor</v>
          </cell>
          <cell r="E152">
            <v>12.899999999999999</v>
          </cell>
          <cell r="F152">
            <v>1</v>
          </cell>
          <cell r="G152">
            <v>6.8465936309523849</v>
          </cell>
          <cell r="H152" t="str">
            <v>LB</v>
          </cell>
          <cell r="I152">
            <v>840</v>
          </cell>
          <cell r="J152">
            <v>5751.1386500000035</v>
          </cell>
          <cell r="K152">
            <v>840</v>
          </cell>
          <cell r="L152">
            <v>88.321057839285757</v>
          </cell>
          <cell r="M152">
            <v>4.2809406396473975</v>
          </cell>
          <cell r="N152">
            <v>6.5743016966013604E-2</v>
          </cell>
        </row>
        <row r="153">
          <cell r="A153" t="str">
            <v>FLV110</v>
          </cell>
          <cell r="B153" t="str">
            <v>IFF Mango Flv SC645445 [FLV110]</v>
          </cell>
          <cell r="D153" t="str">
            <v>Flavor</v>
          </cell>
          <cell r="E153">
            <v>12.899999999999999</v>
          </cell>
          <cell r="F153">
            <v>0</v>
          </cell>
          <cell r="G153">
            <v>0</v>
          </cell>
          <cell r="H153" t="str">
            <v>LB</v>
          </cell>
          <cell r="I153">
            <v>0</v>
          </cell>
          <cell r="J153">
            <v>0</v>
          </cell>
          <cell r="K153">
            <v>400</v>
          </cell>
          <cell r="L153">
            <v>0</v>
          </cell>
          <cell r="M153">
            <v>4.2809406396473975</v>
          </cell>
          <cell r="N153">
            <v>0.13806033562862857</v>
          </cell>
        </row>
        <row r="154">
          <cell r="A154" t="str">
            <v>FLV113</v>
          </cell>
          <cell r="B154" t="str">
            <v>Robertet NV-74531 Prickly Pear Flv No PG [FLV113]</v>
          </cell>
          <cell r="D154" t="str">
            <v>Flavor</v>
          </cell>
          <cell r="E154">
            <v>12.899999999999999</v>
          </cell>
          <cell r="F154">
            <v>1</v>
          </cell>
          <cell r="G154">
            <v>17.262429459459458</v>
          </cell>
          <cell r="H154" t="str">
            <v>LB</v>
          </cell>
          <cell r="I154">
            <v>37</v>
          </cell>
          <cell r="J154">
            <v>638.70988999999997</v>
          </cell>
          <cell r="K154">
            <v>37</v>
          </cell>
          <cell r="L154">
            <v>222.685340027027</v>
          </cell>
          <cell r="M154">
            <v>4.2809406396473975</v>
          </cell>
          <cell r="N154">
            <v>1.4925441689581467</v>
          </cell>
        </row>
        <row r="155">
          <cell r="A155" t="str">
            <v>FLV114</v>
          </cell>
          <cell r="B155" t="str">
            <v>IFF Lime Flavor SC687044 [FLV114]</v>
          </cell>
          <cell r="D155" t="str">
            <v>Flavor</v>
          </cell>
          <cell r="E155">
            <v>12.899999999999999</v>
          </cell>
          <cell r="F155">
            <v>1</v>
          </cell>
          <cell r="G155">
            <v>7.2971989999999973</v>
          </cell>
          <cell r="H155" t="str">
            <v>LB</v>
          </cell>
          <cell r="I155">
            <v>40</v>
          </cell>
          <cell r="J155">
            <v>291.88795999999991</v>
          </cell>
          <cell r="K155">
            <v>40</v>
          </cell>
          <cell r="L155">
            <v>94.133867099999961</v>
          </cell>
          <cell r="M155">
            <v>4.2809406396473975</v>
          </cell>
          <cell r="N155">
            <v>1.3806033562862856</v>
          </cell>
        </row>
        <row r="156">
          <cell r="A156" t="str">
            <v>J3401</v>
          </cell>
          <cell r="B156" t="str">
            <v>Apple Juice Internal Drum</v>
          </cell>
          <cell r="D156" t="str">
            <v>Other Juice Drum</v>
          </cell>
          <cell r="E156">
            <v>26</v>
          </cell>
          <cell r="F156">
            <v>30</v>
          </cell>
          <cell r="G156">
            <v>51.826338461538462</v>
          </cell>
          <cell r="H156" t="str">
            <v>GL</v>
          </cell>
          <cell r="I156">
            <v>5265</v>
          </cell>
          <cell r="J156">
            <v>9095.5223999999998</v>
          </cell>
          <cell r="K156">
            <v>175.5</v>
          </cell>
          <cell r="L156">
            <v>1347.4848</v>
          </cell>
          <cell r="M156">
            <v>4.2809406396473975</v>
          </cell>
          <cell r="N156">
            <v>0.63421342809591075</v>
          </cell>
        </row>
        <row r="157">
          <cell r="A157" t="str">
            <v>J4042</v>
          </cell>
          <cell r="B157" t="str">
            <v>Lemon Juice in drums</v>
          </cell>
          <cell r="D157" t="str">
            <v>Lemon Drum</v>
          </cell>
          <cell r="E157">
            <v>7</v>
          </cell>
          <cell r="F157">
            <v>530</v>
          </cell>
          <cell r="G157">
            <v>0</v>
          </cell>
          <cell r="H157" t="str">
            <v>DR</v>
          </cell>
          <cell r="I157">
            <v>101472</v>
          </cell>
          <cell r="J157">
            <v>0</v>
          </cell>
          <cell r="K157">
            <v>191.4566037735849</v>
          </cell>
          <cell r="L157">
            <v>0</v>
          </cell>
          <cell r="M157">
            <v>4.2809406396473975</v>
          </cell>
          <cell r="N157">
            <v>0.15651893894958063</v>
          </cell>
        </row>
        <row r="158">
          <cell r="A158" t="str">
            <v>J4045</v>
          </cell>
          <cell r="B158" t="str">
            <v>Lemon Juice Drum [J4045]</v>
          </cell>
          <cell r="D158" t="str">
            <v>Lemon Drum</v>
          </cell>
          <cell r="E158">
            <v>7</v>
          </cell>
          <cell r="F158">
            <v>5</v>
          </cell>
          <cell r="G158">
            <v>0</v>
          </cell>
          <cell r="H158" t="str">
            <v>DR</v>
          </cell>
          <cell r="I158">
            <v>20</v>
          </cell>
          <cell r="J158">
            <v>0</v>
          </cell>
          <cell r="K158">
            <v>4</v>
          </cell>
          <cell r="L158">
            <v>0</v>
          </cell>
          <cell r="M158">
            <v>4.2809406396473975</v>
          </cell>
          <cell r="N158">
            <v>7.4916461193829456</v>
          </cell>
        </row>
        <row r="159">
          <cell r="A159" t="str">
            <v>J4045P</v>
          </cell>
          <cell r="B159" t="str">
            <v>Lemon Juice Plastic Drum [J4045P]</v>
          </cell>
          <cell r="D159" t="str">
            <v>Lemon Drum</v>
          </cell>
          <cell r="E159">
            <v>7</v>
          </cell>
          <cell r="F159">
            <v>81</v>
          </cell>
          <cell r="G159">
            <v>0</v>
          </cell>
          <cell r="H159" t="str">
            <v>DR</v>
          </cell>
          <cell r="I159">
            <v>314</v>
          </cell>
          <cell r="J159">
            <v>0</v>
          </cell>
          <cell r="K159">
            <v>3.8765432098765431</v>
          </cell>
          <cell r="L159">
            <v>0</v>
          </cell>
          <cell r="M159">
            <v>4.2809406396473975</v>
          </cell>
          <cell r="N159">
            <v>7.7302335754142497</v>
          </cell>
        </row>
        <row r="160">
          <cell r="A160" t="str">
            <v>J4046</v>
          </cell>
          <cell r="B160" t="str">
            <v>Lemon Juice Extraction Drum in Gallons</v>
          </cell>
          <cell r="D160" t="str">
            <v>Lemon Drum</v>
          </cell>
          <cell r="E160">
            <v>7</v>
          </cell>
          <cell r="F160">
            <v>0</v>
          </cell>
          <cell r="G160">
            <v>1666.6666666666667</v>
          </cell>
          <cell r="H160" t="str">
            <v>DR</v>
          </cell>
          <cell r="I160">
            <v>0</v>
          </cell>
          <cell r="J160">
            <v>300000</v>
          </cell>
          <cell r="K160">
            <v>180</v>
          </cell>
          <cell r="L160">
            <v>11666.666666666668</v>
          </cell>
          <cell r="M160">
            <v>4.2809406396473975</v>
          </cell>
          <cell r="N160">
            <v>0.16648102487517658</v>
          </cell>
        </row>
        <row r="161">
          <cell r="A161" t="str">
            <v>J4100</v>
          </cell>
          <cell r="B161" t="str">
            <v>Meyer Lemon Internal Drums</v>
          </cell>
          <cell r="D161" t="str">
            <v>Meyer Drum</v>
          </cell>
          <cell r="E161">
            <v>33</v>
          </cell>
          <cell r="F161">
            <v>21</v>
          </cell>
          <cell r="G161">
            <v>672.22222222222217</v>
          </cell>
          <cell r="H161" t="str">
            <v>DR</v>
          </cell>
          <cell r="I161">
            <v>3780</v>
          </cell>
          <cell r="J161">
            <v>121000</v>
          </cell>
          <cell r="K161">
            <v>180</v>
          </cell>
          <cell r="L161">
            <v>22183.333333333332</v>
          </cell>
          <cell r="M161">
            <v>4.2809406396473975</v>
          </cell>
          <cell r="N161">
            <v>0.78483911726868949</v>
          </cell>
        </row>
        <row r="162">
          <cell r="A162" t="str">
            <v>J5806</v>
          </cell>
          <cell r="B162" t="str">
            <v>Lime Lemon Juice [J5806]</v>
          </cell>
          <cell r="D162" t="str">
            <v>Other Juice Drum</v>
          </cell>
          <cell r="E162">
            <v>26</v>
          </cell>
          <cell r="F162">
            <v>0</v>
          </cell>
          <cell r="G162">
            <v>0</v>
          </cell>
          <cell r="H162" t="str">
            <v>GL</v>
          </cell>
          <cell r="I162">
            <v>0</v>
          </cell>
          <cell r="J162">
            <v>0</v>
          </cell>
          <cell r="K162">
            <v>180</v>
          </cell>
          <cell r="L162">
            <v>0</v>
          </cell>
          <cell r="M162">
            <v>4.2809406396473975</v>
          </cell>
          <cell r="N162">
            <v>0.61835809239351291</v>
          </cell>
        </row>
        <row r="163">
          <cell r="A163" t="str">
            <v>J6003</v>
          </cell>
          <cell r="B163" t="str">
            <v>Lime Juice Tote in Gallons</v>
          </cell>
          <cell r="D163" t="str">
            <v>Lime Tote</v>
          </cell>
          <cell r="E163">
            <v>8</v>
          </cell>
          <cell r="F163">
            <v>154</v>
          </cell>
          <cell r="G163">
            <v>0</v>
          </cell>
          <cell r="H163" t="str">
            <v>GL</v>
          </cell>
          <cell r="I163">
            <v>58857.87</v>
          </cell>
          <cell r="J163">
            <v>0</v>
          </cell>
          <cell r="K163">
            <v>382.19396103896105</v>
          </cell>
          <cell r="L163">
            <v>0</v>
          </cell>
          <cell r="M163">
            <v>4.2809406396473975</v>
          </cell>
          <cell r="N163">
            <v>8.9607708672529152E-2</v>
          </cell>
        </row>
        <row r="164">
          <cell r="A164" t="str">
            <v>J6006</v>
          </cell>
          <cell r="B164" t="str">
            <v>Lime Juice Internal Drum</v>
          </cell>
          <cell r="D164" t="str">
            <v>Lime Drum</v>
          </cell>
          <cell r="E164">
            <v>9</v>
          </cell>
          <cell r="F164">
            <v>66</v>
          </cell>
          <cell r="G164">
            <v>0</v>
          </cell>
          <cell r="H164" t="str">
            <v>GL</v>
          </cell>
          <cell r="I164">
            <v>11745</v>
          </cell>
          <cell r="J164">
            <v>0</v>
          </cell>
          <cell r="K164">
            <v>177.95454545454547</v>
          </cell>
          <cell r="L164">
            <v>0</v>
          </cell>
          <cell r="M164">
            <v>4.2809406396473975</v>
          </cell>
          <cell r="N164">
            <v>0.21650734269481089</v>
          </cell>
        </row>
        <row r="165">
          <cell r="A165" t="str">
            <v>J6040</v>
          </cell>
          <cell r="B165" t="str">
            <v>Lime Juice [J6040]</v>
          </cell>
          <cell r="D165" t="str">
            <v>Lime Drum</v>
          </cell>
          <cell r="E165">
            <v>9</v>
          </cell>
          <cell r="F165">
            <v>1404</v>
          </cell>
          <cell r="G165">
            <v>3087.3333870382444</v>
          </cell>
          <cell r="H165" t="str">
            <v>GL</v>
          </cell>
          <cell r="I165">
            <v>272264.47999999992</v>
          </cell>
          <cell r="J165">
            <v>598697.44957877928</v>
          </cell>
          <cell r="K165">
            <v>193.92056980056975</v>
          </cell>
          <cell r="L165">
            <v>27786.0004833442</v>
          </cell>
          <cell r="M165">
            <v>4.2809406396473975</v>
          </cell>
          <cell r="N165">
            <v>0.19868168599365046</v>
          </cell>
        </row>
        <row r="166">
          <cell r="A166" t="str">
            <v>J6145</v>
          </cell>
          <cell r="B166" t="str">
            <v>Key Lime Juice Drum [J6145]</v>
          </cell>
          <cell r="D166" t="str">
            <v>Lime Drum</v>
          </cell>
          <cell r="E166">
            <v>9</v>
          </cell>
          <cell r="F166">
            <v>0</v>
          </cell>
          <cell r="G166">
            <v>0</v>
          </cell>
          <cell r="H166" t="str">
            <v>DR</v>
          </cell>
          <cell r="I166">
            <v>0</v>
          </cell>
          <cell r="J166">
            <v>0</v>
          </cell>
          <cell r="K166">
            <v>192</v>
          </cell>
          <cell r="L166">
            <v>0</v>
          </cell>
          <cell r="M166">
            <v>4.2809406396473975</v>
          </cell>
          <cell r="N166">
            <v>0.20066909248347176</v>
          </cell>
        </row>
        <row r="167">
          <cell r="A167" t="str">
            <v>J6146</v>
          </cell>
          <cell r="B167" t="str">
            <v>Key Lime Juice Drum</v>
          </cell>
          <cell r="D167" t="str">
            <v>Lime Drum</v>
          </cell>
          <cell r="E167">
            <v>9</v>
          </cell>
          <cell r="F167">
            <v>45</v>
          </cell>
          <cell r="G167">
            <v>146.08871999999997</v>
          </cell>
          <cell r="H167" t="str">
            <v>DR</v>
          </cell>
          <cell r="I167">
            <v>9000</v>
          </cell>
          <cell r="J167">
            <v>29217.743999999995</v>
          </cell>
          <cell r="K167">
            <v>200</v>
          </cell>
          <cell r="L167">
            <v>1314.7984799999997</v>
          </cell>
          <cell r="M167">
            <v>4.2809406396473975</v>
          </cell>
          <cell r="N167">
            <v>0.1926423287841329</v>
          </cell>
        </row>
        <row r="168">
          <cell r="A168" t="str">
            <v>J7099</v>
          </cell>
          <cell r="B168" t="str">
            <v xml:space="preserve"> NFC Orange Mexican Top Note</v>
          </cell>
          <cell r="D168" t="str">
            <v>OJ Drum</v>
          </cell>
          <cell r="E168">
            <v>16</v>
          </cell>
          <cell r="F168">
            <v>11</v>
          </cell>
          <cell r="G168">
            <v>0</v>
          </cell>
          <cell r="H168" t="str">
            <v>DR</v>
          </cell>
          <cell r="I168">
            <v>1845</v>
          </cell>
          <cell r="J168">
            <v>0</v>
          </cell>
          <cell r="K168">
            <v>167.72727272727272</v>
          </cell>
          <cell r="L168">
            <v>0</v>
          </cell>
          <cell r="M168">
            <v>4.2809406396473975</v>
          </cell>
          <cell r="N168">
            <v>0.40837157321297668</v>
          </cell>
        </row>
        <row r="169">
          <cell r="A169" t="str">
            <v>J7300</v>
          </cell>
          <cell r="B169" t="str">
            <v>OJ Mixed Drum [J7300]</v>
          </cell>
          <cell r="D169" t="str">
            <v>OJ Drum</v>
          </cell>
          <cell r="E169">
            <v>16</v>
          </cell>
          <cell r="F169">
            <v>0</v>
          </cell>
          <cell r="G169">
            <v>0</v>
          </cell>
          <cell r="H169" t="str">
            <v>DR</v>
          </cell>
          <cell r="I169">
            <v>0</v>
          </cell>
          <cell r="J169">
            <v>0</v>
          </cell>
          <cell r="K169">
            <v>3.9836065573770494</v>
          </cell>
          <cell r="L169">
            <v>0</v>
          </cell>
          <cell r="M169">
            <v>4.2809406396473975</v>
          </cell>
          <cell r="N169">
            <v>17.194230717266912</v>
          </cell>
        </row>
        <row r="170">
          <cell r="A170" t="str">
            <v>J7904</v>
          </cell>
          <cell r="B170" t="str">
            <v>100% California Valencia Orange Juice [J7904]</v>
          </cell>
          <cell r="D170" t="str">
            <v>OJ Drum</v>
          </cell>
          <cell r="E170">
            <v>16</v>
          </cell>
          <cell r="F170">
            <v>10</v>
          </cell>
          <cell r="G170">
            <v>0</v>
          </cell>
          <cell r="H170" t="str">
            <v>DR</v>
          </cell>
          <cell r="I170">
            <v>40</v>
          </cell>
          <cell r="J170">
            <v>0</v>
          </cell>
          <cell r="K170">
            <v>4</v>
          </cell>
          <cell r="L170">
            <v>0</v>
          </cell>
          <cell r="M170">
            <v>4.2809406396473975</v>
          </cell>
          <cell r="N170">
            <v>17.12376255858959</v>
          </cell>
        </row>
        <row r="171">
          <cell r="A171" t="str">
            <v>J7904P</v>
          </cell>
          <cell r="B171" t="str">
            <v>OJ CA/AZ Valencia Plastic Drum [J7904P]</v>
          </cell>
          <cell r="D171" t="str">
            <v>OJ Drum</v>
          </cell>
          <cell r="E171">
            <v>16</v>
          </cell>
          <cell r="F171">
            <v>65</v>
          </cell>
          <cell r="G171">
            <v>0</v>
          </cell>
          <cell r="H171" t="str">
            <v>DR</v>
          </cell>
          <cell r="I171">
            <v>251</v>
          </cell>
          <cell r="J171">
            <v>0</v>
          </cell>
          <cell r="K171">
            <v>3.8615384615384616</v>
          </cell>
          <cell r="L171">
            <v>0</v>
          </cell>
          <cell r="M171">
            <v>4.2809406396473975</v>
          </cell>
          <cell r="N171">
            <v>17.737762012881646</v>
          </cell>
        </row>
        <row r="172">
          <cell r="A172" t="str">
            <v>J7912</v>
          </cell>
          <cell r="B172" t="str">
            <v>OJ CA Valencia Internal Drum in Gallons</v>
          </cell>
          <cell r="D172" t="str">
            <v>OJ Drum</v>
          </cell>
          <cell r="E172">
            <v>16</v>
          </cell>
          <cell r="F172">
            <v>446</v>
          </cell>
          <cell r="G172">
            <v>1140.3587271960216</v>
          </cell>
          <cell r="H172" t="str">
            <v>DR</v>
          </cell>
          <cell r="I172">
            <v>78221</v>
          </cell>
          <cell r="J172">
            <v>200000</v>
          </cell>
          <cell r="K172">
            <v>175.38340807174887</v>
          </cell>
          <cell r="L172">
            <v>18245.739635136346</v>
          </cell>
          <cell r="M172">
            <v>4.2809406396473975</v>
          </cell>
          <cell r="N172">
            <v>0.39054464152240226</v>
          </cell>
        </row>
        <row r="173">
          <cell r="A173" t="str">
            <v>J7907</v>
          </cell>
          <cell r="B173" t="str">
            <v>OJ Mex Valencia Drum [J7907]</v>
          </cell>
          <cell r="D173" t="str">
            <v>OJ Drum</v>
          </cell>
          <cell r="E173">
            <v>16</v>
          </cell>
          <cell r="F173">
            <v>0</v>
          </cell>
          <cell r="G173">
            <v>0</v>
          </cell>
          <cell r="H173" t="str">
            <v>DR</v>
          </cell>
          <cell r="I173">
            <v>0</v>
          </cell>
          <cell r="J173">
            <v>0</v>
          </cell>
          <cell r="K173">
            <v>4</v>
          </cell>
          <cell r="L173">
            <v>0</v>
          </cell>
          <cell r="M173">
            <v>4.2809406396473975</v>
          </cell>
          <cell r="N173">
            <v>17.12376255858959</v>
          </cell>
        </row>
        <row r="174">
          <cell r="A174" t="str">
            <v>J8504</v>
          </cell>
          <cell r="B174" t="str">
            <v>Texas Rio Red Grapefruit Juice [J8504]</v>
          </cell>
          <cell r="D174" t="str">
            <v>Other Juice Drum</v>
          </cell>
          <cell r="E174">
            <v>26</v>
          </cell>
          <cell r="F174">
            <v>51</v>
          </cell>
          <cell r="G174">
            <v>298.64550114583341</v>
          </cell>
          <cell r="H174" t="str">
            <v>GL</v>
          </cell>
          <cell r="I174">
            <v>9792</v>
          </cell>
          <cell r="J174">
            <v>57339.936220000011</v>
          </cell>
          <cell r="K174">
            <v>192</v>
          </cell>
          <cell r="L174">
            <v>7764.7830297916689</v>
          </cell>
          <cell r="M174">
            <v>4.2809406396473975</v>
          </cell>
          <cell r="N174">
            <v>0.57971071161891841</v>
          </cell>
        </row>
        <row r="175">
          <cell r="A175" t="str">
            <v>J8505</v>
          </cell>
          <cell r="B175" t="str">
            <v>Grapefruit Juice Internal Drum</v>
          </cell>
          <cell r="D175" t="str">
            <v>Other Juice Drum</v>
          </cell>
          <cell r="E175">
            <v>26</v>
          </cell>
          <cell r="F175">
            <v>40</v>
          </cell>
          <cell r="G175">
            <v>0</v>
          </cell>
          <cell r="H175" t="str">
            <v>GL</v>
          </cell>
          <cell r="I175">
            <v>6637</v>
          </cell>
          <cell r="J175">
            <v>0</v>
          </cell>
          <cell r="K175">
            <v>165.92500000000001</v>
          </cell>
          <cell r="L175">
            <v>0</v>
          </cell>
          <cell r="M175">
            <v>4.2809406396473975</v>
          </cell>
          <cell r="N175">
            <v>0.67081185252874687</v>
          </cell>
        </row>
        <row r="176">
          <cell r="A176" t="str">
            <v>J9000</v>
          </cell>
          <cell r="B176" t="str">
            <v>LA RTB [J9000]</v>
          </cell>
          <cell r="D176" t="str">
            <v>Other Juice Drum</v>
          </cell>
          <cell r="E176">
            <v>26</v>
          </cell>
          <cell r="F176">
            <v>5</v>
          </cell>
          <cell r="G176">
            <v>0</v>
          </cell>
          <cell r="H176" t="str">
            <v>GL</v>
          </cell>
          <cell r="I176">
            <v>825</v>
          </cell>
          <cell r="J176">
            <v>0</v>
          </cell>
          <cell r="K176">
            <v>165</v>
          </cell>
          <cell r="L176">
            <v>0</v>
          </cell>
          <cell r="M176">
            <v>4.2809406396473975</v>
          </cell>
          <cell r="N176">
            <v>0.67457246442928687</v>
          </cell>
        </row>
        <row r="177">
          <cell r="A177" t="str">
            <v>J9405</v>
          </cell>
          <cell r="B177" t="str">
            <v>LA Fatburger 4+1 RTB [J9405]</v>
          </cell>
          <cell r="D177" t="str">
            <v>Other Juice Drum</v>
          </cell>
          <cell r="E177">
            <v>26</v>
          </cell>
          <cell r="F177">
            <v>0</v>
          </cell>
          <cell r="G177">
            <v>0</v>
          </cell>
          <cell r="H177" t="str">
            <v>GL</v>
          </cell>
          <cell r="I177">
            <v>0</v>
          </cell>
          <cell r="J177">
            <v>0</v>
          </cell>
          <cell r="K177">
            <v>180</v>
          </cell>
          <cell r="L177">
            <v>0</v>
          </cell>
          <cell r="M177">
            <v>4.2809406396473975</v>
          </cell>
          <cell r="N177">
            <v>0.61835809239351291</v>
          </cell>
        </row>
        <row r="178">
          <cell r="A178" t="str">
            <v>L0103LV2</v>
          </cell>
          <cell r="B178" t="str">
            <v>Lemon Juice Gln Version 2 [L0103LV2]</v>
          </cell>
          <cell r="D178" t="str">
            <v>Label</v>
          </cell>
          <cell r="E178">
            <v>6</v>
          </cell>
          <cell r="F178">
            <v>5</v>
          </cell>
          <cell r="G178">
            <v>4.2080699998891351</v>
          </cell>
          <cell r="H178" t="str">
            <v>EA</v>
          </cell>
          <cell r="I178">
            <v>50000</v>
          </cell>
          <cell r="J178">
            <v>420806.99998891354</v>
          </cell>
          <cell r="K178">
            <v>100000</v>
          </cell>
          <cell r="L178">
            <v>25.248419999334811</v>
          </cell>
          <cell r="M178">
            <v>4.2809406396473975</v>
          </cell>
          <cell r="N178">
            <v>2.5685643837884383E-4</v>
          </cell>
        </row>
        <row r="179">
          <cell r="A179" t="str">
            <v>L0104L</v>
          </cell>
          <cell r="B179" t="str">
            <v>Lime Juice Gln [L0104L]</v>
          </cell>
          <cell r="D179" t="str">
            <v>Label</v>
          </cell>
          <cell r="E179">
            <v>6</v>
          </cell>
          <cell r="F179">
            <v>7</v>
          </cell>
          <cell r="G179">
            <v>3.5310323999409809</v>
          </cell>
          <cell r="H179" t="str">
            <v>EA</v>
          </cell>
          <cell r="I179">
            <v>60000</v>
          </cell>
          <cell r="J179">
            <v>353103.23999409808</v>
          </cell>
          <cell r="K179">
            <v>100000</v>
          </cell>
          <cell r="L179">
            <v>21.186194399645885</v>
          </cell>
          <cell r="M179">
            <v>4.2809406396473975</v>
          </cell>
          <cell r="N179">
            <v>2.5685643837884383E-4</v>
          </cell>
        </row>
        <row r="180">
          <cell r="A180" t="str">
            <v>L01132F</v>
          </cell>
          <cell r="B180" t="str">
            <v>SOI 3+1 Sweet LA Mix HGln [L01132F]</v>
          </cell>
          <cell r="D180" t="str">
            <v>Label</v>
          </cell>
          <cell r="E180">
            <v>6</v>
          </cell>
          <cell r="F180">
            <v>2</v>
          </cell>
          <cell r="G180">
            <v>0.78429599997586019</v>
          </cell>
          <cell r="H180" t="str">
            <v>EA</v>
          </cell>
          <cell r="I180">
            <v>30000</v>
          </cell>
          <cell r="J180">
            <v>78429.599997586018</v>
          </cell>
          <cell r="K180">
            <v>100000</v>
          </cell>
          <cell r="L180">
            <v>4.7057759998551614</v>
          </cell>
          <cell r="M180">
            <v>4.2809406396473975</v>
          </cell>
          <cell r="N180">
            <v>2.5685643837884383E-4</v>
          </cell>
        </row>
        <row r="181">
          <cell r="A181" t="str">
            <v>L01307F</v>
          </cell>
          <cell r="B181" t="str">
            <v>NP Orange Juice 61.5oz FZN v1 [L01307F]</v>
          </cell>
          <cell r="D181" t="str">
            <v>Label</v>
          </cell>
          <cell r="E181">
            <v>6</v>
          </cell>
          <cell r="F181">
            <v>1</v>
          </cell>
          <cell r="G181">
            <v>0.12564360000000002</v>
          </cell>
          <cell r="H181" t="str">
            <v>EA</v>
          </cell>
          <cell r="I181">
            <v>10000</v>
          </cell>
          <cell r="J181">
            <v>12564.360000000002</v>
          </cell>
          <cell r="K181">
            <v>100000</v>
          </cell>
          <cell r="L181">
            <v>0.75386160000000013</v>
          </cell>
          <cell r="M181">
            <v>4.2809406396473975</v>
          </cell>
          <cell r="N181">
            <v>2.5685643837884383E-4</v>
          </cell>
        </row>
        <row r="182">
          <cell r="A182" t="str">
            <v>L01860</v>
          </cell>
          <cell r="B182" t="str">
            <v>SOI Pineapple Juice 30.5oz [L01860]</v>
          </cell>
          <cell r="D182" t="str">
            <v>Label</v>
          </cell>
          <cell r="E182">
            <v>6</v>
          </cell>
          <cell r="F182">
            <v>0</v>
          </cell>
          <cell r="G182">
            <v>0</v>
          </cell>
          <cell r="H182" t="str">
            <v>EA</v>
          </cell>
          <cell r="I182">
            <v>0</v>
          </cell>
          <cell r="J182">
            <v>0</v>
          </cell>
          <cell r="K182">
            <v>100000</v>
          </cell>
          <cell r="L182">
            <v>0</v>
          </cell>
          <cell r="M182">
            <v>4.2809406396473975</v>
          </cell>
          <cell r="N182">
            <v>2.5685643837884383E-4</v>
          </cell>
        </row>
        <row r="183">
          <cell r="A183" t="str">
            <v>L03043</v>
          </cell>
          <cell r="B183" t="str">
            <v>Lime Juice Qt [L03043]</v>
          </cell>
          <cell r="D183" t="str">
            <v>Label</v>
          </cell>
          <cell r="E183">
            <v>6</v>
          </cell>
          <cell r="F183">
            <v>8</v>
          </cell>
          <cell r="G183">
            <v>5.2933715999999995</v>
          </cell>
          <cell r="H183" t="str">
            <v>EA</v>
          </cell>
          <cell r="I183">
            <v>75000</v>
          </cell>
          <cell r="J183">
            <v>529337.15999999992</v>
          </cell>
          <cell r="K183">
            <v>100000</v>
          </cell>
          <cell r="L183">
            <v>31.760229599999995</v>
          </cell>
          <cell r="M183">
            <v>4.2809406396473975</v>
          </cell>
          <cell r="N183">
            <v>2.5685643837884383E-4</v>
          </cell>
        </row>
        <row r="184">
          <cell r="A184" t="str">
            <v>L038503</v>
          </cell>
          <cell r="B184" t="str">
            <v>Pineapple Juice 32oz [L038503]</v>
          </cell>
          <cell r="D184" t="str">
            <v>Label</v>
          </cell>
          <cell r="E184">
            <v>6</v>
          </cell>
          <cell r="F184">
            <v>0</v>
          </cell>
          <cell r="G184">
            <v>0</v>
          </cell>
          <cell r="H184" t="str">
            <v>EA</v>
          </cell>
          <cell r="I184">
            <v>0</v>
          </cell>
          <cell r="J184">
            <v>0</v>
          </cell>
          <cell r="K184">
            <v>100000</v>
          </cell>
          <cell r="L184">
            <v>0</v>
          </cell>
          <cell r="M184">
            <v>4.2809406396473975</v>
          </cell>
          <cell r="N184">
            <v>2.5685643837884383E-4</v>
          </cell>
        </row>
        <row r="185">
          <cell r="A185" t="str">
            <v>L06041</v>
          </cell>
          <cell r="B185" t="str">
            <v>Lime Juice Gln [L06041]</v>
          </cell>
          <cell r="D185" t="str">
            <v>Label</v>
          </cell>
          <cell r="E185">
            <v>6</v>
          </cell>
          <cell r="F185">
            <v>3</v>
          </cell>
          <cell r="G185">
            <v>2.1826775999999999</v>
          </cell>
          <cell r="H185" t="str">
            <v>EA</v>
          </cell>
          <cell r="I185">
            <v>25000</v>
          </cell>
          <cell r="J185">
            <v>218267.75999999998</v>
          </cell>
          <cell r="K185">
            <v>100000</v>
          </cell>
          <cell r="L185">
            <v>13.096065599999999</v>
          </cell>
          <cell r="M185">
            <v>4.2809406396473975</v>
          </cell>
          <cell r="N185">
            <v>2.5685643837884383E-4</v>
          </cell>
        </row>
        <row r="186">
          <cell r="A186" t="str">
            <v>L06042</v>
          </cell>
          <cell r="B186" t="str">
            <v>Lime Juice HGln [L06042]</v>
          </cell>
          <cell r="D186" t="str">
            <v>Label</v>
          </cell>
          <cell r="E186">
            <v>6</v>
          </cell>
          <cell r="F186">
            <v>4</v>
          </cell>
          <cell r="G186">
            <v>2.8469016000000003</v>
          </cell>
          <cell r="H186" t="str">
            <v>EA</v>
          </cell>
          <cell r="I186">
            <v>35000</v>
          </cell>
          <cell r="J186">
            <v>284690.16000000003</v>
          </cell>
          <cell r="K186">
            <v>100000</v>
          </cell>
          <cell r="L186">
            <v>17.081409600000001</v>
          </cell>
          <cell r="M186">
            <v>4.2809406396473975</v>
          </cell>
          <cell r="N186">
            <v>2.5685643837884383E-4</v>
          </cell>
        </row>
        <row r="187">
          <cell r="A187" t="str">
            <v>L1461</v>
          </cell>
          <cell r="B187" t="str">
            <v>70/30 Lime Lemon Juice Gln v.1 [L1461]</v>
          </cell>
          <cell r="D187" t="str">
            <v>Label</v>
          </cell>
          <cell r="E187">
            <v>6</v>
          </cell>
          <cell r="F187">
            <v>16</v>
          </cell>
          <cell r="G187">
            <v>8.3288303999999975</v>
          </cell>
          <cell r="H187" t="str">
            <v>EA</v>
          </cell>
          <cell r="I187">
            <v>190000</v>
          </cell>
          <cell r="J187">
            <v>832883.0399999998</v>
          </cell>
          <cell r="K187">
            <v>100000</v>
          </cell>
          <cell r="L187">
            <v>49.972982399999985</v>
          </cell>
          <cell r="M187">
            <v>4.2809406396473975</v>
          </cell>
          <cell r="N187">
            <v>2.5685643837884383E-4</v>
          </cell>
        </row>
        <row r="188">
          <cell r="A188" t="str">
            <v>L620114N</v>
          </cell>
          <cell r="B188" t="str">
            <v>Back Label Panera Orange Juice 11.5oz RTS [L620114N]</v>
          </cell>
          <cell r="D188" t="str">
            <v>Label</v>
          </cell>
          <cell r="E188">
            <v>6</v>
          </cell>
          <cell r="F188">
            <v>8</v>
          </cell>
          <cell r="G188">
            <v>5.7946608000000008</v>
          </cell>
          <cell r="H188" t="str">
            <v>EA</v>
          </cell>
          <cell r="I188">
            <v>115000</v>
          </cell>
          <cell r="J188">
            <v>579466.08000000007</v>
          </cell>
          <cell r="K188">
            <v>100000</v>
          </cell>
          <cell r="L188">
            <v>34.767964800000001</v>
          </cell>
          <cell r="M188">
            <v>4.2809406396473975</v>
          </cell>
          <cell r="N188">
            <v>2.5685643837884383E-4</v>
          </cell>
        </row>
        <row r="189">
          <cell r="A189" t="str">
            <v>L62012NV3</v>
          </cell>
          <cell r="B189" t="str">
            <v>Panera Orange Juice 64oz NUT RTS v3 [L62012NV3]</v>
          </cell>
          <cell r="D189" t="str">
            <v>Label</v>
          </cell>
          <cell r="E189">
            <v>6</v>
          </cell>
          <cell r="F189">
            <v>1</v>
          </cell>
          <cell r="G189">
            <v>0.53837639999999987</v>
          </cell>
          <cell r="H189" t="str">
            <v>EA</v>
          </cell>
          <cell r="I189">
            <v>5000</v>
          </cell>
          <cell r="J189">
            <v>53837.639999999992</v>
          </cell>
          <cell r="K189">
            <v>100000</v>
          </cell>
          <cell r="L189">
            <v>3.2302583999999994</v>
          </cell>
          <cell r="M189">
            <v>4.2809406396473975</v>
          </cell>
          <cell r="N189">
            <v>2.5685643837884383E-4</v>
          </cell>
        </row>
        <row r="190">
          <cell r="A190" t="str">
            <v>L69012AV2</v>
          </cell>
          <cell r="B190" t="str">
            <v>AZ Valencia Orange Juice 65oz V2 [L69012AV2]</v>
          </cell>
          <cell r="D190" t="str">
            <v>Label</v>
          </cell>
          <cell r="E190">
            <v>6</v>
          </cell>
          <cell r="F190">
            <v>5</v>
          </cell>
          <cell r="G190">
            <v>3.9481343999999998</v>
          </cell>
          <cell r="H190" t="str">
            <v>EA</v>
          </cell>
          <cell r="I190">
            <v>50000</v>
          </cell>
          <cell r="J190">
            <v>394813.44</v>
          </cell>
          <cell r="K190">
            <v>100000</v>
          </cell>
          <cell r="L190">
            <v>23.688806399999997</v>
          </cell>
          <cell r="M190">
            <v>4.2809406396473975</v>
          </cell>
          <cell r="N190">
            <v>2.5685643837884383E-4</v>
          </cell>
        </row>
        <row r="191">
          <cell r="A191" t="str">
            <v>L691042V2</v>
          </cell>
          <cell r="B191" t="str">
            <v>Bloody Mary Mix 64oz V2 [L691042V2]</v>
          </cell>
          <cell r="D191" t="str">
            <v>Label</v>
          </cell>
          <cell r="E191">
            <v>6</v>
          </cell>
          <cell r="F191">
            <v>1</v>
          </cell>
          <cell r="G191">
            <v>0.46034639999999999</v>
          </cell>
          <cell r="H191" t="str">
            <v>EA</v>
          </cell>
          <cell r="I191">
            <v>10000</v>
          </cell>
          <cell r="J191">
            <v>46034.64</v>
          </cell>
          <cell r="K191">
            <v>100000</v>
          </cell>
          <cell r="L191">
            <v>2.7620784</v>
          </cell>
          <cell r="M191">
            <v>4.2809406396473975</v>
          </cell>
          <cell r="N191">
            <v>2.5685643837884383E-4</v>
          </cell>
        </row>
        <row r="192">
          <cell r="A192" t="str">
            <v>L69563V2</v>
          </cell>
          <cell r="B192" t="str">
            <v>Key Lime Juice 32oz V2 [L69563V2]</v>
          </cell>
          <cell r="D192" t="str">
            <v>Label</v>
          </cell>
          <cell r="E192">
            <v>6</v>
          </cell>
          <cell r="F192">
            <v>5</v>
          </cell>
          <cell r="G192">
            <v>1.0976832000000001</v>
          </cell>
          <cell r="H192" t="str">
            <v>EA</v>
          </cell>
          <cell r="I192">
            <v>40000</v>
          </cell>
          <cell r="J192">
            <v>109768.32000000001</v>
          </cell>
          <cell r="K192">
            <v>100000</v>
          </cell>
          <cell r="L192">
            <v>6.5860992000000005</v>
          </cell>
          <cell r="M192">
            <v>4.2809406396473975</v>
          </cell>
          <cell r="N192">
            <v>2.5685643837884383E-4</v>
          </cell>
        </row>
        <row r="193">
          <cell r="A193" t="str">
            <v>L0103LFV2</v>
          </cell>
          <cell r="B193" t="str">
            <v>Lemon Juice Gln FZN Version 2</v>
          </cell>
          <cell r="D193" t="str">
            <v>Label</v>
          </cell>
          <cell r="E193">
            <v>6</v>
          </cell>
          <cell r="F193">
            <v>0</v>
          </cell>
          <cell r="G193">
            <v>0.1120572</v>
          </cell>
          <cell r="H193" t="str">
            <v>EA</v>
          </cell>
          <cell r="I193">
            <v>0</v>
          </cell>
          <cell r="J193">
            <v>11205.72</v>
          </cell>
          <cell r="K193">
            <v>100000</v>
          </cell>
          <cell r="L193">
            <v>0.67234320000000003</v>
          </cell>
          <cell r="M193">
            <v>4.2809406396473975</v>
          </cell>
          <cell r="N193">
            <v>2.5685643837884383E-4</v>
          </cell>
        </row>
        <row r="194">
          <cell r="A194" t="str">
            <v>L0103SF</v>
          </cell>
          <cell r="B194" t="str">
            <v>Lemon Juice Qt FZN</v>
          </cell>
          <cell r="D194" t="str">
            <v>Label</v>
          </cell>
          <cell r="E194">
            <v>6</v>
          </cell>
          <cell r="F194">
            <v>0</v>
          </cell>
          <cell r="G194">
            <v>0.21615840000000008</v>
          </cell>
          <cell r="H194" t="str">
            <v>EA</v>
          </cell>
          <cell r="I194">
            <v>0</v>
          </cell>
          <cell r="J194">
            <v>21615.840000000007</v>
          </cell>
          <cell r="K194">
            <v>100000</v>
          </cell>
          <cell r="L194">
            <v>1.2969504000000005</v>
          </cell>
          <cell r="M194">
            <v>4.2809406396473975</v>
          </cell>
          <cell r="N194">
            <v>2.5685643837884383E-4</v>
          </cell>
        </row>
        <row r="195">
          <cell r="A195" t="str">
            <v>L0103SNV2</v>
          </cell>
          <cell r="B195" t="str">
            <v>Lemon Juice Qt Nutrition v.2</v>
          </cell>
          <cell r="D195" t="str">
            <v>Label</v>
          </cell>
          <cell r="E195">
            <v>6</v>
          </cell>
          <cell r="F195">
            <v>2</v>
          </cell>
          <cell r="G195">
            <v>1.7727192000000005</v>
          </cell>
          <cell r="H195" t="str">
            <v>EA</v>
          </cell>
          <cell r="I195">
            <v>20000</v>
          </cell>
          <cell r="J195">
            <v>177271.92000000004</v>
          </cell>
          <cell r="K195">
            <v>100000</v>
          </cell>
          <cell r="L195">
            <v>10.636315200000002</v>
          </cell>
          <cell r="M195">
            <v>4.2809406396473975</v>
          </cell>
          <cell r="N195">
            <v>2.5685643837884383E-4</v>
          </cell>
        </row>
        <row r="196">
          <cell r="A196" t="str">
            <v>L0103SV2</v>
          </cell>
          <cell r="B196" t="str">
            <v>Lemon Juice Qt v.2.</v>
          </cell>
          <cell r="D196" t="str">
            <v>Label</v>
          </cell>
          <cell r="E196">
            <v>6</v>
          </cell>
          <cell r="F196">
            <v>2</v>
          </cell>
          <cell r="G196">
            <v>1.7727192000000005</v>
          </cell>
          <cell r="H196" t="str">
            <v>EA</v>
          </cell>
          <cell r="I196">
            <v>15000</v>
          </cell>
          <cell r="J196">
            <v>177271.92000000004</v>
          </cell>
          <cell r="K196">
            <v>100000</v>
          </cell>
          <cell r="L196">
            <v>10.636315200000002</v>
          </cell>
          <cell r="M196">
            <v>4.2809406396473975</v>
          </cell>
          <cell r="N196">
            <v>2.5685643837884383E-4</v>
          </cell>
        </row>
        <row r="197">
          <cell r="A197" t="str">
            <v>L0104S</v>
          </cell>
          <cell r="B197" t="str">
            <v>Lime Juice Qt</v>
          </cell>
          <cell r="D197" t="str">
            <v>Label</v>
          </cell>
          <cell r="E197">
            <v>6</v>
          </cell>
          <cell r="F197">
            <v>7</v>
          </cell>
          <cell r="G197">
            <v>3.8674116000000009</v>
          </cell>
          <cell r="H197" t="str">
            <v>EA</v>
          </cell>
          <cell r="I197">
            <v>55000</v>
          </cell>
          <cell r="J197">
            <v>386741.16000000009</v>
          </cell>
          <cell r="K197">
            <v>100000</v>
          </cell>
          <cell r="L197">
            <v>23.204469600000007</v>
          </cell>
          <cell r="M197">
            <v>4.2809406396473975</v>
          </cell>
          <cell r="N197">
            <v>2.5685643837884383E-4</v>
          </cell>
        </row>
        <row r="198">
          <cell r="A198" t="str">
            <v>L0104SF</v>
          </cell>
          <cell r="B198" t="str">
            <v>Lime Juice Qt FZN</v>
          </cell>
          <cell r="D198" t="str">
            <v>Label</v>
          </cell>
          <cell r="E198">
            <v>6</v>
          </cell>
          <cell r="F198">
            <v>0</v>
          </cell>
          <cell r="G198">
            <v>1.0018380008068084</v>
          </cell>
          <cell r="H198" t="str">
            <v>EA</v>
          </cell>
          <cell r="I198">
            <v>0</v>
          </cell>
          <cell r="J198">
            <v>100183.80008068084</v>
          </cell>
          <cell r="K198">
            <v>100000</v>
          </cell>
          <cell r="L198">
            <v>6.0110280048408509</v>
          </cell>
          <cell r="M198">
            <v>4.2809406396473975</v>
          </cell>
          <cell r="N198">
            <v>2.5685643837884383E-4</v>
          </cell>
        </row>
        <row r="199">
          <cell r="A199" t="str">
            <v>L0104SN</v>
          </cell>
          <cell r="B199" t="str">
            <v>Lime Juice Qt Nutrition</v>
          </cell>
          <cell r="D199" t="str">
            <v>Label</v>
          </cell>
          <cell r="E199">
            <v>6</v>
          </cell>
          <cell r="F199">
            <v>4</v>
          </cell>
          <cell r="G199">
            <v>3.8674116000000009</v>
          </cell>
          <cell r="H199" t="str">
            <v>EA</v>
          </cell>
          <cell r="I199">
            <v>50000</v>
          </cell>
          <cell r="J199">
            <v>386741.16000000009</v>
          </cell>
          <cell r="K199">
            <v>100000</v>
          </cell>
          <cell r="L199">
            <v>23.204469600000007</v>
          </cell>
          <cell r="M199">
            <v>4.2809406396473975</v>
          </cell>
          <cell r="N199">
            <v>2.5685643837884383E-4</v>
          </cell>
        </row>
        <row r="200">
          <cell r="A200" t="str">
            <v>L0105L</v>
          </cell>
          <cell r="B200" t="str">
            <v>Marg Mix Gln</v>
          </cell>
          <cell r="D200" t="str">
            <v>Label</v>
          </cell>
          <cell r="E200">
            <v>6</v>
          </cell>
          <cell r="F200">
            <v>1</v>
          </cell>
          <cell r="G200">
            <v>0.72963119995708403</v>
          </cell>
          <cell r="H200" t="str">
            <v>EA</v>
          </cell>
          <cell r="I200">
            <v>5000</v>
          </cell>
          <cell r="J200">
            <v>72963.119995708403</v>
          </cell>
          <cell r="K200">
            <v>100000</v>
          </cell>
          <cell r="L200">
            <v>4.377787199742504</v>
          </cell>
          <cell r="M200">
            <v>4.2809406396473975</v>
          </cell>
          <cell r="N200">
            <v>2.5685643837884383E-4</v>
          </cell>
        </row>
        <row r="201">
          <cell r="A201" t="str">
            <v>L01062FV2</v>
          </cell>
          <cell r="B201" t="str">
            <v>SOI Margarita Mix 3+1 HGln V2</v>
          </cell>
          <cell r="D201" t="str">
            <v>Label</v>
          </cell>
          <cell r="E201">
            <v>6</v>
          </cell>
          <cell r="F201">
            <v>0</v>
          </cell>
          <cell r="G201">
            <v>9.7399799999999939E-2</v>
          </cell>
          <cell r="H201" t="str">
            <v>EA</v>
          </cell>
          <cell r="I201">
            <v>0</v>
          </cell>
          <cell r="J201">
            <v>9739.9799999999941</v>
          </cell>
          <cell r="K201">
            <v>100000</v>
          </cell>
          <cell r="L201">
            <v>0.58439879999999966</v>
          </cell>
          <cell r="M201">
            <v>4.2809406396473975</v>
          </cell>
          <cell r="N201">
            <v>2.5685643837884383E-4</v>
          </cell>
        </row>
        <row r="202">
          <cell r="A202" t="str">
            <v>L0106LV2</v>
          </cell>
          <cell r="B202" t="str">
            <v>Marg Mix Cond Gln V2</v>
          </cell>
          <cell r="D202" t="str">
            <v>Label</v>
          </cell>
          <cell r="E202">
            <v>6</v>
          </cell>
          <cell r="F202">
            <v>1</v>
          </cell>
          <cell r="G202">
            <v>0.59478299990344063</v>
          </cell>
          <cell r="H202" t="str">
            <v>EA</v>
          </cell>
          <cell r="I202">
            <v>1</v>
          </cell>
          <cell r="J202">
            <v>59478.299990344065</v>
          </cell>
          <cell r="K202">
            <v>100000</v>
          </cell>
          <cell r="L202">
            <v>3.5686979994206438</v>
          </cell>
          <cell r="M202">
            <v>4.2809406396473975</v>
          </cell>
          <cell r="N202">
            <v>2.5685643837884383E-4</v>
          </cell>
        </row>
        <row r="203">
          <cell r="A203" t="str">
            <v>L0110LN</v>
          </cell>
          <cell r="B203" t="str">
            <v>(AZ)SOI LA Lg Nutrition</v>
          </cell>
          <cell r="D203" t="str">
            <v>Label</v>
          </cell>
          <cell r="E203">
            <v>6</v>
          </cell>
          <cell r="F203">
            <v>5</v>
          </cell>
          <cell r="G203">
            <v>0.73716479996423723</v>
          </cell>
          <cell r="H203" t="str">
            <v>EA</v>
          </cell>
          <cell r="I203">
            <v>50000</v>
          </cell>
          <cell r="J203">
            <v>73716.479996423717</v>
          </cell>
          <cell r="K203">
            <v>100000</v>
          </cell>
          <cell r="L203">
            <v>4.4229887997854238</v>
          </cell>
          <cell r="M203">
            <v>4.2809406396473975</v>
          </cell>
          <cell r="N203">
            <v>2.5685643837884383E-4</v>
          </cell>
        </row>
        <row r="204">
          <cell r="A204" t="str">
            <v>L0110LV2</v>
          </cell>
          <cell r="B204" t="str">
            <v>(AZ)SOI LA Lg v.2.</v>
          </cell>
          <cell r="D204" t="str">
            <v>Label</v>
          </cell>
          <cell r="E204">
            <v>6</v>
          </cell>
          <cell r="F204">
            <v>5</v>
          </cell>
          <cell r="G204">
            <v>0.73716479996423723</v>
          </cell>
          <cell r="H204" t="str">
            <v>EA</v>
          </cell>
          <cell r="I204">
            <v>50000</v>
          </cell>
          <cell r="J204">
            <v>73716.479996423717</v>
          </cell>
          <cell r="K204">
            <v>100000</v>
          </cell>
          <cell r="L204">
            <v>4.4229887997854238</v>
          </cell>
          <cell r="M204">
            <v>4.2809406396473975</v>
          </cell>
          <cell r="N204">
            <v>2.5685643837884383E-4</v>
          </cell>
        </row>
        <row r="205">
          <cell r="A205" t="str">
            <v>L011183</v>
          </cell>
          <cell r="B205" t="str">
            <v>Creative Bev Sweet Lemon Juice Hgln Fzn</v>
          </cell>
          <cell r="D205" t="str">
            <v>Label</v>
          </cell>
          <cell r="E205">
            <v>6</v>
          </cell>
          <cell r="F205">
            <v>1</v>
          </cell>
          <cell r="G205">
            <v>0.16432199999999997</v>
          </cell>
          <cell r="H205" t="str">
            <v>EA</v>
          </cell>
          <cell r="I205">
            <v>15000</v>
          </cell>
          <cell r="J205">
            <v>16432.199999999997</v>
          </cell>
          <cell r="K205">
            <v>100000</v>
          </cell>
          <cell r="L205">
            <v>0.98593199999999981</v>
          </cell>
          <cell r="M205">
            <v>4.2809406396473975</v>
          </cell>
          <cell r="N205">
            <v>2.5685643837884383E-4</v>
          </cell>
        </row>
        <row r="206">
          <cell r="A206" t="str">
            <v>L0111LV2</v>
          </cell>
          <cell r="B206" t="str">
            <v>LA 4+1 Gln v2</v>
          </cell>
          <cell r="D206" t="str">
            <v>Label</v>
          </cell>
          <cell r="E206">
            <v>6</v>
          </cell>
          <cell r="F206">
            <v>1</v>
          </cell>
          <cell r="G206">
            <v>0.8469671999999997</v>
          </cell>
          <cell r="H206" t="str">
            <v>EA</v>
          </cell>
          <cell r="I206">
            <v>10000</v>
          </cell>
          <cell r="J206">
            <v>84696.719999999972</v>
          </cell>
          <cell r="K206">
            <v>100000</v>
          </cell>
          <cell r="L206">
            <v>5.0818031999999977</v>
          </cell>
          <cell r="M206">
            <v>4.2809406396473975</v>
          </cell>
          <cell r="N206">
            <v>2.5685643837884383E-4</v>
          </cell>
        </row>
        <row r="207">
          <cell r="A207" t="str">
            <v>L01141</v>
          </cell>
          <cell r="B207" t="str">
            <v>SOI LA 2+1</v>
          </cell>
          <cell r="D207" t="str">
            <v>Label</v>
          </cell>
          <cell r="E207">
            <v>6</v>
          </cell>
          <cell r="F207">
            <v>1</v>
          </cell>
          <cell r="G207">
            <v>0.26272799997138974</v>
          </cell>
          <cell r="H207" t="str">
            <v>EA</v>
          </cell>
          <cell r="I207">
            <v>10000</v>
          </cell>
          <cell r="J207">
            <v>26272.799997138976</v>
          </cell>
          <cell r="K207">
            <v>100000</v>
          </cell>
          <cell r="L207">
            <v>1.5763679998283384</v>
          </cell>
          <cell r="M207">
            <v>4.2809406396473975</v>
          </cell>
          <cell r="N207">
            <v>2.5685643837884383E-4</v>
          </cell>
        </row>
        <row r="208">
          <cell r="A208" t="str">
            <v>L011492</v>
          </cell>
          <cell r="B208" t="str">
            <v>50/50 Lemon Lime Juice HGln v.1</v>
          </cell>
          <cell r="D208" t="str">
            <v>Label</v>
          </cell>
          <cell r="E208">
            <v>6</v>
          </cell>
          <cell r="F208">
            <v>1</v>
          </cell>
          <cell r="G208">
            <v>0.10018439999999999</v>
          </cell>
          <cell r="H208" t="str">
            <v>EA</v>
          </cell>
          <cell r="I208">
            <v>10000</v>
          </cell>
          <cell r="J208">
            <v>10018.439999999999</v>
          </cell>
          <cell r="K208">
            <v>100000</v>
          </cell>
          <cell r="L208">
            <v>0.60110639999999993</v>
          </cell>
          <cell r="M208">
            <v>4.2809406396473975</v>
          </cell>
          <cell r="N208">
            <v>2.5685643837884383E-4</v>
          </cell>
        </row>
        <row r="209">
          <cell r="A209" t="str">
            <v>L01282F</v>
          </cell>
          <cell r="B209" t="str">
            <v>3+1 Sweet Strw LA FZN 61.5 oz v1</v>
          </cell>
          <cell r="D209" t="str">
            <v>Label</v>
          </cell>
          <cell r="E209">
            <v>6</v>
          </cell>
          <cell r="F209">
            <v>1</v>
          </cell>
          <cell r="G209">
            <v>0.1651482</v>
          </cell>
          <cell r="H209" t="str">
            <v>EA</v>
          </cell>
          <cell r="I209">
            <v>15000</v>
          </cell>
          <cell r="J209">
            <v>16514.82</v>
          </cell>
          <cell r="K209">
            <v>100000</v>
          </cell>
          <cell r="L209">
            <v>0.99088920000000003</v>
          </cell>
          <cell r="M209">
            <v>4.2809406396473975</v>
          </cell>
          <cell r="N209">
            <v>2.5685643837884383E-4</v>
          </cell>
        </row>
        <row r="210">
          <cell r="A210" t="str">
            <v>L0128L</v>
          </cell>
          <cell r="B210" t="str">
            <v>LA Strw 3+1 Gln</v>
          </cell>
          <cell r="D210" t="str">
            <v>Label</v>
          </cell>
          <cell r="E210">
            <v>6</v>
          </cell>
          <cell r="F210">
            <v>1</v>
          </cell>
          <cell r="G210">
            <v>0.26422080000000014</v>
          </cell>
          <cell r="H210" t="str">
            <v>EA</v>
          </cell>
          <cell r="I210">
            <v>10000</v>
          </cell>
          <cell r="J210">
            <v>26422.080000000013</v>
          </cell>
          <cell r="K210">
            <v>100000</v>
          </cell>
          <cell r="L210">
            <v>1.5853248000000009</v>
          </cell>
          <cell r="M210">
            <v>4.2809406396473975</v>
          </cell>
          <cell r="N210">
            <v>2.5685643837884383E-4</v>
          </cell>
        </row>
        <row r="211">
          <cell r="A211" t="str">
            <v>L01301</v>
          </cell>
          <cell r="B211" t="str">
            <v>Orange Juice NP Gln</v>
          </cell>
          <cell r="D211" t="str">
            <v>Label</v>
          </cell>
          <cell r="E211">
            <v>6</v>
          </cell>
          <cell r="F211">
            <v>3</v>
          </cell>
          <cell r="G211">
            <v>0.3436055999248982</v>
          </cell>
          <cell r="H211" t="str">
            <v>EA</v>
          </cell>
          <cell r="I211">
            <v>20000</v>
          </cell>
          <cell r="J211">
            <v>34360.55999248982</v>
          </cell>
          <cell r="K211">
            <v>100000</v>
          </cell>
          <cell r="L211">
            <v>2.0616335995493893</v>
          </cell>
          <cell r="M211">
            <v>4.2809406396473975</v>
          </cell>
          <cell r="N211">
            <v>2.5685643837884383E-4</v>
          </cell>
        </row>
        <row r="212">
          <cell r="A212" t="str">
            <v>L01303N</v>
          </cell>
          <cell r="B212" t="str">
            <v>Orange Juice Qt Nutrition</v>
          </cell>
          <cell r="D212" t="str">
            <v>Label</v>
          </cell>
          <cell r="E212">
            <v>6</v>
          </cell>
          <cell r="F212">
            <v>1</v>
          </cell>
          <cell r="G212">
            <v>0.24822720000000001</v>
          </cell>
          <cell r="H212" t="str">
            <v>EA</v>
          </cell>
          <cell r="I212">
            <v>5000</v>
          </cell>
          <cell r="J212">
            <v>24822.720000000001</v>
          </cell>
          <cell r="K212">
            <v>100000</v>
          </cell>
          <cell r="L212">
            <v>1.4893632000000001</v>
          </cell>
          <cell r="M212">
            <v>4.2809406396473975</v>
          </cell>
          <cell r="N212">
            <v>2.5685643837884383E-4</v>
          </cell>
        </row>
        <row r="213">
          <cell r="A213" t="str">
            <v>L01303V2</v>
          </cell>
          <cell r="B213" t="str">
            <v>Orange Juice Qt V2</v>
          </cell>
          <cell r="D213" t="str">
            <v>Label</v>
          </cell>
          <cell r="E213">
            <v>6</v>
          </cell>
          <cell r="F213">
            <v>1</v>
          </cell>
          <cell r="G213">
            <v>0.24822720000000001</v>
          </cell>
          <cell r="H213" t="str">
            <v>EA</v>
          </cell>
          <cell r="I213">
            <v>5000</v>
          </cell>
          <cell r="J213">
            <v>24822.720000000001</v>
          </cell>
          <cell r="K213">
            <v>100000</v>
          </cell>
          <cell r="L213">
            <v>1.4893632000000001</v>
          </cell>
          <cell r="M213">
            <v>4.2809406396473975</v>
          </cell>
          <cell r="N213">
            <v>2.5685643837884383E-4</v>
          </cell>
        </row>
        <row r="214">
          <cell r="A214" t="str">
            <v>L013112</v>
          </cell>
          <cell r="B214" t="str">
            <v>SO Frozen Grapefruit 30.5oz</v>
          </cell>
          <cell r="D214" t="str">
            <v>Label</v>
          </cell>
          <cell r="E214">
            <v>6</v>
          </cell>
          <cell r="F214">
            <v>0</v>
          </cell>
          <cell r="G214">
            <v>1.3892400000000001E-2</v>
          </cell>
          <cell r="H214" t="str">
            <v>EA</v>
          </cell>
          <cell r="I214">
            <v>0</v>
          </cell>
          <cell r="J214">
            <v>1389.24</v>
          </cell>
          <cell r="K214">
            <v>100000</v>
          </cell>
          <cell r="L214">
            <v>8.3354400000000009E-2</v>
          </cell>
          <cell r="M214">
            <v>4.2809406396473975</v>
          </cell>
          <cell r="N214">
            <v>2.5685643837884383E-4</v>
          </cell>
        </row>
        <row r="215">
          <cell r="A215" t="str">
            <v>L0131L</v>
          </cell>
          <cell r="B215" t="str">
            <v>Gft Juice 6 Pk HGln</v>
          </cell>
          <cell r="D215" t="str">
            <v>Label</v>
          </cell>
          <cell r="E215">
            <v>6</v>
          </cell>
          <cell r="F215">
            <v>0</v>
          </cell>
          <cell r="G215">
            <v>0.49900320050425567</v>
          </cell>
          <cell r="H215" t="str">
            <v>EA</v>
          </cell>
          <cell r="I215">
            <v>0</v>
          </cell>
          <cell r="J215">
            <v>49900.320050425566</v>
          </cell>
          <cell r="K215">
            <v>100000</v>
          </cell>
          <cell r="L215">
            <v>2.9940192030255339</v>
          </cell>
          <cell r="M215">
            <v>4.2809406396473975</v>
          </cell>
          <cell r="N215">
            <v>2.5685643837884383E-4</v>
          </cell>
        </row>
        <row r="216">
          <cell r="A216" t="str">
            <v>L0131LN</v>
          </cell>
          <cell r="B216" t="str">
            <v>Gft Juice 6 Pk HGln Nutrition</v>
          </cell>
          <cell r="D216" t="str">
            <v>Label</v>
          </cell>
          <cell r="E216">
            <v>6</v>
          </cell>
          <cell r="F216">
            <v>1</v>
          </cell>
          <cell r="G216">
            <v>0.49900320050425567</v>
          </cell>
          <cell r="H216" t="str">
            <v>EA</v>
          </cell>
          <cell r="I216">
            <v>5000</v>
          </cell>
          <cell r="J216">
            <v>49900.320050425566</v>
          </cell>
          <cell r="K216">
            <v>100000</v>
          </cell>
          <cell r="L216">
            <v>2.9940192030255339</v>
          </cell>
          <cell r="M216">
            <v>4.2809406396473975</v>
          </cell>
          <cell r="N216">
            <v>2.5685643837884383E-4</v>
          </cell>
        </row>
        <row r="217">
          <cell r="A217" t="str">
            <v>L01652F</v>
          </cell>
          <cell r="B217" t="str">
            <v>SOI Sweet &amp; Sour Mix 3+1</v>
          </cell>
          <cell r="D217" t="str">
            <v>Label</v>
          </cell>
          <cell r="E217">
            <v>6</v>
          </cell>
          <cell r="F217">
            <v>2</v>
          </cell>
          <cell r="G217">
            <v>0.10975680049245355</v>
          </cell>
          <cell r="H217" t="str">
            <v>EA</v>
          </cell>
          <cell r="I217">
            <v>10000</v>
          </cell>
          <cell r="J217">
            <v>10975.680049245355</v>
          </cell>
          <cell r="K217">
            <v>100000</v>
          </cell>
          <cell r="L217">
            <v>0.65854080295472128</v>
          </cell>
          <cell r="M217">
            <v>4.2809406396473975</v>
          </cell>
          <cell r="N217">
            <v>2.5685643837884383E-4</v>
          </cell>
        </row>
        <row r="218">
          <cell r="A218" t="str">
            <v>L01652FNV2</v>
          </cell>
          <cell r="B218" t="str">
            <v>SOI Sweet &amp; Sour Mix 3+1 Nutrition V2</v>
          </cell>
          <cell r="D218" t="str">
            <v>Label</v>
          </cell>
          <cell r="E218">
            <v>6</v>
          </cell>
          <cell r="F218">
            <v>0</v>
          </cell>
          <cell r="G218">
            <v>0.10975680049245355</v>
          </cell>
          <cell r="H218" t="str">
            <v>EA</v>
          </cell>
          <cell r="I218">
            <v>0</v>
          </cell>
          <cell r="J218">
            <v>10975.680049245355</v>
          </cell>
          <cell r="K218">
            <v>100000</v>
          </cell>
          <cell r="L218">
            <v>0.65854080295472128</v>
          </cell>
          <cell r="M218">
            <v>4.2809406396473975</v>
          </cell>
          <cell r="N218">
            <v>2.5685643837884383E-4</v>
          </cell>
        </row>
        <row r="219">
          <cell r="A219" t="str">
            <v>L02112V2</v>
          </cell>
          <cell r="B219" t="str">
            <v>Old Fashioned Lemonade Mix V2</v>
          </cell>
          <cell r="D219" t="str">
            <v>Label</v>
          </cell>
          <cell r="E219">
            <v>6</v>
          </cell>
          <cell r="F219">
            <v>0</v>
          </cell>
          <cell r="G219">
            <v>0.33733439999999981</v>
          </cell>
          <cell r="H219" t="str">
            <v>EA</v>
          </cell>
          <cell r="I219">
            <v>0</v>
          </cell>
          <cell r="J219">
            <v>33733.439999999981</v>
          </cell>
          <cell r="K219">
            <v>100000</v>
          </cell>
          <cell r="L219">
            <v>2.0240063999999989</v>
          </cell>
          <cell r="M219">
            <v>4.2809406396473975</v>
          </cell>
          <cell r="N219">
            <v>2.5685643837884383E-4</v>
          </cell>
        </row>
        <row r="220">
          <cell r="A220" t="str">
            <v>L02132V3</v>
          </cell>
          <cell r="B220" t="str">
            <v>LA 3+1 Gln v.3</v>
          </cell>
          <cell r="D220" t="str">
            <v>Label</v>
          </cell>
          <cell r="E220">
            <v>6</v>
          </cell>
          <cell r="F220">
            <v>1</v>
          </cell>
          <cell r="G220">
            <v>0.15954839999999998</v>
          </cell>
          <cell r="H220" t="str">
            <v>EA</v>
          </cell>
          <cell r="I220">
            <v>5000</v>
          </cell>
          <cell r="J220">
            <v>15954.839999999998</v>
          </cell>
          <cell r="K220">
            <v>100000</v>
          </cell>
          <cell r="L220">
            <v>0.95729039999999987</v>
          </cell>
          <cell r="M220">
            <v>4.2809406396473975</v>
          </cell>
          <cell r="N220">
            <v>2.5685643837884383E-4</v>
          </cell>
        </row>
        <row r="221">
          <cell r="A221" t="str">
            <v>L030312V2</v>
          </cell>
          <cell r="B221" t="str">
            <v>Sysco Lemon Juice Gln v.2</v>
          </cell>
          <cell r="D221" t="str">
            <v>Label</v>
          </cell>
          <cell r="E221">
            <v>6</v>
          </cell>
          <cell r="F221">
            <v>3</v>
          </cell>
          <cell r="G221">
            <v>1.8482807999999995</v>
          </cell>
          <cell r="H221" t="str">
            <v>EA</v>
          </cell>
          <cell r="I221">
            <v>25000</v>
          </cell>
          <cell r="J221">
            <v>184828.07999999996</v>
          </cell>
          <cell r="K221">
            <v>100000</v>
          </cell>
          <cell r="L221">
            <v>11.089684799999997</v>
          </cell>
          <cell r="M221">
            <v>4.2809406396473975</v>
          </cell>
          <cell r="N221">
            <v>2.5685643837884383E-4</v>
          </cell>
        </row>
        <row r="222">
          <cell r="A222" t="str">
            <v>L03032</v>
          </cell>
          <cell r="B222" t="str">
            <v>Lemon Juice HGln</v>
          </cell>
          <cell r="D222" t="str">
            <v>Label</v>
          </cell>
          <cell r="E222">
            <v>6</v>
          </cell>
          <cell r="F222">
            <v>5</v>
          </cell>
          <cell r="G222">
            <v>3.2938452000000007</v>
          </cell>
          <cell r="H222" t="str">
            <v>EA</v>
          </cell>
          <cell r="I222">
            <v>45000</v>
          </cell>
          <cell r="J222">
            <v>329384.52000000008</v>
          </cell>
          <cell r="K222">
            <v>100000</v>
          </cell>
          <cell r="L222">
            <v>19.763071200000006</v>
          </cell>
          <cell r="M222">
            <v>4.2809406396473975</v>
          </cell>
          <cell r="N222">
            <v>2.5685643837884383E-4</v>
          </cell>
        </row>
        <row r="223">
          <cell r="A223" t="str">
            <v>L030412</v>
          </cell>
          <cell r="B223" t="str">
            <v>Sysco Lime Juice Gln v1.</v>
          </cell>
          <cell r="D223" t="str">
            <v>Label</v>
          </cell>
          <cell r="E223">
            <v>6</v>
          </cell>
          <cell r="F223">
            <v>4</v>
          </cell>
          <cell r="G223">
            <v>2.5839048</v>
          </cell>
          <cell r="H223" t="str">
            <v>EA</v>
          </cell>
          <cell r="I223">
            <v>35000</v>
          </cell>
          <cell r="J223">
            <v>258390.48</v>
          </cell>
          <cell r="K223">
            <v>100000</v>
          </cell>
          <cell r="L223">
            <v>15.5034288</v>
          </cell>
          <cell r="M223">
            <v>4.2809406396473975</v>
          </cell>
          <cell r="N223">
            <v>2.5685643837884383E-4</v>
          </cell>
        </row>
        <row r="224">
          <cell r="A224" t="str">
            <v>L03101</v>
          </cell>
          <cell r="B224" t="str">
            <v>LA Gln</v>
          </cell>
          <cell r="D224" t="str">
            <v>Label</v>
          </cell>
          <cell r="E224">
            <v>6</v>
          </cell>
          <cell r="F224">
            <v>2</v>
          </cell>
          <cell r="G224">
            <v>2.4385751999999994</v>
          </cell>
          <cell r="H224" t="str">
            <v>EA</v>
          </cell>
          <cell r="I224">
            <v>15000</v>
          </cell>
          <cell r="J224">
            <v>243857.51999999996</v>
          </cell>
          <cell r="K224">
            <v>100000</v>
          </cell>
          <cell r="L224">
            <v>14.631451199999997</v>
          </cell>
          <cell r="M224">
            <v>4.2809406396473975</v>
          </cell>
          <cell r="N224">
            <v>2.5685643837884383E-4</v>
          </cell>
        </row>
        <row r="225">
          <cell r="A225" t="str">
            <v>L03301</v>
          </cell>
          <cell r="B225" t="str">
            <v>Orange Juice Gln</v>
          </cell>
          <cell r="D225" t="str">
            <v>Label</v>
          </cell>
          <cell r="E225">
            <v>6</v>
          </cell>
          <cell r="F225">
            <v>12</v>
          </cell>
          <cell r="G225">
            <v>7.9473912000000002</v>
          </cell>
          <cell r="H225" t="str">
            <v>EA</v>
          </cell>
          <cell r="I225">
            <v>130000</v>
          </cell>
          <cell r="J225">
            <v>794739.12</v>
          </cell>
          <cell r="K225">
            <v>100000</v>
          </cell>
          <cell r="L225">
            <v>47.684347200000005</v>
          </cell>
          <cell r="M225">
            <v>4.2809406396473975</v>
          </cell>
          <cell r="N225">
            <v>2.5685643837884383E-4</v>
          </cell>
        </row>
        <row r="226">
          <cell r="A226" t="str">
            <v>L03301NP</v>
          </cell>
          <cell r="B226" t="str">
            <v>NP Orange Juice Gln v1.</v>
          </cell>
          <cell r="D226" t="str">
            <v>Label</v>
          </cell>
          <cell r="E226">
            <v>6</v>
          </cell>
          <cell r="F226">
            <v>2</v>
          </cell>
          <cell r="G226">
            <v>1.8533399999999998</v>
          </cell>
          <cell r="H226" t="str">
            <v>EA</v>
          </cell>
          <cell r="I226">
            <v>20000</v>
          </cell>
          <cell r="J226">
            <v>185333.99999999997</v>
          </cell>
          <cell r="K226">
            <v>100000</v>
          </cell>
          <cell r="L226">
            <v>11.120039999999999</v>
          </cell>
          <cell r="M226">
            <v>4.2809406396473975</v>
          </cell>
          <cell r="N226">
            <v>2.5685643837884383E-4</v>
          </cell>
        </row>
        <row r="227">
          <cell r="A227" t="str">
            <v>L06031</v>
          </cell>
          <cell r="B227" t="str">
            <v>Lemon Juice Gln</v>
          </cell>
          <cell r="D227" t="str">
            <v>Label</v>
          </cell>
          <cell r="E227">
            <v>6</v>
          </cell>
          <cell r="F227">
            <v>1</v>
          </cell>
          <cell r="G227">
            <v>0.99690719999999999</v>
          </cell>
          <cell r="H227" t="str">
            <v>EA</v>
          </cell>
          <cell r="I227">
            <v>10000</v>
          </cell>
          <cell r="J227">
            <v>99690.72</v>
          </cell>
          <cell r="K227">
            <v>100000</v>
          </cell>
          <cell r="L227">
            <v>5.9814432000000002</v>
          </cell>
          <cell r="M227">
            <v>4.2809406396473975</v>
          </cell>
          <cell r="N227">
            <v>2.5685643837884383E-4</v>
          </cell>
        </row>
        <row r="228">
          <cell r="A228" t="str">
            <v>L06032</v>
          </cell>
          <cell r="B228" t="str">
            <v>Lemon Juice HGln</v>
          </cell>
          <cell r="D228" t="str">
            <v>Label</v>
          </cell>
          <cell r="E228">
            <v>6</v>
          </cell>
          <cell r="F228">
            <v>2</v>
          </cell>
          <cell r="G228">
            <v>1.8878975999999998</v>
          </cell>
          <cell r="H228" t="str">
            <v>EA</v>
          </cell>
          <cell r="I228">
            <v>20000</v>
          </cell>
          <cell r="J228">
            <v>188789.75999999998</v>
          </cell>
          <cell r="K228">
            <v>100000</v>
          </cell>
          <cell r="L228">
            <v>11.327385599999999</v>
          </cell>
          <cell r="M228">
            <v>4.2809406396473975</v>
          </cell>
          <cell r="N228">
            <v>2.5685643837884383E-4</v>
          </cell>
        </row>
        <row r="229">
          <cell r="A229" t="str">
            <v>L06051</v>
          </cell>
          <cell r="B229" t="str">
            <v>Marg Mix Gln</v>
          </cell>
          <cell r="D229" t="str">
            <v>Label</v>
          </cell>
          <cell r="E229">
            <v>6</v>
          </cell>
          <cell r="F229">
            <v>1</v>
          </cell>
          <cell r="G229">
            <v>0.88654319999999998</v>
          </cell>
          <cell r="H229" t="str">
            <v>EA</v>
          </cell>
          <cell r="I229">
            <v>10000</v>
          </cell>
          <cell r="J229">
            <v>88654.319999999992</v>
          </cell>
          <cell r="K229">
            <v>100000</v>
          </cell>
          <cell r="L229">
            <v>5.3192591999999994</v>
          </cell>
          <cell r="M229">
            <v>4.2809406396473975</v>
          </cell>
          <cell r="N229">
            <v>2.5685643837884383E-4</v>
          </cell>
        </row>
        <row r="230">
          <cell r="A230" t="str">
            <v>L06101</v>
          </cell>
          <cell r="B230" t="str">
            <v>LA Gln</v>
          </cell>
          <cell r="D230" t="str">
            <v>Label</v>
          </cell>
          <cell r="E230">
            <v>6</v>
          </cell>
          <cell r="F230">
            <v>2</v>
          </cell>
          <cell r="G230">
            <v>1.6624368000000003</v>
          </cell>
          <cell r="H230" t="str">
            <v>EA</v>
          </cell>
          <cell r="I230">
            <v>15000</v>
          </cell>
          <cell r="J230">
            <v>166243.68000000002</v>
          </cell>
          <cell r="K230">
            <v>100000</v>
          </cell>
          <cell r="L230">
            <v>9.9746208000000021</v>
          </cell>
          <cell r="M230">
            <v>4.2809406396473975</v>
          </cell>
          <cell r="N230">
            <v>2.5685643837884383E-4</v>
          </cell>
        </row>
        <row r="231">
          <cell r="A231" t="str">
            <v>L06301</v>
          </cell>
          <cell r="B231" t="str">
            <v>Orange Juice Gln</v>
          </cell>
          <cell r="D231" t="str">
            <v>Label</v>
          </cell>
          <cell r="E231">
            <v>6</v>
          </cell>
          <cell r="F231">
            <v>8</v>
          </cell>
          <cell r="G231">
            <v>5.9432136</v>
          </cell>
          <cell r="H231" t="str">
            <v>EA</v>
          </cell>
          <cell r="I231">
            <v>80000</v>
          </cell>
          <cell r="J231">
            <v>594321.36</v>
          </cell>
          <cell r="K231">
            <v>100000</v>
          </cell>
          <cell r="L231">
            <v>35.6592816</v>
          </cell>
          <cell r="M231">
            <v>4.2809406396473975</v>
          </cell>
          <cell r="N231">
            <v>2.5685643837884383E-4</v>
          </cell>
        </row>
        <row r="232">
          <cell r="A232" t="str">
            <v>L0801</v>
          </cell>
          <cell r="B232" t="str">
            <v>SO Mixed Berry Omija 6+1 HGln 6pk Label</v>
          </cell>
          <cell r="D232" t="str">
            <v>Label</v>
          </cell>
          <cell r="E232">
            <v>6</v>
          </cell>
          <cell r="F232">
            <v>0</v>
          </cell>
          <cell r="G232">
            <v>1.35864E-2</v>
          </cell>
          <cell r="H232" t="str">
            <v>EA</v>
          </cell>
          <cell r="I232">
            <v>0</v>
          </cell>
          <cell r="J232">
            <v>1358.64</v>
          </cell>
          <cell r="K232">
            <v>100000</v>
          </cell>
          <cell r="L232">
            <v>8.1518400000000005E-2</v>
          </cell>
          <cell r="M232">
            <v>4.2809406396473975</v>
          </cell>
          <cell r="N232">
            <v>2.5685643837884383E-4</v>
          </cell>
        </row>
        <row r="233">
          <cell r="A233" t="str">
            <v>L11701FV2</v>
          </cell>
          <cell r="B233" t="str">
            <v>Cava Blueberry Lavender Puree Label V2</v>
          </cell>
          <cell r="D233" t="str">
            <v>Label</v>
          </cell>
          <cell r="E233">
            <v>6</v>
          </cell>
          <cell r="F233">
            <v>0</v>
          </cell>
          <cell r="G233">
            <v>1.9890000000000001E-2</v>
          </cell>
          <cell r="H233" t="str">
            <v>EA</v>
          </cell>
          <cell r="I233">
            <v>0</v>
          </cell>
          <cell r="J233">
            <v>1989.0000000000002</v>
          </cell>
          <cell r="K233">
            <v>100000</v>
          </cell>
          <cell r="L233">
            <v>0.11934</v>
          </cell>
          <cell r="M233">
            <v>4.2809406396473975</v>
          </cell>
          <cell r="N233">
            <v>2.5685643837884383E-4</v>
          </cell>
        </row>
        <row r="234">
          <cell r="A234" t="str">
            <v>L1230LN</v>
          </cell>
          <cell r="B234" t="str">
            <v>Orange Juice Gln Nutrition</v>
          </cell>
          <cell r="D234" t="str">
            <v>Label</v>
          </cell>
          <cell r="E234">
            <v>6</v>
          </cell>
          <cell r="F234">
            <v>10</v>
          </cell>
          <cell r="G234">
            <v>4.3409159999999991</v>
          </cell>
          <cell r="H234" t="str">
            <v>EA</v>
          </cell>
          <cell r="I234">
            <v>100000</v>
          </cell>
          <cell r="J234">
            <v>434091.59999999992</v>
          </cell>
          <cell r="K234">
            <v>100000</v>
          </cell>
          <cell r="L234">
            <v>26.045495999999993</v>
          </cell>
          <cell r="M234">
            <v>4.2809406396473975</v>
          </cell>
          <cell r="N234">
            <v>2.5685643837884383E-4</v>
          </cell>
        </row>
        <row r="235">
          <cell r="A235" t="str">
            <v>L1230LV2</v>
          </cell>
          <cell r="B235" t="str">
            <v>Orange Juice Gln V2</v>
          </cell>
          <cell r="D235" t="str">
            <v>Label</v>
          </cell>
          <cell r="E235">
            <v>6</v>
          </cell>
          <cell r="F235">
            <v>11</v>
          </cell>
          <cell r="G235">
            <v>4.3654571999999998</v>
          </cell>
          <cell r="H235" t="str">
            <v>EA</v>
          </cell>
          <cell r="I235">
            <v>105000</v>
          </cell>
          <cell r="J235">
            <v>436545.72</v>
          </cell>
          <cell r="K235">
            <v>100000</v>
          </cell>
          <cell r="L235">
            <v>26.192743199999999</v>
          </cell>
          <cell r="M235">
            <v>4.2809406396473975</v>
          </cell>
          <cell r="N235">
            <v>2.5685643837884383E-4</v>
          </cell>
        </row>
        <row r="236">
          <cell r="A236" t="str">
            <v>L1230NV2</v>
          </cell>
          <cell r="B236" t="str">
            <v>Orange Juice HGln V2</v>
          </cell>
          <cell r="D236" t="str">
            <v>Label</v>
          </cell>
          <cell r="E236">
            <v>6</v>
          </cell>
          <cell r="F236">
            <v>0</v>
          </cell>
          <cell r="G236">
            <v>2.4541199999999989E-2</v>
          </cell>
          <cell r="H236" t="str">
            <v>EA</v>
          </cell>
          <cell r="I236">
            <v>0</v>
          </cell>
          <cell r="J236">
            <v>2454.119999999999</v>
          </cell>
          <cell r="K236">
            <v>100000</v>
          </cell>
          <cell r="L236">
            <v>0.14724719999999994</v>
          </cell>
          <cell r="M236">
            <v>4.2809406396473975</v>
          </cell>
          <cell r="N236">
            <v>2.5685643837884383E-4</v>
          </cell>
        </row>
        <row r="237">
          <cell r="A237" t="str">
            <v>L14132</v>
          </cell>
          <cell r="B237" t="str">
            <v>LA 3+1 HGln  v2</v>
          </cell>
          <cell r="D237" t="str">
            <v>Label</v>
          </cell>
          <cell r="E237">
            <v>6</v>
          </cell>
          <cell r="F237">
            <v>5</v>
          </cell>
          <cell r="G237">
            <v>3.2640407999999996</v>
          </cell>
          <cell r="H237" t="str">
            <v>EA</v>
          </cell>
          <cell r="I237">
            <v>85000</v>
          </cell>
          <cell r="J237">
            <v>326404.07999999996</v>
          </cell>
          <cell r="K237">
            <v>100000</v>
          </cell>
          <cell r="L237">
            <v>19.584244799999997</v>
          </cell>
          <cell r="M237">
            <v>4.2809406396473975</v>
          </cell>
          <cell r="N237">
            <v>2.5685643837884383E-4</v>
          </cell>
        </row>
        <row r="238">
          <cell r="A238" t="str">
            <v>L1919F</v>
          </cell>
          <cell r="B238" t="str">
            <v>LA 4+1 HGln FZN Label</v>
          </cell>
          <cell r="D238" t="str">
            <v>Label</v>
          </cell>
          <cell r="E238">
            <v>6</v>
          </cell>
          <cell r="F238">
            <v>0</v>
          </cell>
          <cell r="G238">
            <v>0.26193599999999995</v>
          </cell>
          <cell r="H238" t="str">
            <v>EA</v>
          </cell>
          <cell r="I238">
            <v>0</v>
          </cell>
          <cell r="J238">
            <v>26193.599999999995</v>
          </cell>
          <cell r="K238">
            <v>100000</v>
          </cell>
          <cell r="L238">
            <v>1.5716159999999997</v>
          </cell>
          <cell r="M238">
            <v>4.2809406396473975</v>
          </cell>
          <cell r="N238">
            <v>2.5685643837884383E-4</v>
          </cell>
        </row>
        <row r="239">
          <cell r="A239" t="str">
            <v>L21121FV2</v>
          </cell>
          <cell r="B239" t="str">
            <v>LA 4+1 Gln Fzn v2</v>
          </cell>
          <cell r="D239" t="str">
            <v>Label</v>
          </cell>
          <cell r="E239">
            <v>6</v>
          </cell>
          <cell r="F239">
            <v>1</v>
          </cell>
          <cell r="G239">
            <v>2.2692959999999993</v>
          </cell>
          <cell r="H239" t="str">
            <v>EA</v>
          </cell>
          <cell r="I239">
            <v>45000</v>
          </cell>
          <cell r="J239">
            <v>226929.59999999992</v>
          </cell>
          <cell r="K239">
            <v>100000</v>
          </cell>
          <cell r="L239">
            <v>13.615775999999997</v>
          </cell>
          <cell r="M239">
            <v>4.2809406396473975</v>
          </cell>
          <cell r="N239">
            <v>2.5685643837884383E-4</v>
          </cell>
        </row>
        <row r="240">
          <cell r="A240" t="str">
            <v>L3114519V3</v>
          </cell>
          <cell r="B240" t="str">
            <v>MM Reduced Sugar &amp; added Fiber Green Smoothie Label V3</v>
          </cell>
          <cell r="D240" t="str">
            <v>Label</v>
          </cell>
          <cell r="E240">
            <v>6</v>
          </cell>
          <cell r="F240">
            <v>2</v>
          </cell>
          <cell r="G240">
            <v>0.44002800000000003</v>
          </cell>
          <cell r="H240" t="str">
            <v>EA</v>
          </cell>
          <cell r="I240">
            <v>60000</v>
          </cell>
          <cell r="J240">
            <v>44002.8</v>
          </cell>
          <cell r="K240">
            <v>100000</v>
          </cell>
          <cell r="L240">
            <v>2.6401680000000001</v>
          </cell>
          <cell r="M240">
            <v>4.2809406396473975</v>
          </cell>
          <cell r="N240">
            <v>2.5685643837884383E-4</v>
          </cell>
        </row>
        <row r="241">
          <cell r="A241" t="str">
            <v>L3114719V3</v>
          </cell>
          <cell r="B241" t="str">
            <v>MM Reduced Sugar &amp; added Fiber Strw Banana Smoothie Label V3</v>
          </cell>
          <cell r="D241" t="str">
            <v>Label</v>
          </cell>
          <cell r="E241">
            <v>6</v>
          </cell>
          <cell r="F241">
            <v>2</v>
          </cell>
          <cell r="G241">
            <v>0.49082400000000004</v>
          </cell>
          <cell r="H241" t="str">
            <v>EA</v>
          </cell>
          <cell r="I241">
            <v>59000</v>
          </cell>
          <cell r="J241">
            <v>49082.400000000001</v>
          </cell>
          <cell r="K241">
            <v>100000</v>
          </cell>
          <cell r="L241">
            <v>2.9449440000000005</v>
          </cell>
          <cell r="M241">
            <v>4.2809406396473975</v>
          </cell>
          <cell r="N241">
            <v>2.5685643837884383E-4</v>
          </cell>
        </row>
        <row r="242">
          <cell r="A242" t="str">
            <v>L44041</v>
          </cell>
          <cell r="B242" t="str">
            <v>Lime Juice Gln</v>
          </cell>
          <cell r="D242" t="str">
            <v>Label</v>
          </cell>
          <cell r="E242">
            <v>6</v>
          </cell>
          <cell r="F242">
            <v>3</v>
          </cell>
          <cell r="G242">
            <v>1.2811608000000001</v>
          </cell>
          <cell r="H242" t="str">
            <v>EA</v>
          </cell>
          <cell r="I242">
            <v>25000</v>
          </cell>
          <cell r="J242">
            <v>128116.08</v>
          </cell>
          <cell r="K242">
            <v>100000</v>
          </cell>
          <cell r="L242">
            <v>7.6869648000000002</v>
          </cell>
          <cell r="M242">
            <v>4.2809406396473975</v>
          </cell>
          <cell r="N242">
            <v>2.5685643837884383E-4</v>
          </cell>
        </row>
        <row r="243">
          <cell r="A243" t="str">
            <v>L620114V4</v>
          </cell>
          <cell r="B243" t="str">
            <v>Panera Orange Juice 11.5oz RTS V4</v>
          </cell>
          <cell r="D243" t="str">
            <v>Label</v>
          </cell>
          <cell r="E243">
            <v>6</v>
          </cell>
          <cell r="F243">
            <v>8</v>
          </cell>
          <cell r="G243">
            <v>5.7946608000000008</v>
          </cell>
          <cell r="H243" t="str">
            <v>EA</v>
          </cell>
          <cell r="I243">
            <v>135000</v>
          </cell>
          <cell r="J243">
            <v>579466.08000000007</v>
          </cell>
          <cell r="K243">
            <v>100000</v>
          </cell>
          <cell r="L243">
            <v>34.767964800000001</v>
          </cell>
          <cell r="M243">
            <v>4.2809406396473975</v>
          </cell>
          <cell r="N243">
            <v>2.5685643837884383E-4</v>
          </cell>
        </row>
        <row r="244">
          <cell r="A244" t="str">
            <v>L62012V3</v>
          </cell>
          <cell r="B244" t="str">
            <v>Panera Orange Juice 64oz RTS V3</v>
          </cell>
          <cell r="D244" t="str">
            <v>Label</v>
          </cell>
          <cell r="E244">
            <v>6</v>
          </cell>
          <cell r="F244">
            <v>1</v>
          </cell>
          <cell r="G244">
            <v>0.53837639999999987</v>
          </cell>
          <cell r="H244" t="str">
            <v>EA</v>
          </cell>
          <cell r="I244">
            <v>10000</v>
          </cell>
          <cell r="J244">
            <v>53837.639999999992</v>
          </cell>
          <cell r="K244">
            <v>100000</v>
          </cell>
          <cell r="L244">
            <v>3.2302583999999994</v>
          </cell>
          <cell r="M244">
            <v>4.2809406396473975</v>
          </cell>
          <cell r="N244">
            <v>2.5685643837884383E-4</v>
          </cell>
        </row>
        <row r="245">
          <cell r="A245" t="str">
            <v>L621077V2</v>
          </cell>
          <cell r="B245" t="str">
            <v>Panera 5+1 Prickly Pear Hib Lime Agua Fresca NSA 61.5oz V2</v>
          </cell>
          <cell r="D245" t="str">
            <v>Label</v>
          </cell>
          <cell r="E245">
            <v>6</v>
          </cell>
          <cell r="F245">
            <v>3</v>
          </cell>
          <cell r="G245">
            <v>0.47338199999999997</v>
          </cell>
          <cell r="H245" t="str">
            <v>EA</v>
          </cell>
          <cell r="I245">
            <v>20000</v>
          </cell>
          <cell r="J245">
            <v>47338.2</v>
          </cell>
          <cell r="K245">
            <v>100000</v>
          </cell>
          <cell r="L245">
            <v>2.8402919999999998</v>
          </cell>
          <cell r="M245">
            <v>4.2809406396473975</v>
          </cell>
          <cell r="N245">
            <v>2.5685643837884383E-4</v>
          </cell>
        </row>
        <row r="246">
          <cell r="A246" t="str">
            <v>L62202FV2</v>
          </cell>
          <cell r="B246" t="str">
            <v>5+1 Agave Lemonade Hgln V2</v>
          </cell>
          <cell r="D246" t="str">
            <v>Label</v>
          </cell>
          <cell r="E246">
            <v>6</v>
          </cell>
          <cell r="F246">
            <v>2</v>
          </cell>
          <cell r="G246">
            <v>2.2658076</v>
          </cell>
          <cell r="H246" t="str">
            <v>EA</v>
          </cell>
          <cell r="I246">
            <v>110000</v>
          </cell>
          <cell r="J246">
            <v>226580.76</v>
          </cell>
          <cell r="K246">
            <v>100000</v>
          </cell>
          <cell r="L246">
            <v>13.594845599999999</v>
          </cell>
          <cell r="M246">
            <v>4.2809406396473975</v>
          </cell>
          <cell r="N246">
            <v>2.5685643837884383E-4</v>
          </cell>
        </row>
        <row r="247">
          <cell r="A247" t="str">
            <v>L62387FV2</v>
          </cell>
          <cell r="B247" t="str">
            <v>Panera Peach Mango 61.5 oz V2</v>
          </cell>
          <cell r="D247" t="str">
            <v>Label</v>
          </cell>
          <cell r="E247">
            <v>6</v>
          </cell>
          <cell r="F247">
            <v>6</v>
          </cell>
          <cell r="G247">
            <v>1.5090083999999999</v>
          </cell>
          <cell r="H247" t="str">
            <v>EA</v>
          </cell>
          <cell r="I247">
            <v>40000</v>
          </cell>
          <cell r="J247">
            <v>150900.84</v>
          </cell>
          <cell r="K247">
            <v>100000</v>
          </cell>
          <cell r="L247">
            <v>9.0540503999999995</v>
          </cell>
          <cell r="M247">
            <v>4.2809406396473975</v>
          </cell>
          <cell r="N247">
            <v>2.5685643837884383E-4</v>
          </cell>
        </row>
        <row r="248">
          <cell r="A248" t="str">
            <v>L62407V2</v>
          </cell>
          <cell r="B248" t="str">
            <v>Panera Mango NSA 61.5oz V2</v>
          </cell>
          <cell r="D248" t="str">
            <v>Label</v>
          </cell>
          <cell r="E248">
            <v>6</v>
          </cell>
          <cell r="F248">
            <v>3</v>
          </cell>
          <cell r="G248">
            <v>1.0366667999999999</v>
          </cell>
          <cell r="H248" t="str">
            <v>EA</v>
          </cell>
          <cell r="I248">
            <v>45000</v>
          </cell>
          <cell r="J248">
            <v>103666.68</v>
          </cell>
          <cell r="K248">
            <v>100000</v>
          </cell>
          <cell r="L248">
            <v>6.2200007999999993</v>
          </cell>
          <cell r="M248">
            <v>4.2809406396473975</v>
          </cell>
          <cell r="N248">
            <v>2.5685643837884383E-4</v>
          </cell>
        </row>
        <row r="249">
          <cell r="A249" t="str">
            <v>L62417V2</v>
          </cell>
          <cell r="B249" t="str">
            <v>Panera Strawberry NSA 61.5oz V2</v>
          </cell>
          <cell r="D249" t="str">
            <v>Label</v>
          </cell>
          <cell r="E249">
            <v>6</v>
          </cell>
          <cell r="F249">
            <v>3</v>
          </cell>
          <cell r="G249">
            <v>1.7213111999999999</v>
          </cell>
          <cell r="H249" t="str">
            <v>EA</v>
          </cell>
          <cell r="I249">
            <v>25000</v>
          </cell>
          <cell r="J249">
            <v>172131.12</v>
          </cell>
          <cell r="K249">
            <v>100000</v>
          </cell>
          <cell r="L249">
            <v>10.3278672</v>
          </cell>
          <cell r="M249">
            <v>4.2809406396473975</v>
          </cell>
          <cell r="N249">
            <v>2.5685643837884383E-4</v>
          </cell>
        </row>
        <row r="250">
          <cell r="A250" t="str">
            <v>L69012ANV2</v>
          </cell>
          <cell r="B250" t="str">
            <v>AZ Valencia Orange Juice 65oz Nutrition V2</v>
          </cell>
          <cell r="D250" t="str">
            <v>Label</v>
          </cell>
          <cell r="E250">
            <v>6</v>
          </cell>
          <cell r="F250">
            <v>6</v>
          </cell>
          <cell r="G250">
            <v>3.9481343999999998</v>
          </cell>
          <cell r="H250" t="str">
            <v>EA</v>
          </cell>
          <cell r="I250">
            <v>55000</v>
          </cell>
          <cell r="J250">
            <v>394813.44</v>
          </cell>
          <cell r="K250">
            <v>100000</v>
          </cell>
          <cell r="L250">
            <v>23.688806399999997</v>
          </cell>
          <cell r="M250">
            <v>4.2809406396473975</v>
          </cell>
          <cell r="N250">
            <v>2.5685643837884383E-4</v>
          </cell>
        </row>
        <row r="251">
          <cell r="A251" t="str">
            <v>L69052NV2</v>
          </cell>
          <cell r="B251" t="str">
            <v>Rykoff Sexton Marg Mix 64oz Nutrition V2</v>
          </cell>
          <cell r="D251" t="str">
            <v>Label</v>
          </cell>
          <cell r="E251">
            <v>6</v>
          </cell>
          <cell r="F251">
            <v>1</v>
          </cell>
          <cell r="G251">
            <v>0.72069120000000009</v>
          </cell>
          <cell r="H251" t="str">
            <v>EA</v>
          </cell>
          <cell r="I251">
            <v>10000</v>
          </cell>
          <cell r="J251">
            <v>72069.12000000001</v>
          </cell>
          <cell r="K251">
            <v>100000</v>
          </cell>
          <cell r="L251">
            <v>4.3241472000000005</v>
          </cell>
          <cell r="M251">
            <v>4.2809406396473975</v>
          </cell>
          <cell r="N251">
            <v>2.5685643837884383E-4</v>
          </cell>
        </row>
        <row r="252">
          <cell r="A252" t="str">
            <v>L69052V2</v>
          </cell>
          <cell r="B252" t="str">
            <v>Rykoff Sexton Margarita Mix 64oz V2</v>
          </cell>
          <cell r="D252" t="str">
            <v>Label</v>
          </cell>
          <cell r="E252">
            <v>6</v>
          </cell>
          <cell r="F252">
            <v>1</v>
          </cell>
          <cell r="G252">
            <v>0.72069120000000009</v>
          </cell>
          <cell r="H252" t="str">
            <v>EA</v>
          </cell>
          <cell r="I252">
            <v>10000</v>
          </cell>
          <cell r="J252">
            <v>72069.12000000001</v>
          </cell>
          <cell r="K252">
            <v>100000</v>
          </cell>
          <cell r="L252">
            <v>4.3241472000000005</v>
          </cell>
          <cell r="M252">
            <v>4.2809406396473975</v>
          </cell>
          <cell r="N252">
            <v>2.5685643837884383E-4</v>
          </cell>
        </row>
        <row r="253">
          <cell r="A253" t="str">
            <v>L691042NV2</v>
          </cell>
          <cell r="B253" t="str">
            <v>Bloody Mary Mix 64oz Nutrition V2</v>
          </cell>
          <cell r="D253" t="str">
            <v>Label</v>
          </cell>
          <cell r="E253">
            <v>6</v>
          </cell>
          <cell r="F253">
            <v>1</v>
          </cell>
          <cell r="G253">
            <v>0.46034639999999999</v>
          </cell>
          <cell r="H253" t="str">
            <v>EA</v>
          </cell>
          <cell r="I253">
            <v>5000</v>
          </cell>
          <cell r="J253">
            <v>46034.64</v>
          </cell>
          <cell r="K253">
            <v>100000</v>
          </cell>
          <cell r="L253">
            <v>2.7620784</v>
          </cell>
          <cell r="M253">
            <v>4.2809406396473975</v>
          </cell>
          <cell r="N253">
            <v>2.5685643837884383E-4</v>
          </cell>
        </row>
        <row r="254">
          <cell r="A254" t="str">
            <v>L69563NV2</v>
          </cell>
          <cell r="B254" t="str">
            <v>Key Lime Juice 32oz Nutrition V2</v>
          </cell>
          <cell r="D254" t="str">
            <v>Label</v>
          </cell>
          <cell r="E254">
            <v>6</v>
          </cell>
          <cell r="F254">
            <v>5</v>
          </cell>
          <cell r="G254">
            <v>1.0976832000000001</v>
          </cell>
          <cell r="H254" t="str">
            <v>EA</v>
          </cell>
          <cell r="I254">
            <v>35000</v>
          </cell>
          <cell r="J254">
            <v>109768.32000000001</v>
          </cell>
          <cell r="K254">
            <v>100000</v>
          </cell>
          <cell r="L254">
            <v>6.5860992000000005</v>
          </cell>
          <cell r="M254">
            <v>4.2809406396473975</v>
          </cell>
          <cell r="N254">
            <v>2.5685643837884383E-4</v>
          </cell>
        </row>
        <row r="255">
          <cell r="A255" t="str">
            <v>L69572NV2</v>
          </cell>
          <cell r="B255" t="str">
            <v>Meyer LA 64oz Nutrition V2</v>
          </cell>
          <cell r="D255" t="str">
            <v>Label</v>
          </cell>
          <cell r="E255">
            <v>6</v>
          </cell>
          <cell r="F255">
            <v>2</v>
          </cell>
          <cell r="G255">
            <v>1.3917492000000005</v>
          </cell>
          <cell r="H255" t="str">
            <v>EA</v>
          </cell>
          <cell r="I255">
            <v>15000</v>
          </cell>
          <cell r="J255">
            <v>139174.92000000004</v>
          </cell>
          <cell r="K255">
            <v>100000</v>
          </cell>
          <cell r="L255">
            <v>8.3504952000000028</v>
          </cell>
          <cell r="M255">
            <v>4.2809406396473975</v>
          </cell>
          <cell r="N255">
            <v>2.5685643837884383E-4</v>
          </cell>
        </row>
        <row r="256">
          <cell r="A256" t="str">
            <v>L69572V2</v>
          </cell>
          <cell r="B256" t="str">
            <v>Meyer LA 64oz</v>
          </cell>
          <cell r="D256" t="str">
            <v>Label</v>
          </cell>
          <cell r="E256">
            <v>6</v>
          </cell>
          <cell r="F256">
            <v>2</v>
          </cell>
          <cell r="G256">
            <v>1.3917492000000005</v>
          </cell>
          <cell r="H256" t="str">
            <v>EA</v>
          </cell>
          <cell r="I256">
            <v>20000</v>
          </cell>
          <cell r="J256">
            <v>139174.92000000004</v>
          </cell>
          <cell r="K256">
            <v>100000</v>
          </cell>
          <cell r="L256">
            <v>8.3504952000000028</v>
          </cell>
          <cell r="M256">
            <v>4.2809406396473975</v>
          </cell>
          <cell r="N256">
            <v>2.5685643837884383E-4</v>
          </cell>
        </row>
        <row r="257">
          <cell r="A257" t="str">
            <v>L69573NV2</v>
          </cell>
          <cell r="B257" t="str">
            <v>Meyer Lemon Juice 32oz Nutritiion V2</v>
          </cell>
          <cell r="D257" t="str">
            <v>Label</v>
          </cell>
          <cell r="E257">
            <v>6</v>
          </cell>
          <cell r="F257">
            <v>2</v>
          </cell>
          <cell r="G257">
            <v>1.2186144000000001</v>
          </cell>
          <cell r="H257" t="str">
            <v>EA</v>
          </cell>
          <cell r="I257">
            <v>20000</v>
          </cell>
          <cell r="J257">
            <v>121861.44</v>
          </cell>
          <cell r="K257">
            <v>100000</v>
          </cell>
          <cell r="L257">
            <v>7.311686400000001</v>
          </cell>
          <cell r="M257">
            <v>4.2809406396473975</v>
          </cell>
          <cell r="N257">
            <v>2.5685643837884383E-4</v>
          </cell>
        </row>
        <row r="258">
          <cell r="A258" t="str">
            <v>L69573V2</v>
          </cell>
          <cell r="B258" t="str">
            <v>Meyer Lemon Juice 32oz V2</v>
          </cell>
          <cell r="D258" t="str">
            <v>Label</v>
          </cell>
          <cell r="E258">
            <v>6</v>
          </cell>
          <cell r="F258">
            <v>2</v>
          </cell>
          <cell r="G258">
            <v>1.2186144000000001</v>
          </cell>
          <cell r="H258" t="str">
            <v>EA</v>
          </cell>
          <cell r="I258">
            <v>20000</v>
          </cell>
          <cell r="J258">
            <v>121861.44</v>
          </cell>
          <cell r="K258">
            <v>100000</v>
          </cell>
          <cell r="L258">
            <v>7.311686400000001</v>
          </cell>
          <cell r="M258">
            <v>4.2809406396473975</v>
          </cell>
          <cell r="N258">
            <v>2.5685643837884383E-4</v>
          </cell>
        </row>
        <row r="259">
          <cell r="A259" t="str">
            <v>MRM001</v>
          </cell>
          <cell r="B259" t="str">
            <v>Citric Acid [MRM001]</v>
          </cell>
          <cell r="D259" t="str">
            <v>MRM</v>
          </cell>
          <cell r="E259">
            <v>12.899999999999999</v>
          </cell>
          <cell r="F259">
            <v>3</v>
          </cell>
          <cell r="G259">
            <v>21.161661453599997</v>
          </cell>
          <cell r="H259" t="str">
            <v>LB</v>
          </cell>
          <cell r="I259">
            <v>5000</v>
          </cell>
          <cell r="J259">
            <v>35269.435755999999</v>
          </cell>
          <cell r="K259">
            <v>1666.6666666666667</v>
          </cell>
          <cell r="L259">
            <v>272.98543275143993</v>
          </cell>
          <cell r="M259">
            <v>4.2809406396473975</v>
          </cell>
          <cell r="N259">
            <v>3.313448055087085E-2</v>
          </cell>
        </row>
        <row r="260">
          <cell r="A260" t="str">
            <v>MRM008</v>
          </cell>
          <cell r="B260" t="str">
            <v>Ascorbic Acid [MRM008]</v>
          </cell>
          <cell r="D260" t="str">
            <v>MRM</v>
          </cell>
          <cell r="E260">
            <v>12.899999999999999</v>
          </cell>
          <cell r="F260">
            <v>2</v>
          </cell>
          <cell r="G260">
            <v>0</v>
          </cell>
          <cell r="H260" t="str">
            <v>LB</v>
          </cell>
          <cell r="I260">
            <v>110.2</v>
          </cell>
          <cell r="J260">
            <v>0</v>
          </cell>
          <cell r="K260">
            <v>55.1</v>
          </cell>
          <cell r="L260">
            <v>0</v>
          </cell>
          <cell r="M260">
            <v>4.2809406396473975</v>
          </cell>
          <cell r="N260">
            <v>1.0022528902259786</v>
          </cell>
        </row>
        <row r="261">
          <cell r="A261" t="str">
            <v>MRM033</v>
          </cell>
          <cell r="B261" t="str">
            <v>Hibiscus Extract  HIB222 [MRM033]</v>
          </cell>
          <cell r="D261" t="str">
            <v>MRM</v>
          </cell>
          <cell r="E261">
            <v>12.899999999999999</v>
          </cell>
          <cell r="F261">
            <v>0</v>
          </cell>
          <cell r="G261">
            <v>4.7325205200000005</v>
          </cell>
          <cell r="H261" t="str">
            <v>LB</v>
          </cell>
          <cell r="I261">
            <v>0</v>
          </cell>
          <cell r="J261">
            <v>1183.13013</v>
          </cell>
          <cell r="K261">
            <v>250</v>
          </cell>
          <cell r="L261">
            <v>61.049514707999997</v>
          </cell>
          <cell r="M261">
            <v>4.2809406396473975</v>
          </cell>
          <cell r="N261">
            <v>0.22089653700580569</v>
          </cell>
        </row>
        <row r="262">
          <cell r="A262" t="str">
            <v>MRM041</v>
          </cell>
          <cell r="B262" t="str">
            <v>Tumeric Root Powder [MRM041]</v>
          </cell>
          <cell r="D262" t="str">
            <v>MRM</v>
          </cell>
          <cell r="E262">
            <v>12.899999999999999</v>
          </cell>
          <cell r="F262">
            <v>2</v>
          </cell>
          <cell r="G262">
            <v>0</v>
          </cell>
          <cell r="H262" t="str">
            <v>LB</v>
          </cell>
          <cell r="I262">
            <v>110</v>
          </cell>
          <cell r="J262">
            <v>0</v>
          </cell>
          <cell r="K262">
            <v>55</v>
          </cell>
          <cell r="L262">
            <v>0</v>
          </cell>
          <cell r="M262">
            <v>4.2809406396473975</v>
          </cell>
          <cell r="N262">
            <v>1.0040751682082076</v>
          </cell>
        </row>
        <row r="263">
          <cell r="A263" t="str">
            <v>MRM043</v>
          </cell>
          <cell r="B263" t="str">
            <v>Protab VIT Premix w\o maltodextrin 001780 [MRM043]</v>
          </cell>
          <cell r="D263" t="str">
            <v>MRM</v>
          </cell>
          <cell r="E263">
            <v>12.899999999999999</v>
          </cell>
          <cell r="F263">
            <v>13</v>
          </cell>
          <cell r="G263">
            <v>33.580501436967374</v>
          </cell>
          <cell r="H263" t="str">
            <v>LB</v>
          </cell>
          <cell r="I263">
            <v>680.6</v>
          </cell>
          <cell r="J263">
            <v>1758.0684059999999</v>
          </cell>
          <cell r="K263">
            <v>52.353846153846156</v>
          </cell>
          <cell r="L263">
            <v>433.1884685368791</v>
          </cell>
          <cell r="M263">
            <v>4.2809406396473975</v>
          </cell>
          <cell r="N263">
            <v>1.054824780001276</v>
          </cell>
        </row>
        <row r="264">
          <cell r="A264" t="str">
            <v>MRM057</v>
          </cell>
          <cell r="B264" t="str">
            <v>Green Premix w/o WheatG &amp; Garlic  001973</v>
          </cell>
          <cell r="D264" t="str">
            <v>MRM</v>
          </cell>
          <cell r="E264">
            <v>12.899999999999999</v>
          </cell>
          <cell r="F264">
            <v>3</v>
          </cell>
          <cell r="G264">
            <v>7.3719723636363641</v>
          </cell>
          <cell r="H264" t="str">
            <v>LB</v>
          </cell>
          <cell r="I264">
            <v>165</v>
          </cell>
          <cell r="J264">
            <v>405.45848000000001</v>
          </cell>
          <cell r="K264">
            <v>55</v>
          </cell>
          <cell r="L264">
            <v>95.098443490909091</v>
          </cell>
          <cell r="M264">
            <v>4.2809406396473975</v>
          </cell>
          <cell r="N264">
            <v>1.0040751682082076</v>
          </cell>
        </row>
        <row r="265">
          <cell r="A265" t="str">
            <v>MRM061</v>
          </cell>
          <cell r="B265" t="str">
            <v>Honey</v>
          </cell>
          <cell r="D265" t="str">
            <v>MRM</v>
          </cell>
          <cell r="E265">
            <v>12.899999999999999</v>
          </cell>
          <cell r="F265">
            <v>1</v>
          </cell>
          <cell r="G265">
            <v>19.368566690909088</v>
          </cell>
          <cell r="H265" t="str">
            <v>LB</v>
          </cell>
          <cell r="I265">
            <v>660</v>
          </cell>
          <cell r="J265">
            <v>12783.254015999997</v>
          </cell>
          <cell r="K265">
            <v>660</v>
          </cell>
          <cell r="L265">
            <v>249.8545103127272</v>
          </cell>
          <cell r="M265">
            <v>4.2809406396473975</v>
          </cell>
          <cell r="N265">
            <v>8.3672930684017308E-2</v>
          </cell>
        </row>
        <row r="266">
          <cell r="A266" t="str">
            <v>PLP001</v>
          </cell>
          <cell r="B266" t="str">
            <v>Lemon Cells [PLP001]</v>
          </cell>
          <cell r="D266" t="str">
            <v>Pulp</v>
          </cell>
          <cell r="E266">
            <v>12.899999999999999</v>
          </cell>
          <cell r="F266">
            <v>33</v>
          </cell>
          <cell r="G266">
            <v>0</v>
          </cell>
          <cell r="H266" t="str">
            <v>LB</v>
          </cell>
          <cell r="I266">
            <v>57802</v>
          </cell>
          <cell r="J266">
            <v>0</v>
          </cell>
          <cell r="K266">
            <v>1751.5757575757575</v>
          </cell>
          <cell r="L266">
            <v>0</v>
          </cell>
          <cell r="M266">
            <v>4.2809406396473975</v>
          </cell>
          <cell r="N266">
            <v>3.1528259061933794E-2</v>
          </cell>
        </row>
        <row r="267">
          <cell r="A267" t="str">
            <v>PLP001REF</v>
          </cell>
          <cell r="B267" t="str">
            <v>Lemon Cells REFRIGERATED</v>
          </cell>
          <cell r="D267" t="str">
            <v>Pulp</v>
          </cell>
          <cell r="E267">
            <v>12.899999999999999</v>
          </cell>
          <cell r="F267">
            <v>7</v>
          </cell>
          <cell r="G267">
            <v>38.399824824242422</v>
          </cell>
          <cell r="H267" t="str">
            <v>LB</v>
          </cell>
          <cell r="I267">
            <v>9900</v>
          </cell>
          <cell r="J267">
            <v>54308.323679999994</v>
          </cell>
          <cell r="K267">
            <v>1414.2857142857142</v>
          </cell>
          <cell r="L267">
            <v>495.35774023272722</v>
          </cell>
          <cell r="M267">
            <v>4.2809406396473975</v>
          </cell>
          <cell r="N267">
            <v>3.9047367652541416E-2</v>
          </cell>
        </row>
        <row r="268">
          <cell r="A268" t="str">
            <v>PLP002CA</v>
          </cell>
          <cell r="B268" t="str">
            <v>Valencia Cells - California [PLP002CA]</v>
          </cell>
          <cell r="D268" t="str">
            <v>Pulp</v>
          </cell>
          <cell r="E268">
            <v>12.899999999999999</v>
          </cell>
          <cell r="F268">
            <v>30</v>
          </cell>
          <cell r="G268">
            <v>238.99171567822336</v>
          </cell>
          <cell r="H268" t="str">
            <v>LB</v>
          </cell>
          <cell r="I268">
            <v>45000</v>
          </cell>
          <cell r="J268">
            <v>358487.57351733505</v>
          </cell>
          <cell r="K268">
            <v>1500</v>
          </cell>
          <cell r="L268">
            <v>3082.9931322490811</v>
          </cell>
          <cell r="M268">
            <v>4.2809406396473975</v>
          </cell>
          <cell r="N268">
            <v>3.6816089500967618E-2</v>
          </cell>
        </row>
        <row r="269">
          <cell r="A269" t="str">
            <v>PUR001</v>
          </cell>
          <cell r="B269" t="str">
            <v>Strw Puree w/seeds [PUR001]</v>
          </cell>
          <cell r="D269" t="str">
            <v>Puree</v>
          </cell>
          <cell r="E269">
            <v>12.899999999999999</v>
          </cell>
          <cell r="F269">
            <v>24</v>
          </cell>
          <cell r="G269">
            <v>85.962636667968766</v>
          </cell>
          <cell r="H269" t="str">
            <v>LB</v>
          </cell>
          <cell r="I269">
            <v>41984</v>
          </cell>
          <cell r="J269">
            <v>150377.30574450002</v>
          </cell>
          <cell r="K269">
            <v>1749.3333333333333</v>
          </cell>
          <cell r="L269">
            <v>1108.918013016797</v>
          </cell>
          <cell r="M269">
            <v>4.2809406396473975</v>
          </cell>
          <cell r="N269">
            <v>3.1568674305326651E-2</v>
          </cell>
        </row>
        <row r="270">
          <cell r="A270" t="str">
            <v>PUR009</v>
          </cell>
          <cell r="B270" t="str">
            <v>Banana Puree [PUR009]</v>
          </cell>
          <cell r="D270" t="str">
            <v>Puree</v>
          </cell>
          <cell r="E270">
            <v>12.899999999999999</v>
          </cell>
          <cell r="F270">
            <v>37</v>
          </cell>
          <cell r="G270">
            <v>77.019914693635727</v>
          </cell>
          <cell r="H270" t="str">
            <v>LB</v>
          </cell>
          <cell r="I270">
            <v>76364</v>
          </cell>
          <cell r="J270">
            <v>158960.77745039997</v>
          </cell>
          <cell r="K270">
            <v>2063.8918918918921</v>
          </cell>
          <cell r="L270">
            <v>993.5568995479008</v>
          </cell>
          <cell r="M270">
            <v>4.2809406396473975</v>
          </cell>
          <cell r="N270">
            <v>2.6757280489546155E-2</v>
          </cell>
        </row>
        <row r="271">
          <cell r="A271" t="str">
            <v>PUR015</v>
          </cell>
          <cell r="B271" t="str">
            <v>Mango Puree 16 Brix [PUR015]</v>
          </cell>
          <cell r="D271" t="str">
            <v>Puree</v>
          </cell>
          <cell r="E271">
            <v>12.899999999999999</v>
          </cell>
          <cell r="F271">
            <v>0</v>
          </cell>
          <cell r="G271">
            <v>0</v>
          </cell>
          <cell r="H271" t="str">
            <v>LB</v>
          </cell>
          <cell r="I271">
            <v>0</v>
          </cell>
          <cell r="J271">
            <v>0</v>
          </cell>
          <cell r="K271">
            <v>1600</v>
          </cell>
          <cell r="L271">
            <v>0</v>
          </cell>
          <cell r="M271">
            <v>4.2809406396473975</v>
          </cell>
          <cell r="N271">
            <v>3.4515083907157143E-2</v>
          </cell>
        </row>
        <row r="272">
          <cell r="A272" t="str">
            <v>PUR017</v>
          </cell>
          <cell r="B272" t="str">
            <v>Strw Puree 7 Brix - seedless [PUR017]</v>
          </cell>
          <cell r="D272" t="str">
            <v>Puree</v>
          </cell>
          <cell r="E272">
            <v>12.899999999999999</v>
          </cell>
          <cell r="F272">
            <v>118</v>
          </cell>
          <cell r="G272">
            <v>224.67278399999995</v>
          </cell>
          <cell r="H272" t="str">
            <v>LB</v>
          </cell>
          <cell r="I272">
            <v>208152</v>
          </cell>
          <cell r="J272">
            <v>396322.7909759999</v>
          </cell>
          <cell r="K272">
            <v>1764</v>
          </cell>
          <cell r="L272">
            <v>2898.2789135999992</v>
          </cell>
          <cell r="M272">
            <v>4.2809406396473975</v>
          </cell>
          <cell r="N272">
            <v>3.1306198555244573E-2</v>
          </cell>
        </row>
        <row r="273">
          <cell r="A273" t="str">
            <v>PUR020</v>
          </cell>
          <cell r="B273" t="str">
            <v>Apple Puree .033 screen [PUR020]</v>
          </cell>
          <cell r="D273" t="str">
            <v>Puree</v>
          </cell>
          <cell r="E273">
            <v>12.899999999999999</v>
          </cell>
          <cell r="F273">
            <v>54</v>
          </cell>
          <cell r="G273">
            <v>93.091193140909098</v>
          </cell>
          <cell r="H273" t="str">
            <v>LB</v>
          </cell>
          <cell r="I273">
            <v>75768</v>
          </cell>
          <cell r="J273">
            <v>130617.28744260001</v>
          </cell>
          <cell r="K273">
            <v>1403.1111111111111</v>
          </cell>
          <cell r="L273">
            <v>1200.8763915177271</v>
          </cell>
          <cell r="M273">
            <v>4.2809406396473975</v>
          </cell>
          <cell r="N273">
            <v>3.93583471858618E-2</v>
          </cell>
        </row>
        <row r="274">
          <cell r="A274" t="str">
            <v>PUR032</v>
          </cell>
          <cell r="B274" t="str">
            <v>Aseptic Peach Puree [PUR032]</v>
          </cell>
          <cell r="D274" t="str">
            <v>Puree</v>
          </cell>
          <cell r="E274">
            <v>12.899999999999999</v>
          </cell>
          <cell r="F274">
            <v>33</v>
          </cell>
          <cell r="G274">
            <v>105.15229863844937</v>
          </cell>
          <cell r="H274" t="str">
            <v>LB</v>
          </cell>
          <cell r="I274">
            <v>62568</v>
          </cell>
          <cell r="J274">
            <v>199368.75821850001</v>
          </cell>
          <cell r="K274">
            <v>1896</v>
          </cell>
          <cell r="L274">
            <v>1356.4646524359966</v>
          </cell>
          <cell r="M274">
            <v>4.2809406396473975</v>
          </cell>
          <cell r="N274">
            <v>2.9126653086208557E-2</v>
          </cell>
        </row>
        <row r="275">
          <cell r="A275" t="str">
            <v>PUR035</v>
          </cell>
          <cell r="B275" t="str">
            <v>Carrot Puree w/Citric Acid 8 Brix [PUR035]</v>
          </cell>
          <cell r="D275" t="str">
            <v>Puree</v>
          </cell>
          <cell r="E275">
            <v>12.899999999999999</v>
          </cell>
          <cell r="F275">
            <v>3</v>
          </cell>
          <cell r="G275">
            <v>0</v>
          </cell>
          <cell r="H275" t="str">
            <v>LB</v>
          </cell>
          <cell r="I275">
            <v>4800</v>
          </cell>
          <cell r="J275">
            <v>0</v>
          </cell>
          <cell r="K275">
            <v>1600</v>
          </cell>
          <cell r="L275">
            <v>0</v>
          </cell>
          <cell r="M275">
            <v>4.2809406396473975</v>
          </cell>
          <cell r="N275">
            <v>3.4515083907157143E-2</v>
          </cell>
        </row>
        <row r="276">
          <cell r="A276" t="str">
            <v>PUR046</v>
          </cell>
          <cell r="B276" t="str">
            <v>Aseptic Mango Puree 16 Brix [PUR046]</v>
          </cell>
          <cell r="D276" t="str">
            <v>Puree</v>
          </cell>
          <cell r="E276">
            <v>12.899999999999999</v>
          </cell>
          <cell r="F276">
            <v>113</v>
          </cell>
          <cell r="G276">
            <v>232.1834071433008</v>
          </cell>
          <cell r="H276" t="str">
            <v>LB</v>
          </cell>
          <cell r="I276">
            <v>210451</v>
          </cell>
          <cell r="J276">
            <v>432417.96651960001</v>
          </cell>
          <cell r="K276">
            <v>1862.3982300884957</v>
          </cell>
          <cell r="L276">
            <v>2995.1659521485799</v>
          </cell>
          <cell r="M276">
            <v>4.2809406396473975</v>
          </cell>
          <cell r="N276">
            <v>2.9652162120465148E-2</v>
          </cell>
        </row>
        <row r="277">
          <cell r="A277" t="str">
            <v>PUR050</v>
          </cell>
          <cell r="B277" t="str">
            <v>Prickly Pear Puree Blend 12 Brix - Dom/Imp [PUR050]</v>
          </cell>
          <cell r="D277" t="str">
            <v>Puree</v>
          </cell>
          <cell r="E277">
            <v>12.899999999999999</v>
          </cell>
          <cell r="F277">
            <v>3</v>
          </cell>
          <cell r="G277">
            <v>46.965486511125</v>
          </cell>
          <cell r="H277" t="str">
            <v>LB</v>
          </cell>
          <cell r="I277">
            <v>4000</v>
          </cell>
          <cell r="J277">
            <v>62620.648681499995</v>
          </cell>
          <cell r="K277">
            <v>1333.3333333333333</v>
          </cell>
          <cell r="L277">
            <v>605.85477599351248</v>
          </cell>
          <cell r="M277">
            <v>4.2809406396473975</v>
          </cell>
          <cell r="N277">
            <v>4.1418100688588567E-2</v>
          </cell>
        </row>
        <row r="278">
          <cell r="A278" t="str">
            <v>PUR056</v>
          </cell>
          <cell r="B278" t="str">
            <v>Premium Imported Prickly Pear Puree [PUR056]</v>
          </cell>
          <cell r="D278" t="str">
            <v>Puree</v>
          </cell>
          <cell r="E278">
            <v>12.899999999999999</v>
          </cell>
          <cell r="F278">
            <v>0</v>
          </cell>
          <cell r="G278">
            <v>0</v>
          </cell>
          <cell r="H278" t="str">
            <v>LB</v>
          </cell>
          <cell r="I278">
            <v>0</v>
          </cell>
          <cell r="J278">
            <v>0</v>
          </cell>
          <cell r="K278">
            <v>2028</v>
          </cell>
          <cell r="L278">
            <v>0</v>
          </cell>
          <cell r="M278">
            <v>4.2809406396473975</v>
          </cell>
          <cell r="N278">
            <v>2.7230835429709777E-2</v>
          </cell>
        </row>
        <row r="279">
          <cell r="A279" t="str">
            <v>SEA001</v>
          </cell>
          <cell r="B279" t="str">
            <v>Sea Salt [SEA001]</v>
          </cell>
          <cell r="D279" t="str">
            <v>Seasoning</v>
          </cell>
          <cell r="E279">
            <v>39</v>
          </cell>
          <cell r="F279">
            <v>5</v>
          </cell>
          <cell r="G279">
            <v>39.467934</v>
          </cell>
          <cell r="H279" t="str">
            <v>LB</v>
          </cell>
          <cell r="I279">
            <v>250</v>
          </cell>
          <cell r="J279">
            <v>1973.3967</v>
          </cell>
          <cell r="K279">
            <v>50</v>
          </cell>
          <cell r="L279">
            <v>1539.2494260000001</v>
          </cell>
          <cell r="M279">
            <v>4.2809406396473975</v>
          </cell>
          <cell r="N279">
            <v>3.3391336989249703</v>
          </cell>
        </row>
        <row r="280">
          <cell r="A280" t="str">
            <v>SEA002</v>
          </cell>
          <cell r="B280" t="str">
            <v>Whole Celery Seed [SEA002]</v>
          </cell>
          <cell r="D280" t="str">
            <v>Seasoning</v>
          </cell>
          <cell r="E280">
            <v>39</v>
          </cell>
          <cell r="F280">
            <v>1</v>
          </cell>
          <cell r="G280">
            <v>0.69846283200000003</v>
          </cell>
          <cell r="H280" t="str">
            <v>LB</v>
          </cell>
          <cell r="I280">
            <v>500</v>
          </cell>
          <cell r="J280">
            <v>349.23141600000002</v>
          </cell>
          <cell r="K280">
            <v>500</v>
          </cell>
          <cell r="L280">
            <v>27.240050448000002</v>
          </cell>
          <cell r="M280">
            <v>4.2809406396473975</v>
          </cell>
          <cell r="N280">
            <v>0.33391336989249704</v>
          </cell>
        </row>
        <row r="281">
          <cell r="A281" t="str">
            <v>SEA009</v>
          </cell>
          <cell r="B281" t="str">
            <v>Balsamic Vinegar, 60 grain [SEA009]</v>
          </cell>
          <cell r="D281" t="str">
            <v>Seasoning</v>
          </cell>
          <cell r="E281">
            <v>39</v>
          </cell>
          <cell r="F281">
            <v>1</v>
          </cell>
          <cell r="G281">
            <v>1.379168864864865</v>
          </cell>
          <cell r="H281" t="str">
            <v>LB</v>
          </cell>
          <cell r="I281">
            <v>37</v>
          </cell>
          <cell r="J281">
            <v>51.029248000000003</v>
          </cell>
          <cell r="K281">
            <v>37</v>
          </cell>
          <cell r="L281">
            <v>53.787585729729734</v>
          </cell>
          <cell r="M281">
            <v>4.2809406396473975</v>
          </cell>
          <cell r="N281">
            <v>4.5123428363850948</v>
          </cell>
        </row>
        <row r="282">
          <cell r="A282" t="str">
            <v>SEA010</v>
          </cell>
          <cell r="B282" t="str">
            <v>Cholula Hot Sauce [SEA010]</v>
          </cell>
          <cell r="D282" t="str">
            <v>Seasoning</v>
          </cell>
          <cell r="E282">
            <v>39</v>
          </cell>
          <cell r="F282">
            <v>1</v>
          </cell>
          <cell r="G282">
            <v>2.5826980865979379</v>
          </cell>
          <cell r="H282" t="str">
            <v>LB</v>
          </cell>
          <cell r="I282">
            <v>1940</v>
          </cell>
          <cell r="J282">
            <v>5010.4342879999995</v>
          </cell>
          <cell r="K282">
            <v>1940</v>
          </cell>
          <cell r="L282">
            <v>100.72522537731957</v>
          </cell>
          <cell r="M282">
            <v>4.2809406396473975</v>
          </cell>
          <cell r="N282">
            <v>8.6060146879509539E-2</v>
          </cell>
        </row>
        <row r="283">
          <cell r="A283" t="str">
            <v>SWT004</v>
          </cell>
          <cell r="B283" t="str">
            <v>Organic Agave Syrup in Drums [SWT004]</v>
          </cell>
          <cell r="D283" t="str">
            <v>Sweetener</v>
          </cell>
          <cell r="E283">
            <v>4</v>
          </cell>
          <cell r="F283">
            <v>44</v>
          </cell>
          <cell r="G283">
            <v>44.936379361894325</v>
          </cell>
          <cell r="H283" t="str">
            <v>LB</v>
          </cell>
          <cell r="I283">
            <v>118586</v>
          </cell>
          <cell r="J283">
            <v>121109.67006840001</v>
          </cell>
          <cell r="K283">
            <v>2695.1363636363635</v>
          </cell>
          <cell r="L283">
            <v>179.7455174475773</v>
          </cell>
          <cell r="M283">
            <v>4.2809406396473975</v>
          </cell>
          <cell r="N283">
            <v>6.3535792806734522E-3</v>
          </cell>
        </row>
        <row r="284">
          <cell r="A284" t="str">
            <v>SWT008</v>
          </cell>
          <cell r="B284" t="str">
            <v>Evaporated Cane Juice [SWT008]</v>
          </cell>
          <cell r="D284" t="str">
            <v>Sweetener</v>
          </cell>
          <cell r="E284">
            <v>4</v>
          </cell>
          <cell r="F284">
            <v>35</v>
          </cell>
          <cell r="G284">
            <v>139.14724319999999</v>
          </cell>
          <cell r="H284" t="str">
            <v>LB</v>
          </cell>
          <cell r="I284">
            <v>87500</v>
          </cell>
          <cell r="J284">
            <v>347868.10800000001</v>
          </cell>
          <cell r="K284">
            <v>2500</v>
          </cell>
          <cell r="L284">
            <v>556.58897279999996</v>
          </cell>
          <cell r="M284">
            <v>4.2809406396473975</v>
          </cell>
          <cell r="N284">
            <v>6.8495050234358363E-3</v>
          </cell>
        </row>
        <row r="285">
          <cell r="A285" t="str">
            <v>SWT009</v>
          </cell>
          <cell r="B285" t="str">
            <v>Cane Sugar Totes [SWT009]</v>
          </cell>
          <cell r="D285" t="str">
            <v>Sweetener</v>
          </cell>
          <cell r="E285">
            <v>4</v>
          </cell>
          <cell r="F285">
            <v>126</v>
          </cell>
          <cell r="G285">
            <v>1864.5375238403171</v>
          </cell>
          <cell r="H285" t="str">
            <v>LB</v>
          </cell>
          <cell r="I285">
            <v>277073</v>
          </cell>
          <cell r="J285">
            <v>4100103.2170080016</v>
          </cell>
          <cell r="K285">
            <v>2198.9920634920636</v>
          </cell>
          <cell r="L285">
            <v>7458.1500953612685</v>
          </cell>
          <cell r="M285">
            <v>4.2809406396473975</v>
          </cell>
          <cell r="N285">
            <v>7.7870961168438942E-3</v>
          </cell>
        </row>
        <row r="286">
          <cell r="A286" t="str">
            <v>SWT012</v>
          </cell>
          <cell r="B286" t="str">
            <v>Molasses [SWT012]</v>
          </cell>
          <cell r="D286" t="str">
            <v>Sweetener</v>
          </cell>
          <cell r="E286">
            <v>4</v>
          </cell>
          <cell r="F286">
            <v>4</v>
          </cell>
          <cell r="G286">
            <v>58.138583430508476</v>
          </cell>
          <cell r="H286" t="str">
            <v>LB</v>
          </cell>
          <cell r="I286">
            <v>236</v>
          </cell>
          <cell r="J286">
            <v>3430.1764223999999</v>
          </cell>
          <cell r="K286">
            <v>59</v>
          </cell>
          <cell r="L286">
            <v>232.5543337220339</v>
          </cell>
          <cell r="M286">
            <v>4.2809406396473975</v>
          </cell>
          <cell r="N286">
            <v>0.29023326370490832</v>
          </cell>
        </row>
        <row r="287">
          <cell r="A287" t="str">
            <v>SWT013</v>
          </cell>
          <cell r="B287" t="str">
            <v>Tasteva Stevia [SWT013]</v>
          </cell>
          <cell r="D287" t="str">
            <v>Sweetener</v>
          </cell>
          <cell r="E287">
            <v>4</v>
          </cell>
          <cell r="F287">
            <v>5</v>
          </cell>
          <cell r="G287">
            <v>8.8090632000000006</v>
          </cell>
          <cell r="H287" t="str">
            <v>LB</v>
          </cell>
          <cell r="I287">
            <v>110</v>
          </cell>
          <cell r="J287">
            <v>193.79939040000002</v>
          </cell>
          <cell r="K287">
            <v>22</v>
          </cell>
          <cell r="L287">
            <v>35.236252800000003</v>
          </cell>
          <cell r="M287">
            <v>4.2809406396473975</v>
          </cell>
          <cell r="N287">
            <v>0.77835284357225409</v>
          </cell>
        </row>
        <row r="288">
          <cell r="A288" t="str">
            <v>VEG001</v>
          </cell>
          <cell r="B288" t="str">
            <v>Tomato Paste 37% NTSS .33 Screen [VEG001]</v>
          </cell>
          <cell r="D288" t="str">
            <v>Veggie</v>
          </cell>
          <cell r="E288">
            <v>12.899999999999999</v>
          </cell>
          <cell r="F288">
            <v>13</v>
          </cell>
          <cell r="G288">
            <v>59.217578876404495</v>
          </cell>
          <cell r="H288" t="str">
            <v>LB</v>
          </cell>
          <cell r="I288">
            <v>6942</v>
          </cell>
          <cell r="J288">
            <v>31622.187120000002</v>
          </cell>
          <cell r="K288">
            <v>534</v>
          </cell>
          <cell r="L288">
            <v>763.90676750561795</v>
          </cell>
          <cell r="M288">
            <v>4.2809406396473975</v>
          </cell>
          <cell r="N288">
            <v>0.10341598174429106</v>
          </cell>
        </row>
        <row r="289">
          <cell r="A289" t="str">
            <v>VEG013</v>
          </cell>
          <cell r="B289" t="str">
            <v>Horseradish [VEG013]</v>
          </cell>
          <cell r="D289" t="str">
            <v>Veggie</v>
          </cell>
          <cell r="E289">
            <v>12.899999999999999</v>
          </cell>
          <cell r="F289">
            <v>1</v>
          </cell>
          <cell r="G289">
            <v>0.89699849999999981</v>
          </cell>
          <cell r="H289" t="str">
            <v>LB</v>
          </cell>
          <cell r="I289">
            <v>480</v>
          </cell>
          <cell r="J289">
            <v>430.55927999999989</v>
          </cell>
          <cell r="K289">
            <v>480</v>
          </cell>
          <cell r="L289">
            <v>11.571280649999997</v>
          </cell>
          <cell r="M289">
            <v>4.2809406396473975</v>
          </cell>
          <cell r="N289">
            <v>0.1150502796905238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24"/>
      <sheetName val="TB 2024"/>
      <sheetName val="Other data 2024"/>
      <sheetName val="2023"/>
      <sheetName val="TB 2023"/>
      <sheetName val="Other data 2023"/>
      <sheetName val="2022"/>
      <sheetName val="TB 2022"/>
      <sheetName val="Other data 2022"/>
      <sheetName val="2021"/>
      <sheetName val="2020 no COVID"/>
      <sheetName val="2020 Q4"/>
      <sheetName val="2020"/>
      <sheetName val="2019"/>
      <sheetName val="2019 V2"/>
      <sheetName val="2018"/>
      <sheetName val="2017"/>
      <sheetName val="2016"/>
      <sheetName val="Other data 2021"/>
      <sheetName val="TB 2021"/>
      <sheetName val="Other data 2020"/>
      <sheetName val="Other data 2019"/>
      <sheetName val="Other data 2018"/>
      <sheetName val="TB V3"/>
      <sheetName val="TB 2020"/>
    </sheetNames>
    <sheetDataSet>
      <sheetData sheetId="0">
        <row r="41">
          <cell r="L41">
            <v>0.69981901303574467</v>
          </cell>
          <cell r="N41">
            <v>1.24405058563681</v>
          </cell>
          <cell r="Q41">
            <v>0.93172360877594329</v>
          </cell>
          <cell r="S41">
            <v>1.6517687712885343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Detail"/>
      <sheetName val="PT"/>
      <sheetName val="FL+AZ - RM"/>
      <sheetName val="AZ WIP"/>
      <sheetName val="FL WIP"/>
      <sheetName val="TX WIP"/>
      <sheetName val="AZ DL&amp;OH FG"/>
      <sheetName val="FL DL&amp;OH FG"/>
      <sheetName val="TX DL&amp;OH FG"/>
      <sheetName val="AZ Inv Value"/>
      <sheetName val="FL Inv Value"/>
      <sheetName val="Recap"/>
      <sheetName val="Summary"/>
      <sheetName val="Monthly JE"/>
      <sheetName val="Summary 2"/>
      <sheetName val="Annual Rate ADJ JE"/>
    </sheetNames>
    <sheetDataSet>
      <sheetData sheetId="0"/>
      <sheetData sheetId="1"/>
      <sheetData sheetId="2"/>
      <sheetData sheetId="3"/>
      <sheetData sheetId="4">
        <row r="217">
          <cell r="G217">
            <v>163356</v>
          </cell>
        </row>
        <row r="218">
          <cell r="G218">
            <v>113832</v>
          </cell>
        </row>
        <row r="219">
          <cell r="G219">
            <v>365899</v>
          </cell>
        </row>
        <row r="220">
          <cell r="G220">
            <v>43020</v>
          </cell>
        </row>
        <row r="221">
          <cell r="G221">
            <v>130</v>
          </cell>
        </row>
      </sheetData>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vJALO2V0-U-MPZ9EPWNVdl7pZWXS939Fis9l81SI_n1L0ThUt9wKQJskSjRGTkfR" itemId="01WXXYHZ3EZMYKW6BZTZCLC5KD5ZMBMTGQ">
      <xxl21:absoluteUrl r:id="rId2"/>
    </xxl21:alternateUrls>
    <sheetNames>
      <sheetName val="Alameda Capitalization"/>
      <sheetName val="FY23 TRF TO 11"/>
      <sheetName val="FY23 REC INTO 11"/>
      <sheetName val="Tables"/>
      <sheetName val="9.30.23 inventory"/>
    </sheetNames>
    <sheetDataSet>
      <sheetData sheetId="0">
        <row r="1">
          <cell r="A1" t="str">
            <v>Total cost in budget</v>
          </cell>
          <cell r="B1">
            <v>971910.4800000001</v>
          </cell>
          <cell r="C1"/>
        </row>
        <row r="2">
          <cell r="A2" t="str">
            <v>Total cost here</v>
          </cell>
          <cell r="B2">
            <v>971910.48000000033</v>
          </cell>
          <cell r="C2"/>
          <cell r="G2" t="str">
            <v>DETERMINATION OF THE COST OF STORING 1 PALLET FOR 1 WEEK</v>
          </cell>
          <cell r="H2"/>
          <cell r="I2"/>
          <cell r="J2"/>
          <cell r="K2"/>
          <cell r="L2"/>
        </row>
        <row r="3">
          <cell r="A3" t="str">
            <v>Difference</v>
          </cell>
          <cell r="B3">
            <v>0</v>
          </cell>
          <cell r="C3"/>
        </row>
        <row r="4">
          <cell r="A4" t="str">
            <v>Difference %</v>
          </cell>
          <cell r="B4">
            <v>0</v>
          </cell>
          <cell r="C4"/>
          <cell r="G4" t="str">
            <v>FORMULA ADDS TOGETHER ALL TRF AND REC TRANSACTIONS INTO 11 FOR EACH ITEM</v>
          </cell>
        </row>
        <row r="5">
          <cell r="G5" t="str">
            <v>^</v>
          </cell>
          <cell r="M5" t="str">
            <v>for info</v>
          </cell>
        </row>
        <row r="6">
          <cell r="A6" t="str">
            <v>SKU</v>
          </cell>
          <cell r="B6" t="str">
            <v>Description</v>
          </cell>
          <cell r="C6" t="str">
            <v>FG prod line</v>
          </cell>
          <cell r="D6" t="str">
            <v>Shelf Life</v>
          </cell>
          <cell r="E6" t="str">
            <v>Item Type</v>
          </cell>
          <cell r="F6" t="str">
            <v>UM</v>
          </cell>
          <cell r="G6" t="str">
            <v>Stored Units</v>
          </cell>
          <cell r="H6" t="str">
            <v>Units/PAL</v>
          </cell>
          <cell r="I6" t="str">
            <v>Stored pallets</v>
          </cell>
          <cell r="J6" t="str">
            <v># weeks of storage</v>
          </cell>
          <cell r="K6" t="str">
            <v># of pallets.week used</v>
          </cell>
          <cell r="L6" t="str">
            <v>Cost per pallet per week</v>
          </cell>
          <cell r="M6" t="str">
            <v>Unit Cost</v>
          </cell>
        </row>
        <row r="7">
          <cell r="A7">
            <v>1390</v>
          </cell>
          <cell r="B7" t="str">
            <v>6+1 Blueberry Lavender Black Tea with Lemon FZN 48 GAL Drum</v>
          </cell>
          <cell r="D7">
            <v>547</v>
          </cell>
          <cell r="E7" t="str">
            <v>FG Frozen</v>
          </cell>
          <cell r="F7" t="str">
            <v>CS</v>
          </cell>
          <cell r="G7">
            <v>122</v>
          </cell>
          <cell r="H7">
            <v>4</v>
          </cell>
          <cell r="I7">
            <v>30.5</v>
          </cell>
          <cell r="J7">
            <v>52</v>
          </cell>
          <cell r="K7">
            <v>1586</v>
          </cell>
          <cell r="L7">
            <v>3.4991264517144254</v>
          </cell>
          <cell r="M7">
            <v>45.488643872287533</v>
          </cell>
        </row>
        <row r="8">
          <cell r="A8">
            <v>1391</v>
          </cell>
          <cell r="B8" t="str">
            <v>6+1 Peach Honey Chamomile Tea with Lemon FZN 48 GAL Drum</v>
          </cell>
          <cell r="D8">
            <v>547</v>
          </cell>
          <cell r="E8" t="str">
            <v>FG Frozen</v>
          </cell>
          <cell r="F8" t="str">
            <v>CS</v>
          </cell>
          <cell r="G8">
            <v>222</v>
          </cell>
          <cell r="H8">
            <v>4</v>
          </cell>
          <cell r="I8">
            <v>55.5</v>
          </cell>
          <cell r="J8">
            <v>52</v>
          </cell>
          <cell r="K8">
            <v>2886</v>
          </cell>
          <cell r="L8">
            <v>3.4991264517144254</v>
          </cell>
          <cell r="M8">
            <v>45.488643872287533</v>
          </cell>
        </row>
        <row r="9">
          <cell r="A9">
            <v>1701</v>
          </cell>
          <cell r="B9" t="str">
            <v>Cava Blueberry Lavender Puree FZN 6pk 30.5oz</v>
          </cell>
          <cell r="D9">
            <v>547</v>
          </cell>
          <cell r="E9" t="str">
            <v>FG Frozen</v>
          </cell>
          <cell r="F9" t="str">
            <v>CS</v>
          </cell>
          <cell r="G9">
            <v>10800</v>
          </cell>
          <cell r="H9">
            <v>75</v>
          </cell>
          <cell r="I9">
            <v>144</v>
          </cell>
          <cell r="J9">
            <v>10</v>
          </cell>
          <cell r="K9">
            <v>1440</v>
          </cell>
          <cell r="L9">
            <v>3.4991264517144254</v>
          </cell>
          <cell r="M9">
            <v>0.46655019356192334</v>
          </cell>
        </row>
        <row r="10">
          <cell r="A10">
            <v>1953</v>
          </cell>
          <cell r="B10" t="str">
            <v>Panera 5+1 Prickly Pear,Hib,Lime Agua Fresca NSA 61.5oz 6pk FZN [1953]</v>
          </cell>
          <cell r="D10">
            <v>365</v>
          </cell>
          <cell r="E10" t="str">
            <v>FG Frozen</v>
          </cell>
          <cell r="F10" t="str">
            <v>CS</v>
          </cell>
          <cell r="G10">
            <v>0</v>
          </cell>
          <cell r="H10">
            <v>75</v>
          </cell>
          <cell r="I10">
            <v>0</v>
          </cell>
          <cell r="J10">
            <v>10</v>
          </cell>
          <cell r="K10">
            <v>0</v>
          </cell>
          <cell r="L10">
            <v>3.4991264517144254</v>
          </cell>
          <cell r="M10">
            <v>0.46655019356192334</v>
          </cell>
        </row>
        <row r="11">
          <cell r="A11">
            <v>2520</v>
          </cell>
          <cell r="B11" t="str">
            <v>SO Mixed Berry Omija 6+1 FZN HGln 6pk</v>
          </cell>
          <cell r="D11">
            <v>547</v>
          </cell>
          <cell r="E11" t="str">
            <v>FG Frozen</v>
          </cell>
          <cell r="F11" t="str">
            <v>CS</v>
          </cell>
          <cell r="G11">
            <v>120</v>
          </cell>
          <cell r="H11">
            <v>60</v>
          </cell>
          <cell r="I11">
            <v>2</v>
          </cell>
          <cell r="J11">
            <v>10</v>
          </cell>
          <cell r="K11">
            <v>20</v>
          </cell>
          <cell r="L11">
            <v>3.4991264517144254</v>
          </cell>
          <cell r="M11">
            <v>0.58318774195240419</v>
          </cell>
        </row>
        <row r="12">
          <cell r="A12">
            <v>2752</v>
          </cell>
          <cell r="B12" t="str">
            <v>Panera Mango Fruit Base No Refined Sugar Added FZN [2752]</v>
          </cell>
          <cell r="D12">
            <v>365</v>
          </cell>
          <cell r="E12" t="str">
            <v>FG Frozen</v>
          </cell>
          <cell r="F12" t="str">
            <v>CS</v>
          </cell>
          <cell r="G12">
            <v>10612</v>
          </cell>
          <cell r="H12">
            <v>75</v>
          </cell>
          <cell r="I12">
            <v>141.49333333333334</v>
          </cell>
          <cell r="J12">
            <v>10</v>
          </cell>
          <cell r="K12">
            <v>1414.9333333333334</v>
          </cell>
          <cell r="L12">
            <v>3.4991264517144254</v>
          </cell>
          <cell r="M12">
            <v>0.46655019356192334</v>
          </cell>
        </row>
        <row r="13">
          <cell r="A13">
            <v>2753</v>
          </cell>
          <cell r="B13" t="str">
            <v>Panera Strawberry Fruit Base No Refined Sugar Added FZN [2753]</v>
          </cell>
          <cell r="D13">
            <v>365</v>
          </cell>
          <cell r="E13" t="str">
            <v>FG Frozen</v>
          </cell>
          <cell r="F13" t="str">
            <v>CS</v>
          </cell>
          <cell r="G13">
            <v>17998</v>
          </cell>
          <cell r="H13">
            <v>75</v>
          </cell>
          <cell r="I13">
            <v>239.97333333333333</v>
          </cell>
          <cell r="J13">
            <v>10</v>
          </cell>
          <cell r="K13">
            <v>2399.7333333333331</v>
          </cell>
          <cell r="L13">
            <v>3.4991264517144254</v>
          </cell>
          <cell r="M13">
            <v>0.46655019356192334</v>
          </cell>
        </row>
        <row r="14">
          <cell r="A14">
            <v>2762</v>
          </cell>
          <cell r="B14" t="str">
            <v>Panera Peach Mango Base Fzn 61.5 oz 6pk [2762]</v>
          </cell>
          <cell r="D14">
            <v>365</v>
          </cell>
          <cell r="E14" t="str">
            <v>FG Frozen</v>
          </cell>
          <cell r="F14" t="str">
            <v>CS</v>
          </cell>
          <cell r="G14">
            <v>16261</v>
          </cell>
          <cell r="H14">
            <v>75</v>
          </cell>
          <cell r="I14">
            <v>216.81333333333333</v>
          </cell>
          <cell r="J14">
            <v>10</v>
          </cell>
          <cell r="K14">
            <v>2168.1333333333332</v>
          </cell>
          <cell r="L14">
            <v>3.4991264517144254</v>
          </cell>
          <cell r="M14">
            <v>0.46655019356192334</v>
          </cell>
        </row>
        <row r="15">
          <cell r="A15">
            <v>4202</v>
          </cell>
          <cell r="B15" t="str">
            <v>SOI Lemon Juice FZN HGln 6pk [4202]</v>
          </cell>
          <cell r="C15" t="str">
            <v>Lemon Juice</v>
          </cell>
          <cell r="D15">
            <v>547</v>
          </cell>
          <cell r="E15" t="str">
            <v>FG Frozen</v>
          </cell>
          <cell r="F15" t="str">
            <v>CS</v>
          </cell>
          <cell r="G15">
            <v>1501</v>
          </cell>
          <cell r="H15">
            <v>60</v>
          </cell>
          <cell r="I15">
            <v>25.016666666666666</v>
          </cell>
          <cell r="J15">
            <v>10</v>
          </cell>
          <cell r="K15">
            <v>250.16666666666666</v>
          </cell>
          <cell r="L15">
            <v>3.4991264517144254</v>
          </cell>
          <cell r="M15">
            <v>0.58318774195240419</v>
          </cell>
        </row>
        <row r="16">
          <cell r="A16">
            <v>4225</v>
          </cell>
          <cell r="B16" t="str">
            <v>SOI Lemon Juice FZN Qt 6pk [4225]</v>
          </cell>
          <cell r="C16" t="str">
            <v>Lemon Juice</v>
          </cell>
          <cell r="D16">
            <v>547</v>
          </cell>
          <cell r="E16" t="str">
            <v>FG Frozen</v>
          </cell>
          <cell r="F16" t="str">
            <v>CS</v>
          </cell>
          <cell r="G16">
            <v>2638</v>
          </cell>
          <cell r="H16">
            <v>120</v>
          </cell>
          <cell r="I16">
            <v>21.983333333333334</v>
          </cell>
          <cell r="J16">
            <v>10</v>
          </cell>
          <cell r="K16">
            <v>219.83333333333334</v>
          </cell>
          <cell r="L16">
            <v>3.4991264517144254</v>
          </cell>
          <cell r="M16">
            <v>0.2915938709762021</v>
          </cell>
        </row>
        <row r="17">
          <cell r="A17">
            <v>4402</v>
          </cell>
          <cell r="B17" t="str">
            <v>High-Acid Lemon Juice with Concentrate Gln 4pk RTS</v>
          </cell>
          <cell r="C17" t="str">
            <v>Lemon Juice</v>
          </cell>
          <cell r="D17">
            <v>60</v>
          </cell>
          <cell r="E17" t="str">
            <v>FG Refrigerated 60</v>
          </cell>
          <cell r="F17" t="str">
            <v>CS</v>
          </cell>
          <cell r="G17">
            <v>742</v>
          </cell>
          <cell r="H17">
            <v>60</v>
          </cell>
          <cell r="I17">
            <v>12.366666666666667</v>
          </cell>
          <cell r="J17">
            <v>2</v>
          </cell>
          <cell r="K17">
            <v>24.733333333333334</v>
          </cell>
          <cell r="L17">
            <v>3.4991264517144254</v>
          </cell>
          <cell r="M17">
            <v>0.11663754839048085</v>
          </cell>
        </row>
        <row r="18">
          <cell r="A18">
            <v>4955</v>
          </cell>
          <cell r="B18" t="str">
            <v>High-Acid Lemon Juice with Concentrate Drum REF</v>
          </cell>
          <cell r="C18" t="str">
            <v>Lemon Juice</v>
          </cell>
          <cell r="D18">
            <v>50</v>
          </cell>
          <cell r="E18" t="str">
            <v>FG Refrigerated 50</v>
          </cell>
          <cell r="F18" t="str">
            <v>DR</v>
          </cell>
          <cell r="G18">
            <v>204</v>
          </cell>
          <cell r="H18">
            <v>4</v>
          </cell>
          <cell r="I18">
            <v>51</v>
          </cell>
          <cell r="J18">
            <v>1.5</v>
          </cell>
          <cell r="K18">
            <v>76.5</v>
          </cell>
          <cell r="L18">
            <v>3.4991264517144254</v>
          </cell>
          <cell r="M18">
            <v>1.3121724193929096</v>
          </cell>
        </row>
        <row r="19">
          <cell r="A19">
            <v>4502</v>
          </cell>
          <cell r="B19" t="str">
            <v>SOI Lemon Juice Gln 4pk [4502]</v>
          </cell>
          <cell r="C19" t="str">
            <v>Lemon Juice</v>
          </cell>
          <cell r="D19">
            <v>60</v>
          </cell>
          <cell r="E19" t="str">
            <v>FG Refrigerated 60</v>
          </cell>
          <cell r="F19" t="str">
            <v>CS</v>
          </cell>
          <cell r="G19">
            <v>106079</v>
          </cell>
          <cell r="H19">
            <v>60</v>
          </cell>
          <cell r="I19">
            <v>1767.9833333333333</v>
          </cell>
          <cell r="J19">
            <v>2</v>
          </cell>
          <cell r="K19">
            <v>3535.9666666666667</v>
          </cell>
          <cell r="L19">
            <v>3.4991264517144254</v>
          </cell>
          <cell r="M19">
            <v>0.11663754839048085</v>
          </cell>
        </row>
        <row r="20">
          <cell r="A20">
            <v>4506</v>
          </cell>
          <cell r="B20" t="str">
            <v>Markon Lemon Juice HGln 6pk [4506]</v>
          </cell>
          <cell r="C20" t="str">
            <v>Lemon Juice</v>
          </cell>
          <cell r="D20">
            <v>60</v>
          </cell>
          <cell r="E20" t="str">
            <v>FG Refrigerated 60</v>
          </cell>
          <cell r="F20" t="str">
            <v>CS</v>
          </cell>
          <cell r="G20">
            <v>63341</v>
          </cell>
          <cell r="H20">
            <v>75</v>
          </cell>
          <cell r="I20">
            <v>844.54666666666662</v>
          </cell>
          <cell r="J20">
            <v>2</v>
          </cell>
          <cell r="K20">
            <v>1689.0933333333332</v>
          </cell>
          <cell r="L20">
            <v>3.4991264517144254</v>
          </cell>
          <cell r="M20">
            <v>9.3310038712384677E-2</v>
          </cell>
        </row>
        <row r="21">
          <cell r="A21">
            <v>4508</v>
          </cell>
          <cell r="B21" t="str">
            <v>Markon Lemon Juice Gln 4pk [4508]</v>
          </cell>
          <cell r="C21" t="str">
            <v>Lemon Juice</v>
          </cell>
          <cell r="D21">
            <v>60</v>
          </cell>
          <cell r="E21" t="str">
            <v>FG Refrigerated 60</v>
          </cell>
          <cell r="F21" t="str">
            <v>CS</v>
          </cell>
          <cell r="G21">
            <v>28529</v>
          </cell>
          <cell r="H21">
            <v>60</v>
          </cell>
          <cell r="I21">
            <v>475.48333333333335</v>
          </cell>
          <cell r="J21">
            <v>2</v>
          </cell>
          <cell r="K21">
            <v>950.9666666666667</v>
          </cell>
          <cell r="L21">
            <v>3.4991264517144254</v>
          </cell>
          <cell r="M21">
            <v>0.11663754839048085</v>
          </cell>
        </row>
        <row r="22">
          <cell r="A22">
            <v>4510</v>
          </cell>
          <cell r="B22" t="str">
            <v>Markon Lemon Juice Qt 16pk [4510]</v>
          </cell>
          <cell r="C22" t="str">
            <v>Lemon Juice</v>
          </cell>
          <cell r="D22">
            <v>60</v>
          </cell>
          <cell r="E22" t="str">
            <v>FG Refrigerated 60</v>
          </cell>
          <cell r="F22" t="str">
            <v>CS</v>
          </cell>
          <cell r="G22">
            <v>0</v>
          </cell>
          <cell r="H22">
            <v>60</v>
          </cell>
          <cell r="I22">
            <v>0</v>
          </cell>
          <cell r="J22">
            <v>2</v>
          </cell>
          <cell r="K22">
            <v>0</v>
          </cell>
          <cell r="L22">
            <v>3.4991264517144254</v>
          </cell>
          <cell r="M22">
            <v>0.11663754839048085</v>
          </cell>
        </row>
        <row r="23">
          <cell r="A23">
            <v>4513</v>
          </cell>
          <cell r="B23" t="str">
            <v>SOI Lemon Juice HGln 6pk [4513]</v>
          </cell>
          <cell r="C23" t="str">
            <v>Lemon Juice</v>
          </cell>
          <cell r="D23">
            <v>60</v>
          </cell>
          <cell r="E23" t="str">
            <v>FG Refrigerated 60</v>
          </cell>
          <cell r="F23" t="str">
            <v>CS</v>
          </cell>
          <cell r="G23">
            <v>15193</v>
          </cell>
          <cell r="H23">
            <v>75</v>
          </cell>
          <cell r="I23">
            <v>202.57333333333332</v>
          </cell>
          <cell r="J23">
            <v>2</v>
          </cell>
          <cell r="K23">
            <v>405.14666666666665</v>
          </cell>
          <cell r="L23">
            <v>3.4991264517144254</v>
          </cell>
          <cell r="M23">
            <v>9.3310038712384677E-2</v>
          </cell>
        </row>
        <row r="24">
          <cell r="A24">
            <v>4514</v>
          </cell>
          <cell r="B24" t="str">
            <v>SYSCO Lemon Juice HGln 6pk [4514]</v>
          </cell>
          <cell r="C24" t="str">
            <v>Lemon Juice</v>
          </cell>
          <cell r="D24">
            <v>60</v>
          </cell>
          <cell r="E24" t="str">
            <v>FG Refrigerated 60</v>
          </cell>
          <cell r="F24" t="str">
            <v>CS</v>
          </cell>
          <cell r="G24">
            <v>57041</v>
          </cell>
          <cell r="H24">
            <v>75</v>
          </cell>
          <cell r="I24">
            <v>760.54666666666662</v>
          </cell>
          <cell r="J24">
            <v>2</v>
          </cell>
          <cell r="K24">
            <v>1521.0933333333332</v>
          </cell>
          <cell r="L24">
            <v>3.4991264517144254</v>
          </cell>
          <cell r="M24">
            <v>9.3310038712384677E-2</v>
          </cell>
        </row>
        <row r="25">
          <cell r="A25">
            <v>4516</v>
          </cell>
          <cell r="B25" t="str">
            <v>SOI Lemon Juice Qt 6pk [4516]</v>
          </cell>
          <cell r="C25" t="str">
            <v>Lemon Juice</v>
          </cell>
          <cell r="D25">
            <v>60</v>
          </cell>
          <cell r="E25" t="str">
            <v>FG Refrigerated 60</v>
          </cell>
          <cell r="F25" t="str">
            <v>CS</v>
          </cell>
          <cell r="G25">
            <v>39191</v>
          </cell>
          <cell r="H25">
            <v>120</v>
          </cell>
          <cell r="I25">
            <v>326.59166666666664</v>
          </cell>
          <cell r="J25">
            <v>2</v>
          </cell>
          <cell r="K25">
            <v>653.18333333333328</v>
          </cell>
          <cell r="L25">
            <v>3.4991264517144254</v>
          </cell>
          <cell r="M25">
            <v>5.8318774195240425E-2</v>
          </cell>
        </row>
        <row r="26">
          <cell r="A26">
            <v>4591</v>
          </cell>
          <cell r="B26" t="str">
            <v>SYSCO Lemon Juice Gln 4pk [4591]</v>
          </cell>
          <cell r="C26" t="str">
            <v>Lemon Juice</v>
          </cell>
          <cell r="D26">
            <v>60</v>
          </cell>
          <cell r="E26" t="str">
            <v>FG Refrigerated 60</v>
          </cell>
          <cell r="F26" t="str">
            <v>CS</v>
          </cell>
          <cell r="G26">
            <v>63978</v>
          </cell>
          <cell r="H26">
            <v>60</v>
          </cell>
          <cell r="I26">
            <v>1066.3</v>
          </cell>
          <cell r="J26">
            <v>2</v>
          </cell>
          <cell r="K26">
            <v>2132.6</v>
          </cell>
          <cell r="L26">
            <v>3.4991264517144254</v>
          </cell>
          <cell r="M26">
            <v>0.11663754839048085</v>
          </cell>
        </row>
        <row r="27">
          <cell r="A27">
            <v>4617</v>
          </cell>
          <cell r="B27" t="str">
            <v>Meyer Lemon Juice Blend 12pk Qt Rykoff Sexton [4617]</v>
          </cell>
          <cell r="C27" t="str">
            <v>Lemon Juice</v>
          </cell>
          <cell r="D27">
            <v>50</v>
          </cell>
          <cell r="E27" t="str">
            <v>FG Refrigerated 50</v>
          </cell>
          <cell r="F27" t="str">
            <v>CS</v>
          </cell>
          <cell r="G27">
            <v>6339</v>
          </cell>
          <cell r="H27">
            <v>75</v>
          </cell>
          <cell r="I27">
            <v>84.52</v>
          </cell>
          <cell r="J27">
            <v>1.5</v>
          </cell>
          <cell r="K27">
            <v>126.78</v>
          </cell>
          <cell r="L27">
            <v>3.4991264517144254</v>
          </cell>
          <cell r="M27">
            <v>6.9982529034288518E-2</v>
          </cell>
        </row>
        <row r="28">
          <cell r="A28">
            <v>4800</v>
          </cell>
          <cell r="B28" t="str">
            <v>SOI CP Lemon Oil Drum [4800]</v>
          </cell>
          <cell r="C28" t="str">
            <v>Lemon Juice</v>
          </cell>
          <cell r="D28">
            <v>730</v>
          </cell>
          <cell r="E28" t="str">
            <v>Oil</v>
          </cell>
          <cell r="F28" t="str">
            <v>LB</v>
          </cell>
          <cell r="G28">
            <v>33565</v>
          </cell>
          <cell r="H28">
            <v>1600</v>
          </cell>
          <cell r="I28">
            <v>20.978124999999999</v>
          </cell>
          <cell r="J28">
            <v>4</v>
          </cell>
          <cell r="K28">
            <v>83.912499999999994</v>
          </cell>
          <cell r="L28">
            <v>3.4991264517144254</v>
          </cell>
          <cell r="M28">
            <v>8.747816129286063E-3</v>
          </cell>
        </row>
        <row r="29">
          <cell r="A29">
            <v>4845</v>
          </cell>
          <cell r="B29" t="str">
            <v>SOI CP Meyer Lemon Oil Drum</v>
          </cell>
          <cell r="C29" t="str">
            <v>Lemon Juice</v>
          </cell>
          <cell r="D29">
            <v>730</v>
          </cell>
          <cell r="E29" t="str">
            <v>Oil</v>
          </cell>
          <cell r="F29" t="str">
            <v>LB</v>
          </cell>
          <cell r="G29">
            <v>1887</v>
          </cell>
          <cell r="H29">
            <v>4</v>
          </cell>
          <cell r="I29">
            <v>471.75</v>
          </cell>
          <cell r="J29">
            <v>4</v>
          </cell>
          <cell r="K29">
            <v>1887</v>
          </cell>
          <cell r="L29">
            <v>3.4991264517144254</v>
          </cell>
          <cell r="M29">
            <v>3.4991264517144254</v>
          </cell>
        </row>
        <row r="30">
          <cell r="A30">
            <v>4951</v>
          </cell>
          <cell r="B30" t="str">
            <v>Past Lemon Juice Drum FZN</v>
          </cell>
          <cell r="C30" t="str">
            <v>Lemon Juice</v>
          </cell>
          <cell r="D30">
            <v>547</v>
          </cell>
          <cell r="E30" t="str">
            <v>FG Frozen</v>
          </cell>
          <cell r="F30" t="str">
            <v>DR</v>
          </cell>
          <cell r="G30">
            <v>12</v>
          </cell>
          <cell r="H30">
            <v>4</v>
          </cell>
          <cell r="I30">
            <v>3</v>
          </cell>
          <cell r="J30">
            <v>10</v>
          </cell>
          <cell r="K30">
            <v>30</v>
          </cell>
          <cell r="L30">
            <v>3.4991264517144254</v>
          </cell>
          <cell r="M30">
            <v>8.747816129286063</v>
          </cell>
        </row>
        <row r="31">
          <cell r="A31">
            <v>5002</v>
          </cell>
          <cell r="B31" t="str">
            <v>SOI Marg Mix Gln 4pk [5002]</v>
          </cell>
          <cell r="C31" t="str">
            <v>Marg mix</v>
          </cell>
          <cell r="D31">
            <v>50</v>
          </cell>
          <cell r="E31" t="str">
            <v>FG Refrigerated 50</v>
          </cell>
          <cell r="F31" t="str">
            <v>CS</v>
          </cell>
          <cell r="G31">
            <v>16949</v>
          </cell>
          <cell r="H31">
            <v>60</v>
          </cell>
          <cell r="I31">
            <v>282.48333333333335</v>
          </cell>
          <cell r="J31">
            <v>1.5</v>
          </cell>
          <cell r="K31">
            <v>423.72500000000002</v>
          </cell>
          <cell r="L31">
            <v>3.4991264517144254</v>
          </cell>
          <cell r="M31">
            <v>8.7478161292860637E-2</v>
          </cell>
        </row>
        <row r="32">
          <cell r="A32">
            <v>5006</v>
          </cell>
          <cell r="B32" t="str">
            <v>Markon Marg Mix Gln 4pk [5006]</v>
          </cell>
          <cell r="C32" t="str">
            <v>Marg mix</v>
          </cell>
          <cell r="D32">
            <v>50</v>
          </cell>
          <cell r="E32" t="str">
            <v>FG Refrigerated 50</v>
          </cell>
          <cell r="F32" t="str">
            <v>CS</v>
          </cell>
          <cell r="G32">
            <v>24134</v>
          </cell>
          <cell r="H32">
            <v>60</v>
          </cell>
          <cell r="I32">
            <v>402.23333333333335</v>
          </cell>
          <cell r="J32">
            <v>1.5</v>
          </cell>
          <cell r="K32">
            <v>603.35</v>
          </cell>
          <cell r="L32">
            <v>3.4991264517144254</v>
          </cell>
          <cell r="M32">
            <v>8.7478161292860637E-2</v>
          </cell>
        </row>
        <row r="33">
          <cell r="A33">
            <v>5014</v>
          </cell>
          <cell r="B33" t="str">
            <v>Margarita Mix 6pk HGln Rykoff Sexton [5014]</v>
          </cell>
          <cell r="C33" t="str">
            <v>Marg mix</v>
          </cell>
          <cell r="D33">
            <v>50</v>
          </cell>
          <cell r="E33" t="str">
            <v>FG Refrigerated 50</v>
          </cell>
          <cell r="F33" t="str">
            <v>CS</v>
          </cell>
          <cell r="G33">
            <v>12263</v>
          </cell>
          <cell r="H33">
            <v>75</v>
          </cell>
          <cell r="I33">
            <v>163.50666666666666</v>
          </cell>
          <cell r="J33">
            <v>1.5</v>
          </cell>
          <cell r="K33">
            <v>245.26</v>
          </cell>
          <cell r="L33">
            <v>3.4991264517144254</v>
          </cell>
          <cell r="M33">
            <v>6.9982529034288518E-2</v>
          </cell>
        </row>
        <row r="34">
          <cell r="A34">
            <v>5024</v>
          </cell>
          <cell r="B34" t="str">
            <v>Mango Margarita Mix FZN 6pk 61.5oz Rykoff Sexton</v>
          </cell>
          <cell r="C34" t="str">
            <v>Marg mix</v>
          </cell>
          <cell r="D34">
            <v>365</v>
          </cell>
          <cell r="E34" t="str">
            <v>FG Frozen</v>
          </cell>
          <cell r="F34" t="str">
            <v>CS</v>
          </cell>
          <cell r="G34">
            <v>6095</v>
          </cell>
          <cell r="H34">
            <v>75</v>
          </cell>
          <cell r="I34">
            <v>81.266666666666666</v>
          </cell>
          <cell r="J34">
            <v>10</v>
          </cell>
          <cell r="K34">
            <v>812.66666666666663</v>
          </cell>
          <cell r="L34">
            <v>3.4991264517144254</v>
          </cell>
          <cell r="M34">
            <v>0.46655019356192334</v>
          </cell>
        </row>
        <row r="35">
          <cell r="A35">
            <v>5142</v>
          </cell>
          <cell r="B35" t="str">
            <v>SOI Marg Mix Cond 3+1 HGln 9pk [5142]</v>
          </cell>
          <cell r="C35" t="str">
            <v>Marg mix</v>
          </cell>
          <cell r="D35">
            <v>60</v>
          </cell>
          <cell r="E35" t="str">
            <v>FG Refrigerated 60</v>
          </cell>
          <cell r="F35" t="str">
            <v>CS</v>
          </cell>
          <cell r="G35">
            <v>6377</v>
          </cell>
          <cell r="H35">
            <v>48</v>
          </cell>
          <cell r="I35">
            <v>132.85416666666666</v>
          </cell>
          <cell r="J35">
            <v>2</v>
          </cell>
          <cell r="K35">
            <v>265.70833333333331</v>
          </cell>
          <cell r="L35">
            <v>3.4991264517144254</v>
          </cell>
          <cell r="M35">
            <v>0.14579693548810105</v>
          </cell>
        </row>
        <row r="36">
          <cell r="A36">
            <v>5204</v>
          </cell>
          <cell r="B36" t="str">
            <v>SOI Sweet &amp; Sour Mix 3+1 FZN [5204]</v>
          </cell>
          <cell r="C36" t="str">
            <v>Marg mix</v>
          </cell>
          <cell r="D36">
            <v>547</v>
          </cell>
          <cell r="E36" t="str">
            <v>FG Frozen</v>
          </cell>
          <cell r="F36" t="str">
            <v>CS</v>
          </cell>
          <cell r="G36">
            <v>991</v>
          </cell>
          <cell r="H36">
            <v>60</v>
          </cell>
          <cell r="I36">
            <v>16.516666666666666</v>
          </cell>
          <cell r="J36">
            <v>10</v>
          </cell>
          <cell r="K36">
            <v>165.16666666666666</v>
          </cell>
          <cell r="L36">
            <v>3.4991264517144254</v>
          </cell>
          <cell r="M36">
            <v>0.58318774195240419</v>
          </cell>
        </row>
        <row r="37">
          <cell r="A37">
            <v>5314</v>
          </cell>
          <cell r="B37" t="str">
            <v>Bloody Mary Mix 6pk Hgln Rykoff Sexton [5314]</v>
          </cell>
          <cell r="C37" t="str">
            <v>Marg mix</v>
          </cell>
          <cell r="D37">
            <v>70</v>
          </cell>
          <cell r="E37" t="str">
            <v>FG Refrigerated 70</v>
          </cell>
          <cell r="F37" t="str">
            <v>CS</v>
          </cell>
          <cell r="G37">
            <v>8575</v>
          </cell>
          <cell r="H37">
            <v>75</v>
          </cell>
          <cell r="I37">
            <v>114.33333333333333</v>
          </cell>
          <cell r="J37">
            <v>3</v>
          </cell>
          <cell r="K37">
            <v>343</v>
          </cell>
          <cell r="L37">
            <v>3.4991264517144254</v>
          </cell>
          <cell r="M37">
            <v>0.13996505806857704</v>
          </cell>
        </row>
        <row r="38">
          <cell r="A38">
            <v>5315</v>
          </cell>
          <cell r="B38" t="str">
            <v>SO Bloody Mary Mix 6pk Hgln</v>
          </cell>
          <cell r="C38" t="str">
            <v>Marg mix</v>
          </cell>
          <cell r="D38">
            <v>70</v>
          </cell>
          <cell r="E38" t="str">
            <v>FG Refrigerated 70</v>
          </cell>
          <cell r="F38" t="str">
            <v>CS</v>
          </cell>
          <cell r="G38">
            <v>2681</v>
          </cell>
          <cell r="H38">
            <v>75</v>
          </cell>
          <cell r="I38">
            <v>35.74666666666667</v>
          </cell>
          <cell r="J38">
            <v>3</v>
          </cell>
          <cell r="K38">
            <v>107.24000000000001</v>
          </cell>
          <cell r="L38">
            <v>3.4991264517144254</v>
          </cell>
          <cell r="M38">
            <v>0.13996505806857704</v>
          </cell>
        </row>
        <row r="39">
          <cell r="A39">
            <v>5806</v>
          </cell>
          <cell r="B39" t="str">
            <v>Premium Lime Lemon 4pk Gln [5806]</v>
          </cell>
          <cell r="C39" t="str">
            <v>Marg mix</v>
          </cell>
          <cell r="D39">
            <v>50</v>
          </cell>
          <cell r="E39" t="str">
            <v>FG Refrigerated 50</v>
          </cell>
          <cell r="F39" t="str">
            <v>CS</v>
          </cell>
          <cell r="G39">
            <v>185068</v>
          </cell>
          <cell r="H39">
            <v>60</v>
          </cell>
          <cell r="I39">
            <v>3084.4666666666667</v>
          </cell>
          <cell r="J39">
            <v>1.5</v>
          </cell>
          <cell r="K39">
            <v>4626.7</v>
          </cell>
          <cell r="L39">
            <v>3.4991264517144254</v>
          </cell>
          <cell r="M39">
            <v>8.7478161292860637E-2</v>
          </cell>
        </row>
        <row r="40">
          <cell r="A40">
            <v>5815</v>
          </cell>
          <cell r="B40" t="str">
            <v>SOI 50/50 Lemon Lime Juice HGln 6pk [5815]</v>
          </cell>
          <cell r="C40" t="str">
            <v>Marg mix</v>
          </cell>
          <cell r="D40">
            <v>50</v>
          </cell>
          <cell r="E40" t="str">
            <v>FG Refrigerated 50</v>
          </cell>
          <cell r="F40" t="str">
            <v>CS</v>
          </cell>
          <cell r="G40">
            <v>0</v>
          </cell>
          <cell r="H40">
            <v>75</v>
          </cell>
          <cell r="I40">
            <v>0</v>
          </cell>
          <cell r="J40">
            <v>1.5</v>
          </cell>
          <cell r="K40">
            <v>0</v>
          </cell>
          <cell r="L40">
            <v>3.4991264517144254</v>
          </cell>
          <cell r="M40">
            <v>6.9982529034288518E-2</v>
          </cell>
        </row>
        <row r="41">
          <cell r="A41">
            <v>6225</v>
          </cell>
          <cell r="B41" t="str">
            <v>SOI Lime Juice FZN Qt 6pk [6225]</v>
          </cell>
          <cell r="C41" t="str">
            <v>Lime Juice</v>
          </cell>
          <cell r="D41">
            <v>547</v>
          </cell>
          <cell r="E41" t="str">
            <v>FG Frozen</v>
          </cell>
          <cell r="F41" t="str">
            <v>CS</v>
          </cell>
          <cell r="G41">
            <v>12905</v>
          </cell>
          <cell r="H41">
            <v>120</v>
          </cell>
          <cell r="I41">
            <v>107.54166666666667</v>
          </cell>
          <cell r="J41">
            <v>10</v>
          </cell>
          <cell r="K41">
            <v>1075.4166666666667</v>
          </cell>
          <cell r="L41">
            <v>3.4991264517144254</v>
          </cell>
          <cell r="M41">
            <v>0.2915938709762021</v>
          </cell>
        </row>
        <row r="42">
          <cell r="A42">
            <v>6227</v>
          </cell>
          <cell r="B42" t="str">
            <v>SOI Lime Juice FZN Qt 16pk [6227]</v>
          </cell>
          <cell r="C42" t="str">
            <v>Lime Juice</v>
          </cell>
          <cell r="D42">
            <v>547</v>
          </cell>
          <cell r="E42" t="str">
            <v>FG Frozen</v>
          </cell>
          <cell r="F42" t="str">
            <v>CS</v>
          </cell>
          <cell r="G42">
            <v>1014</v>
          </cell>
          <cell r="H42">
            <v>60</v>
          </cell>
          <cell r="I42">
            <v>16.899999999999999</v>
          </cell>
          <cell r="J42">
            <v>10</v>
          </cell>
          <cell r="K42">
            <v>169</v>
          </cell>
          <cell r="L42">
            <v>3.4991264517144254</v>
          </cell>
          <cell r="M42">
            <v>0.58318774195240419</v>
          </cell>
        </row>
        <row r="43">
          <cell r="A43">
            <v>6501</v>
          </cell>
          <cell r="B43" t="str">
            <v>Qdoba Lime Juice Gln 4pk [6501]</v>
          </cell>
          <cell r="C43" t="str">
            <v>Lime Juice</v>
          </cell>
          <cell r="D43">
            <v>54</v>
          </cell>
          <cell r="E43" t="str">
            <v>FG Refrigerated 50</v>
          </cell>
          <cell r="F43" t="str">
            <v>CS</v>
          </cell>
          <cell r="G43">
            <v>29969</v>
          </cell>
          <cell r="H43">
            <v>60</v>
          </cell>
          <cell r="I43">
            <v>499.48333333333335</v>
          </cell>
          <cell r="J43">
            <v>1.5</v>
          </cell>
          <cell r="K43">
            <v>749.22500000000002</v>
          </cell>
          <cell r="L43">
            <v>3.4991264517144254</v>
          </cell>
          <cell r="M43">
            <v>8.7478161292860637E-2</v>
          </cell>
        </row>
        <row r="44">
          <cell r="A44">
            <v>6502</v>
          </cell>
          <cell r="B44" t="str">
            <v>SOI Lime Juice Gln 4pk [6502]</v>
          </cell>
          <cell r="C44" t="str">
            <v>Lime Juice</v>
          </cell>
          <cell r="D44">
            <v>54</v>
          </cell>
          <cell r="E44" t="str">
            <v>FG Refrigerated 50</v>
          </cell>
          <cell r="F44" t="str">
            <v>CS</v>
          </cell>
          <cell r="G44">
            <v>78099</v>
          </cell>
          <cell r="H44">
            <v>60</v>
          </cell>
          <cell r="I44">
            <v>1301.6500000000001</v>
          </cell>
          <cell r="J44">
            <v>1.5</v>
          </cell>
          <cell r="K44">
            <v>1952.4750000000001</v>
          </cell>
          <cell r="L44">
            <v>3.4991264517144254</v>
          </cell>
          <cell r="M44">
            <v>8.7478161292860637E-2</v>
          </cell>
        </row>
        <row r="45">
          <cell r="A45">
            <v>6506</v>
          </cell>
          <cell r="B45" t="str">
            <v>Markon Lime Juice HGln 6pk [6506]</v>
          </cell>
          <cell r="C45" t="str">
            <v>Lime Juice</v>
          </cell>
          <cell r="D45">
            <v>54</v>
          </cell>
          <cell r="E45" t="str">
            <v>FG Refrigerated 50</v>
          </cell>
          <cell r="F45" t="str">
            <v>CS</v>
          </cell>
          <cell r="G45">
            <v>90439</v>
          </cell>
          <cell r="H45">
            <v>75</v>
          </cell>
          <cell r="I45">
            <v>1205.8533333333332</v>
          </cell>
          <cell r="J45">
            <v>1.5</v>
          </cell>
          <cell r="K45">
            <v>1808.7799999999997</v>
          </cell>
          <cell r="L45">
            <v>3.4991264517144254</v>
          </cell>
          <cell r="M45">
            <v>6.9982529034288518E-2</v>
          </cell>
        </row>
        <row r="46">
          <cell r="A46">
            <v>6508</v>
          </cell>
          <cell r="B46" t="str">
            <v>Markon Lime Juice Gln 4pk [6508]</v>
          </cell>
          <cell r="C46" t="str">
            <v>Lime Juice</v>
          </cell>
          <cell r="D46">
            <v>54</v>
          </cell>
          <cell r="E46" t="str">
            <v>FG Refrigerated 50</v>
          </cell>
          <cell r="F46" t="str">
            <v>CS</v>
          </cell>
          <cell r="G46">
            <v>52977</v>
          </cell>
          <cell r="H46">
            <v>60</v>
          </cell>
          <cell r="I46">
            <v>882.95</v>
          </cell>
          <cell r="J46">
            <v>1.5</v>
          </cell>
          <cell r="K46">
            <v>1324.4250000000002</v>
          </cell>
          <cell r="L46">
            <v>3.4991264517144254</v>
          </cell>
          <cell r="M46">
            <v>8.7478161292860637E-2</v>
          </cell>
        </row>
        <row r="47">
          <cell r="A47">
            <v>6510</v>
          </cell>
          <cell r="B47" t="str">
            <v>Markon Lime Juice Qt 16pk [6510]</v>
          </cell>
          <cell r="C47" t="str">
            <v>Lime Juice</v>
          </cell>
          <cell r="D47">
            <v>54</v>
          </cell>
          <cell r="E47" t="str">
            <v>FG Refrigerated 50</v>
          </cell>
          <cell r="F47" t="str">
            <v>CS</v>
          </cell>
          <cell r="G47">
            <v>0</v>
          </cell>
          <cell r="H47">
            <v>60</v>
          </cell>
          <cell r="I47">
            <v>0</v>
          </cell>
          <cell r="J47">
            <v>1.5</v>
          </cell>
          <cell r="K47">
            <v>0</v>
          </cell>
          <cell r="L47">
            <v>3.4991264517144254</v>
          </cell>
          <cell r="M47">
            <v>8.7478161292860637E-2</v>
          </cell>
        </row>
        <row r="48">
          <cell r="A48">
            <v>6513</v>
          </cell>
          <cell r="B48" t="str">
            <v>SOI Lime Juice HGln 6pk [6513]</v>
          </cell>
          <cell r="C48" t="str">
            <v>Lime Juice</v>
          </cell>
          <cell r="D48">
            <v>54</v>
          </cell>
          <cell r="E48" t="str">
            <v>FG Refrigerated 50</v>
          </cell>
          <cell r="F48" t="str">
            <v>CS</v>
          </cell>
          <cell r="G48">
            <v>24802</v>
          </cell>
          <cell r="H48">
            <v>75</v>
          </cell>
          <cell r="I48">
            <v>330.69333333333333</v>
          </cell>
          <cell r="J48">
            <v>1.5</v>
          </cell>
          <cell r="K48">
            <v>496.03999999999996</v>
          </cell>
          <cell r="L48">
            <v>3.4991264517144254</v>
          </cell>
          <cell r="M48">
            <v>6.9982529034288518E-2</v>
          </cell>
        </row>
        <row r="49">
          <cell r="A49">
            <v>6516</v>
          </cell>
          <cell r="B49" t="str">
            <v>SOI Lime Juice Qt 6pk [6516]</v>
          </cell>
          <cell r="C49" t="str">
            <v>Lime Juice</v>
          </cell>
          <cell r="D49">
            <v>54</v>
          </cell>
          <cell r="E49" t="str">
            <v>FG Refrigerated 50</v>
          </cell>
          <cell r="F49" t="str">
            <v>CS</v>
          </cell>
          <cell r="G49">
            <v>60724</v>
          </cell>
          <cell r="H49">
            <v>120</v>
          </cell>
          <cell r="I49">
            <v>506.03333333333336</v>
          </cell>
          <cell r="J49">
            <v>1.5</v>
          </cell>
          <cell r="K49">
            <v>759.05000000000007</v>
          </cell>
          <cell r="L49">
            <v>3.4991264517144254</v>
          </cell>
          <cell r="M49">
            <v>4.3739080646430319E-2</v>
          </cell>
        </row>
        <row r="50">
          <cell r="A50">
            <v>6590</v>
          </cell>
          <cell r="B50" t="str">
            <v>SOI Limeade 3+1 FZN HGln 6pk [6590]</v>
          </cell>
          <cell r="C50" t="str">
            <v>Lime Juice</v>
          </cell>
          <cell r="D50">
            <v>547</v>
          </cell>
          <cell r="E50" t="str">
            <v>FG Frozen</v>
          </cell>
          <cell r="F50" t="str">
            <v>CS</v>
          </cell>
          <cell r="G50">
            <v>0</v>
          </cell>
          <cell r="H50">
            <v>60</v>
          </cell>
          <cell r="I50">
            <v>0</v>
          </cell>
          <cell r="J50">
            <v>10</v>
          </cell>
          <cell r="K50">
            <v>0</v>
          </cell>
          <cell r="L50">
            <v>3.4991264517144254</v>
          </cell>
          <cell r="M50">
            <v>0.58318774195240419</v>
          </cell>
        </row>
        <row r="51">
          <cell r="A51">
            <v>6591</v>
          </cell>
          <cell r="B51" t="str">
            <v>SYSCO Lime Juice Gln 4pk [6591]</v>
          </cell>
          <cell r="C51" t="str">
            <v>Lime Juice</v>
          </cell>
          <cell r="D51">
            <v>54</v>
          </cell>
          <cell r="E51" t="str">
            <v>FG Refrigerated 50</v>
          </cell>
          <cell r="F51" t="str">
            <v>CS</v>
          </cell>
          <cell r="G51">
            <v>63547</v>
          </cell>
          <cell r="H51">
            <v>60</v>
          </cell>
          <cell r="I51">
            <v>1059.1166666666666</v>
          </cell>
          <cell r="J51">
            <v>1.5</v>
          </cell>
          <cell r="K51">
            <v>1588.6749999999997</v>
          </cell>
          <cell r="L51">
            <v>3.4991264517144254</v>
          </cell>
          <cell r="M51">
            <v>8.7478161292860637E-2</v>
          </cell>
        </row>
        <row r="52">
          <cell r="A52">
            <v>6593</v>
          </cell>
          <cell r="B52" t="str">
            <v>SYSCO Lime Juice Qt 6pk [6593]</v>
          </cell>
          <cell r="C52" t="str">
            <v>Lime Juice</v>
          </cell>
          <cell r="D52">
            <v>54</v>
          </cell>
          <cell r="E52" t="str">
            <v>FG Refrigerated 50</v>
          </cell>
          <cell r="F52" t="str">
            <v>CS</v>
          </cell>
          <cell r="G52">
            <v>103510</v>
          </cell>
          <cell r="H52">
            <v>120</v>
          </cell>
          <cell r="I52">
            <v>862.58333333333337</v>
          </cell>
          <cell r="J52">
            <v>1.5</v>
          </cell>
          <cell r="K52">
            <v>1293.875</v>
          </cell>
          <cell r="L52">
            <v>3.4991264517144254</v>
          </cell>
          <cell r="M52">
            <v>4.3739080646430319E-2</v>
          </cell>
        </row>
        <row r="53">
          <cell r="A53">
            <v>6617</v>
          </cell>
          <cell r="B53" t="str">
            <v>Key Lime Juice 12pk Qt Rykoff Sexton [6617]</v>
          </cell>
          <cell r="C53" t="str">
            <v>Lime Juice</v>
          </cell>
          <cell r="D53">
            <v>50</v>
          </cell>
          <cell r="E53" t="str">
            <v>FG Refrigerated 50</v>
          </cell>
          <cell r="F53" t="str">
            <v>CS</v>
          </cell>
          <cell r="G53">
            <v>8398</v>
          </cell>
          <cell r="H53">
            <v>75</v>
          </cell>
          <cell r="I53">
            <v>111.97333333333333</v>
          </cell>
          <cell r="J53">
            <v>1.5</v>
          </cell>
          <cell r="K53">
            <v>167.95999999999998</v>
          </cell>
          <cell r="L53">
            <v>3.4991264517144254</v>
          </cell>
          <cell r="M53">
            <v>6.9982529034288518E-2</v>
          </cell>
        </row>
        <row r="54">
          <cell r="A54">
            <v>6951</v>
          </cell>
          <cell r="B54" t="str">
            <v>Past Lime Juice Drum FZN</v>
          </cell>
          <cell r="C54" t="str">
            <v>Lime Juice</v>
          </cell>
          <cell r="D54">
            <v>547</v>
          </cell>
          <cell r="E54" t="str">
            <v>FG Frozen</v>
          </cell>
          <cell r="F54" t="str">
            <v>DR</v>
          </cell>
          <cell r="G54">
            <v>0</v>
          </cell>
          <cell r="H54">
            <v>192</v>
          </cell>
          <cell r="I54">
            <v>0</v>
          </cell>
          <cell r="J54">
            <v>10</v>
          </cell>
          <cell r="K54">
            <v>0</v>
          </cell>
          <cell r="L54">
            <v>3.4991264517144254</v>
          </cell>
          <cell r="M54">
            <v>0.1822461693601263</v>
          </cell>
        </row>
        <row r="55">
          <cell r="A55">
            <v>6952</v>
          </cell>
          <cell r="B55" t="str">
            <v>Past Lime Juice Drum REF [6952]</v>
          </cell>
          <cell r="C55" t="str">
            <v>Lime Juice</v>
          </cell>
          <cell r="D55">
            <v>50</v>
          </cell>
          <cell r="E55" t="str">
            <v>FG Refrigerated 50</v>
          </cell>
          <cell r="F55" t="str">
            <v>DR</v>
          </cell>
          <cell r="G55">
            <v>144</v>
          </cell>
          <cell r="H55">
            <v>192</v>
          </cell>
          <cell r="I55">
            <v>0.75</v>
          </cell>
          <cell r="J55">
            <v>1.5</v>
          </cell>
          <cell r="K55">
            <v>1.125</v>
          </cell>
          <cell r="L55">
            <v>3.4991264517144254</v>
          </cell>
          <cell r="M55">
            <v>2.7336925404018952E-2</v>
          </cell>
        </row>
        <row r="56">
          <cell r="A56">
            <v>7416</v>
          </cell>
          <cell r="B56" t="str">
            <v>Sun Orchard Orange Juice Qt 6pk [7416]</v>
          </cell>
          <cell r="C56" t="str">
            <v>OJ</v>
          </cell>
          <cell r="D56">
            <v>50</v>
          </cell>
          <cell r="E56" t="str">
            <v>FG Refrigerated 50</v>
          </cell>
          <cell r="F56" t="str">
            <v>CS</v>
          </cell>
          <cell r="G56">
            <v>6763</v>
          </cell>
          <cell r="H56">
            <v>120</v>
          </cell>
          <cell r="I56">
            <v>56.358333333333334</v>
          </cell>
          <cell r="J56">
            <v>1.5</v>
          </cell>
          <cell r="K56">
            <v>84.537499999999994</v>
          </cell>
          <cell r="L56">
            <v>3.4991264517144254</v>
          </cell>
          <cell r="M56">
            <v>4.3739080646430319E-2</v>
          </cell>
        </row>
        <row r="57">
          <cell r="A57">
            <v>7442</v>
          </cell>
          <cell r="B57" t="str">
            <v>SO NP Valencia Orange Juice FZN 61.5oz 6pk</v>
          </cell>
          <cell r="C57" t="str">
            <v>OJ</v>
          </cell>
          <cell r="D57">
            <v>547</v>
          </cell>
          <cell r="E57" t="str">
            <v>FG Frozen</v>
          </cell>
          <cell r="F57" t="str">
            <v>CS</v>
          </cell>
          <cell r="G57">
            <v>0</v>
          </cell>
          <cell r="H57">
            <v>120</v>
          </cell>
          <cell r="I57">
            <v>0</v>
          </cell>
          <cell r="J57">
            <v>10</v>
          </cell>
          <cell r="K57">
            <v>0</v>
          </cell>
          <cell r="L57">
            <v>3.4991264517144254</v>
          </cell>
          <cell r="M57">
            <v>0.2915938709762021</v>
          </cell>
        </row>
        <row r="58">
          <cell r="A58">
            <v>7502</v>
          </cell>
          <cell r="B58" t="str">
            <v>SOI Orange Juice Gln 4pk [7502]</v>
          </cell>
          <cell r="C58" t="str">
            <v>OJ</v>
          </cell>
          <cell r="D58">
            <v>50</v>
          </cell>
          <cell r="E58" t="str">
            <v>FG Refrigerated 50</v>
          </cell>
          <cell r="F58" t="str">
            <v>CS</v>
          </cell>
          <cell r="G58">
            <v>107082</v>
          </cell>
          <cell r="H58">
            <v>60</v>
          </cell>
          <cell r="I58">
            <v>1784.7</v>
          </cell>
          <cell r="J58">
            <v>1.5</v>
          </cell>
          <cell r="K58">
            <v>2677.05</v>
          </cell>
          <cell r="L58">
            <v>3.4991264517144254</v>
          </cell>
          <cell r="M58">
            <v>8.7478161292860637E-2</v>
          </cell>
        </row>
        <row r="59">
          <cell r="A59">
            <v>7504</v>
          </cell>
          <cell r="B59" t="str">
            <v>Panera Premium Orange Juice 6pk 64oz [7504]</v>
          </cell>
          <cell r="C59" t="str">
            <v>OJ</v>
          </cell>
          <cell r="D59">
            <v>50</v>
          </cell>
          <cell r="E59" t="str">
            <v>FG Refrigerated 50</v>
          </cell>
          <cell r="F59" t="str">
            <v>CS</v>
          </cell>
          <cell r="G59">
            <v>0</v>
          </cell>
          <cell r="H59">
            <v>75</v>
          </cell>
          <cell r="I59">
            <v>0</v>
          </cell>
          <cell r="J59">
            <v>1.5</v>
          </cell>
          <cell r="K59">
            <v>0</v>
          </cell>
          <cell r="L59">
            <v>3.4991264517144254</v>
          </cell>
          <cell r="M59">
            <v>6.9982529034288518E-2</v>
          </cell>
        </row>
        <row r="60">
          <cell r="A60">
            <v>7506</v>
          </cell>
          <cell r="B60" t="str">
            <v>Markon Orange Juice Gln 4pk [7506]</v>
          </cell>
          <cell r="C60" t="str">
            <v>OJ</v>
          </cell>
          <cell r="D60">
            <v>50</v>
          </cell>
          <cell r="E60" t="str">
            <v>FG Refrigerated 50</v>
          </cell>
          <cell r="F60" t="str">
            <v>CS</v>
          </cell>
          <cell r="G60">
            <v>173608</v>
          </cell>
          <cell r="H60">
            <v>60</v>
          </cell>
          <cell r="I60">
            <v>2893.4666666666667</v>
          </cell>
          <cell r="J60">
            <v>1.5</v>
          </cell>
          <cell r="K60">
            <v>4340.2</v>
          </cell>
          <cell r="L60">
            <v>3.4991264517144254</v>
          </cell>
          <cell r="M60">
            <v>8.7478161292860637E-2</v>
          </cell>
        </row>
        <row r="61">
          <cell r="A61">
            <v>7515</v>
          </cell>
          <cell r="B61" t="str">
            <v>SOI Orange Juice HGln 6pk [7515]</v>
          </cell>
          <cell r="C61" t="str">
            <v>OJ</v>
          </cell>
          <cell r="D61">
            <v>50</v>
          </cell>
          <cell r="E61" t="str">
            <v>FG Refrigerated 50</v>
          </cell>
          <cell r="F61" t="str">
            <v>CS</v>
          </cell>
          <cell r="G61">
            <v>0</v>
          </cell>
          <cell r="H61">
            <v>75</v>
          </cell>
          <cell r="I61">
            <v>0</v>
          </cell>
          <cell r="J61">
            <v>1.5</v>
          </cell>
          <cell r="K61">
            <v>0</v>
          </cell>
          <cell r="L61">
            <v>3.4991264517144254</v>
          </cell>
          <cell r="M61">
            <v>6.9982529034288518E-2</v>
          </cell>
        </row>
        <row r="62">
          <cell r="A62">
            <v>7519</v>
          </cell>
          <cell r="B62" t="str">
            <v>Panera OJ 24pk 11.5 oz RTS [7519]</v>
          </cell>
          <cell r="C62" t="str">
            <v>OJ</v>
          </cell>
          <cell r="D62">
            <v>50</v>
          </cell>
          <cell r="E62" t="str">
            <v>FG Refrigerated 50</v>
          </cell>
          <cell r="F62" t="str">
            <v>CS</v>
          </cell>
          <cell r="G62">
            <v>0</v>
          </cell>
          <cell r="H62">
            <v>96</v>
          </cell>
          <cell r="I62">
            <v>0</v>
          </cell>
          <cell r="J62">
            <v>1.5</v>
          </cell>
          <cell r="K62">
            <v>0</v>
          </cell>
          <cell r="L62">
            <v>3.4991264517144254</v>
          </cell>
          <cell r="M62">
            <v>5.4673850808037903E-2</v>
          </cell>
        </row>
        <row r="63">
          <cell r="A63">
            <v>7534</v>
          </cell>
          <cell r="B63" t="str">
            <v>SOI Orange Juice 12oz 24pk [7534]</v>
          </cell>
          <cell r="C63" t="str">
            <v>OJ</v>
          </cell>
          <cell r="D63">
            <v>50</v>
          </cell>
          <cell r="E63" t="str">
            <v>FG Refrigerated 50</v>
          </cell>
          <cell r="F63" t="str">
            <v>CS</v>
          </cell>
          <cell r="G63">
            <v>0</v>
          </cell>
          <cell r="H63">
            <v>96</v>
          </cell>
          <cell r="I63">
            <v>0</v>
          </cell>
          <cell r="J63">
            <v>1.5</v>
          </cell>
          <cell r="K63">
            <v>0</v>
          </cell>
          <cell r="L63">
            <v>3.4991264517144254</v>
          </cell>
          <cell r="M63">
            <v>5.4673850808037903E-2</v>
          </cell>
        </row>
        <row r="64">
          <cell r="A64">
            <v>7540</v>
          </cell>
          <cell r="B64" t="str">
            <v>SOI Orange Juice NP Gln 4pk [7540]</v>
          </cell>
          <cell r="C64" t="str">
            <v>OJ</v>
          </cell>
          <cell r="D64">
            <v>50</v>
          </cell>
          <cell r="E64" t="str">
            <v>FG Refrigerated 50</v>
          </cell>
          <cell r="F64" t="str">
            <v>CS</v>
          </cell>
          <cell r="G64">
            <v>21058</v>
          </cell>
          <cell r="H64">
            <v>60</v>
          </cell>
          <cell r="I64">
            <v>350.96666666666664</v>
          </cell>
          <cell r="J64">
            <v>1.5</v>
          </cell>
          <cell r="K64">
            <v>526.44999999999993</v>
          </cell>
          <cell r="L64">
            <v>3.4991264517144254</v>
          </cell>
          <cell r="M64">
            <v>8.7478161292860637E-2</v>
          </cell>
        </row>
        <row r="65">
          <cell r="A65">
            <v>7542</v>
          </cell>
          <cell r="B65" t="str">
            <v>SOI NP Orange Juice FZN 61.5oz 6pk [7542]</v>
          </cell>
          <cell r="C65" t="str">
            <v>OJ</v>
          </cell>
          <cell r="D65">
            <v>547</v>
          </cell>
          <cell r="E65" t="str">
            <v>FG Frozen</v>
          </cell>
          <cell r="F65" t="str">
            <v>CS</v>
          </cell>
          <cell r="G65">
            <v>2589</v>
          </cell>
          <cell r="H65">
            <v>75</v>
          </cell>
          <cell r="I65">
            <v>34.520000000000003</v>
          </cell>
          <cell r="J65">
            <v>10</v>
          </cell>
          <cell r="K65">
            <v>345.20000000000005</v>
          </cell>
          <cell r="L65">
            <v>3.4991264517144254</v>
          </cell>
          <cell r="M65">
            <v>0.46655019356192334</v>
          </cell>
        </row>
        <row r="66">
          <cell r="A66">
            <v>7554</v>
          </cell>
          <cell r="B66" t="str">
            <v>Cal Val OJ 6pk Hgln Rykoff Sexton [7554]</v>
          </cell>
          <cell r="C66" t="str">
            <v>OJ</v>
          </cell>
          <cell r="D66">
            <v>50</v>
          </cell>
          <cell r="E66" t="str">
            <v>FG Refrigerated 50</v>
          </cell>
          <cell r="F66" t="str">
            <v>CS</v>
          </cell>
          <cell r="G66">
            <v>63994</v>
          </cell>
          <cell r="H66">
            <v>75</v>
          </cell>
          <cell r="I66">
            <v>853.25333333333333</v>
          </cell>
          <cell r="J66">
            <v>1.5</v>
          </cell>
          <cell r="K66">
            <v>1279.8800000000001</v>
          </cell>
          <cell r="L66">
            <v>3.4991264517144254</v>
          </cell>
          <cell r="M66">
            <v>6.9982529034288518E-2</v>
          </cell>
        </row>
        <row r="67">
          <cell r="A67">
            <v>7591</v>
          </cell>
          <cell r="B67" t="str">
            <v>SYSCO Orange Juice Gln 4pk [7591]</v>
          </cell>
          <cell r="C67" t="str">
            <v>OJ</v>
          </cell>
          <cell r="D67">
            <v>50</v>
          </cell>
          <cell r="E67" t="str">
            <v>FG Refrigerated 50</v>
          </cell>
          <cell r="F67" t="str">
            <v>CS</v>
          </cell>
          <cell r="G67">
            <v>210300</v>
          </cell>
          <cell r="H67">
            <v>60</v>
          </cell>
          <cell r="I67">
            <v>3505</v>
          </cell>
          <cell r="J67">
            <v>1.5</v>
          </cell>
          <cell r="K67">
            <v>5257.5</v>
          </cell>
          <cell r="L67">
            <v>3.4991264517144254</v>
          </cell>
          <cell r="M67">
            <v>8.7478161292860637E-2</v>
          </cell>
        </row>
        <row r="68">
          <cell r="A68">
            <v>7593</v>
          </cell>
          <cell r="B68" t="str">
            <v>SYSCO Orange Juice NP Gln 4pk [7593]</v>
          </cell>
          <cell r="C68" t="str">
            <v>OJ</v>
          </cell>
          <cell r="D68">
            <v>50</v>
          </cell>
          <cell r="E68" t="str">
            <v>FG Refrigerated 50</v>
          </cell>
          <cell r="F68" t="str">
            <v>CS</v>
          </cell>
          <cell r="G68">
            <v>66512</v>
          </cell>
          <cell r="H68">
            <v>60</v>
          </cell>
          <cell r="I68">
            <v>1108.5333333333333</v>
          </cell>
          <cell r="J68">
            <v>1.5</v>
          </cell>
          <cell r="K68">
            <v>1662.8</v>
          </cell>
          <cell r="L68">
            <v>3.4991264517144254</v>
          </cell>
          <cell r="M68">
            <v>8.7478161292860637E-2</v>
          </cell>
        </row>
        <row r="69">
          <cell r="A69">
            <v>7900</v>
          </cell>
          <cell r="B69" t="str">
            <v>SOI Valencia Oil Drum [7900]</v>
          </cell>
          <cell r="C69" t="str">
            <v>OJ</v>
          </cell>
          <cell r="D69">
            <v>730</v>
          </cell>
          <cell r="E69" t="str">
            <v>Oil</v>
          </cell>
          <cell r="F69" t="str">
            <v>LB</v>
          </cell>
          <cell r="G69">
            <v>5988</v>
          </cell>
          <cell r="H69">
            <v>1600</v>
          </cell>
          <cell r="I69">
            <v>3.7425000000000002</v>
          </cell>
          <cell r="J69">
            <v>4</v>
          </cell>
          <cell r="K69">
            <v>14.97</v>
          </cell>
          <cell r="L69">
            <v>3.4991264517144254</v>
          </cell>
          <cell r="M69">
            <v>8.747816129286063E-3</v>
          </cell>
        </row>
        <row r="70">
          <cell r="A70">
            <v>7940</v>
          </cell>
          <cell r="B70" t="str">
            <v>Past No Pulp Orange Juice Drums REF</v>
          </cell>
          <cell r="C70" t="str">
            <v>OJ</v>
          </cell>
          <cell r="D70">
            <v>547</v>
          </cell>
          <cell r="E70" t="str">
            <v>FG Frozen</v>
          </cell>
          <cell r="F70" t="str">
            <v>DR</v>
          </cell>
          <cell r="G70">
            <v>4</v>
          </cell>
          <cell r="H70">
            <v>4</v>
          </cell>
          <cell r="I70">
            <v>1</v>
          </cell>
          <cell r="J70">
            <v>10</v>
          </cell>
          <cell r="K70">
            <v>10</v>
          </cell>
          <cell r="L70">
            <v>3.4991264517144254</v>
          </cell>
          <cell r="M70">
            <v>8.747816129286063</v>
          </cell>
        </row>
        <row r="71">
          <cell r="A71">
            <v>7961</v>
          </cell>
          <cell r="B71" t="str">
            <v>100% CA Valencia OJ Drums FZN 48GL</v>
          </cell>
          <cell r="C71" t="str">
            <v>OJ</v>
          </cell>
          <cell r="D71">
            <v>547</v>
          </cell>
          <cell r="E71" t="str">
            <v>FG Frozen</v>
          </cell>
          <cell r="F71" t="str">
            <v>CS</v>
          </cell>
          <cell r="G71">
            <v>0</v>
          </cell>
          <cell r="H71">
            <v>60</v>
          </cell>
          <cell r="I71">
            <v>0</v>
          </cell>
          <cell r="J71">
            <v>10</v>
          </cell>
          <cell r="K71">
            <v>0</v>
          </cell>
          <cell r="L71">
            <v>3.4991264517144254</v>
          </cell>
          <cell r="M71">
            <v>0.58318774195240419</v>
          </cell>
        </row>
        <row r="72">
          <cell r="A72">
            <v>8225</v>
          </cell>
          <cell r="B72" t="str">
            <v>SOI Grapefruit Juice 30.5oz 6pk FZN [8225]</v>
          </cell>
          <cell r="D72">
            <v>548</v>
          </cell>
          <cell r="E72" t="str">
            <v>FG Frozen</v>
          </cell>
          <cell r="F72" t="str">
            <v>CS</v>
          </cell>
          <cell r="G72">
            <v>330</v>
          </cell>
          <cell r="H72">
            <v>120</v>
          </cell>
          <cell r="I72">
            <v>2.75</v>
          </cell>
          <cell r="J72">
            <v>10</v>
          </cell>
          <cell r="K72">
            <v>27.5</v>
          </cell>
          <cell r="L72">
            <v>3.4991264517144254</v>
          </cell>
          <cell r="M72">
            <v>0.2915938709762021</v>
          </cell>
        </row>
        <row r="73">
          <cell r="A73">
            <v>8506</v>
          </cell>
          <cell r="B73" t="str">
            <v>Markon GFT Juice HGln 6pk [8506]</v>
          </cell>
          <cell r="D73">
            <v>50</v>
          </cell>
          <cell r="E73" t="str">
            <v>FG Refrigerated 50</v>
          </cell>
          <cell r="F73" t="str">
            <v>CS</v>
          </cell>
          <cell r="G73">
            <v>0</v>
          </cell>
          <cell r="H73">
            <v>75</v>
          </cell>
          <cell r="I73">
            <v>0</v>
          </cell>
          <cell r="J73">
            <v>1.5</v>
          </cell>
          <cell r="K73">
            <v>0</v>
          </cell>
          <cell r="L73">
            <v>3.4991264517144254</v>
          </cell>
          <cell r="M73">
            <v>6.9982529034288518E-2</v>
          </cell>
        </row>
        <row r="74">
          <cell r="A74">
            <v>8513</v>
          </cell>
          <cell r="B74" t="str">
            <v>SOI Gft Juice HGln 6pk [8513]</v>
          </cell>
          <cell r="D74">
            <v>50</v>
          </cell>
          <cell r="E74" t="str">
            <v>FG Refrigerated 50</v>
          </cell>
          <cell r="F74" t="str">
            <v>CS</v>
          </cell>
          <cell r="G74">
            <v>42880</v>
          </cell>
          <cell r="H74">
            <v>75</v>
          </cell>
          <cell r="I74">
            <v>571.73333333333335</v>
          </cell>
          <cell r="J74">
            <v>1.5</v>
          </cell>
          <cell r="K74">
            <v>857.6</v>
          </cell>
          <cell r="L74">
            <v>3.4991264517144254</v>
          </cell>
          <cell r="M74">
            <v>6.9982529034288518E-2</v>
          </cell>
        </row>
        <row r="75">
          <cell r="A75">
            <v>8592</v>
          </cell>
          <cell r="B75" t="str">
            <v>SYSCO Gft Juice HGln 6pk [8592]</v>
          </cell>
          <cell r="D75">
            <v>50</v>
          </cell>
          <cell r="E75" t="str">
            <v>FG Refrigerated 50</v>
          </cell>
          <cell r="F75" t="str">
            <v>CS</v>
          </cell>
          <cell r="G75">
            <v>0</v>
          </cell>
          <cell r="H75">
            <v>75</v>
          </cell>
          <cell r="I75">
            <v>0</v>
          </cell>
          <cell r="J75">
            <v>1.5</v>
          </cell>
          <cell r="K75">
            <v>0</v>
          </cell>
          <cell r="L75">
            <v>3.4991264517144254</v>
          </cell>
          <cell r="M75">
            <v>6.9982529034288518E-2</v>
          </cell>
        </row>
        <row r="76">
          <cell r="A76">
            <v>8951</v>
          </cell>
          <cell r="B76" t="str">
            <v>Past Grapefruit Juice Drums FZN [8951]</v>
          </cell>
          <cell r="D76">
            <v>547</v>
          </cell>
          <cell r="E76" t="str">
            <v>FG Frozen</v>
          </cell>
          <cell r="F76" t="str">
            <v>DR</v>
          </cell>
          <cell r="G76">
            <v>4</v>
          </cell>
          <cell r="H76">
            <v>4</v>
          </cell>
          <cell r="I76">
            <v>1</v>
          </cell>
          <cell r="J76">
            <v>10</v>
          </cell>
          <cell r="K76">
            <v>10</v>
          </cell>
          <cell r="L76">
            <v>3.4991264517144254</v>
          </cell>
          <cell r="M76">
            <v>8.747816129286063</v>
          </cell>
        </row>
        <row r="77">
          <cell r="A77">
            <v>8952</v>
          </cell>
          <cell r="B77" t="str">
            <v>Past Grapefruit Juice Drums REF [8952]</v>
          </cell>
          <cell r="D77">
            <v>50</v>
          </cell>
          <cell r="E77" t="str">
            <v>FG Refrigerated 50</v>
          </cell>
          <cell r="F77" t="str">
            <v>DR</v>
          </cell>
          <cell r="G77">
            <v>284</v>
          </cell>
          <cell r="H77">
            <v>4</v>
          </cell>
          <cell r="I77">
            <v>71</v>
          </cell>
          <cell r="J77">
            <v>1.5</v>
          </cell>
          <cell r="K77">
            <v>106.5</v>
          </cell>
          <cell r="L77">
            <v>3.4991264517144254</v>
          </cell>
          <cell r="M77">
            <v>1.3121724193929096</v>
          </cell>
        </row>
        <row r="78">
          <cell r="A78">
            <v>9002</v>
          </cell>
          <cell r="B78" t="str">
            <v>SOI LA Gln 4pk [9002]</v>
          </cell>
          <cell r="D78">
            <v>50</v>
          </cell>
          <cell r="E78" t="str">
            <v>FG Refrigerated 50</v>
          </cell>
          <cell r="F78" t="str">
            <v>CS</v>
          </cell>
          <cell r="G78">
            <v>15982</v>
          </cell>
          <cell r="H78">
            <v>60</v>
          </cell>
          <cell r="I78">
            <v>266.36666666666667</v>
          </cell>
          <cell r="J78">
            <v>1.5</v>
          </cell>
          <cell r="K78">
            <v>399.55</v>
          </cell>
          <cell r="L78">
            <v>3.4991264517144254</v>
          </cell>
          <cell r="M78">
            <v>8.7478161292860637E-2</v>
          </cell>
        </row>
        <row r="79">
          <cell r="A79">
            <v>9006</v>
          </cell>
          <cell r="B79" t="str">
            <v>Markon LA Gln 4pk [9006]</v>
          </cell>
          <cell r="D79">
            <v>50</v>
          </cell>
          <cell r="E79" t="str">
            <v>FG Refrigerated 50</v>
          </cell>
          <cell r="F79" t="str">
            <v>CS</v>
          </cell>
          <cell r="G79">
            <v>42746</v>
          </cell>
          <cell r="H79">
            <v>60</v>
          </cell>
          <cell r="I79">
            <v>712.43333333333328</v>
          </cell>
          <cell r="J79">
            <v>1.5</v>
          </cell>
          <cell r="K79">
            <v>1068.6499999999999</v>
          </cell>
          <cell r="L79">
            <v>3.4991264517144254</v>
          </cell>
          <cell r="M79">
            <v>8.7478161292860637E-2</v>
          </cell>
        </row>
        <row r="80">
          <cell r="A80">
            <v>9091</v>
          </cell>
          <cell r="B80" t="str">
            <v>SYSCO LA Gln 4pk [9091]</v>
          </cell>
          <cell r="D80">
            <v>50</v>
          </cell>
          <cell r="E80" t="str">
            <v>FG Refrigerated 50</v>
          </cell>
          <cell r="F80" t="str">
            <v>CS</v>
          </cell>
          <cell r="G80">
            <v>53670</v>
          </cell>
          <cell r="H80">
            <v>60</v>
          </cell>
          <cell r="I80">
            <v>894.5</v>
          </cell>
          <cell r="J80">
            <v>1.5</v>
          </cell>
          <cell r="K80">
            <v>1341.75</v>
          </cell>
          <cell r="L80">
            <v>3.4991264517144254</v>
          </cell>
          <cell r="M80">
            <v>8.7478161292860637E-2</v>
          </cell>
        </row>
        <row r="81">
          <cell r="A81">
            <v>9102</v>
          </cell>
          <cell r="B81" t="str">
            <v>SOI LA Cond 4+1 Gln 4pk [9102]</v>
          </cell>
          <cell r="D81">
            <v>60</v>
          </cell>
          <cell r="E81" t="str">
            <v>FG Refrigerated 60</v>
          </cell>
          <cell r="F81" t="str">
            <v>CS</v>
          </cell>
          <cell r="G81">
            <v>34589</v>
          </cell>
          <cell r="H81">
            <v>60</v>
          </cell>
          <cell r="I81">
            <v>576.48333333333335</v>
          </cell>
          <cell r="J81">
            <v>2</v>
          </cell>
          <cell r="K81">
            <v>1152.9666666666667</v>
          </cell>
          <cell r="L81">
            <v>3.4991264517144254</v>
          </cell>
          <cell r="M81">
            <v>0.11663754839048085</v>
          </cell>
        </row>
        <row r="82">
          <cell r="A82">
            <v>9123</v>
          </cell>
          <cell r="B82" t="str">
            <v>Charleys LA Cond FZN 4+1 Gln 4pk [9123]</v>
          </cell>
          <cell r="D82">
            <v>547</v>
          </cell>
          <cell r="E82" t="str">
            <v>FG Frozen</v>
          </cell>
          <cell r="F82" t="str">
            <v>CS</v>
          </cell>
          <cell r="G82">
            <v>37249</v>
          </cell>
          <cell r="H82">
            <v>60</v>
          </cell>
          <cell r="I82">
            <v>620.81666666666672</v>
          </cell>
          <cell r="J82">
            <v>10</v>
          </cell>
          <cell r="K82">
            <v>6208.166666666667</v>
          </cell>
          <cell r="L82">
            <v>3.4991264517144254</v>
          </cell>
          <cell r="M82">
            <v>0.58318774195240419</v>
          </cell>
        </row>
        <row r="83">
          <cell r="A83">
            <v>9131</v>
          </cell>
          <cell r="B83" t="str">
            <v>SOI Old Fashioned 4+1 Lemonade Mix FZN [9131]</v>
          </cell>
          <cell r="D83">
            <v>547</v>
          </cell>
          <cell r="E83" t="str">
            <v>FG Frozen</v>
          </cell>
          <cell r="F83" t="str">
            <v>CS</v>
          </cell>
          <cell r="G83">
            <v>4411</v>
          </cell>
          <cell r="H83">
            <v>60</v>
          </cell>
          <cell r="I83">
            <v>73.516666666666666</v>
          </cell>
          <cell r="J83">
            <v>10</v>
          </cell>
          <cell r="K83">
            <v>735.16666666666663</v>
          </cell>
          <cell r="L83">
            <v>3.4991264517144254</v>
          </cell>
          <cell r="M83">
            <v>0.58318774195240419</v>
          </cell>
        </row>
        <row r="84">
          <cell r="A84">
            <v>9132</v>
          </cell>
          <cell r="B84" t="str">
            <v>FAT Brands LA Cond 4+1 Fzn Gln 4pk</v>
          </cell>
          <cell r="D84">
            <v>547</v>
          </cell>
          <cell r="E84" t="str">
            <v>FG Frozen</v>
          </cell>
          <cell r="F84" t="str">
            <v>CS</v>
          </cell>
          <cell r="G84">
            <v>2406</v>
          </cell>
          <cell r="H84">
            <v>60</v>
          </cell>
          <cell r="I84">
            <v>40.1</v>
          </cell>
          <cell r="J84">
            <v>10</v>
          </cell>
          <cell r="K84">
            <v>401</v>
          </cell>
          <cell r="L84">
            <v>3.4991264517144254</v>
          </cell>
          <cell r="M84">
            <v>0.58318774195240419</v>
          </cell>
        </row>
        <row r="85">
          <cell r="A85">
            <v>9163</v>
          </cell>
          <cell r="B85" t="str">
            <v>Panera 5+1 Agave Lemonade FZN 64 oz 6pk V3</v>
          </cell>
          <cell r="D85">
            <v>365</v>
          </cell>
          <cell r="E85" t="str">
            <v>FG Frozen</v>
          </cell>
          <cell r="F85" t="str">
            <v>CS</v>
          </cell>
          <cell r="G85">
            <v>18</v>
          </cell>
          <cell r="H85">
            <v>75</v>
          </cell>
          <cell r="I85">
            <v>0.24</v>
          </cell>
          <cell r="J85">
            <v>10</v>
          </cell>
          <cell r="K85">
            <v>2.4</v>
          </cell>
          <cell r="L85">
            <v>3.4991264517144254</v>
          </cell>
          <cell r="M85">
            <v>0.46655019356192334</v>
          </cell>
        </row>
        <row r="86">
          <cell r="A86">
            <v>9164</v>
          </cell>
          <cell r="B86" t="str">
            <v>Panera 5+1 Agave Lemonade FZN 64 oz 6pk [9164]</v>
          </cell>
          <cell r="D86">
            <v>365</v>
          </cell>
          <cell r="E86" t="str">
            <v>FG Frozen</v>
          </cell>
          <cell r="F86" t="str">
            <v>CS</v>
          </cell>
          <cell r="G86">
            <v>89408</v>
          </cell>
          <cell r="H86">
            <v>75</v>
          </cell>
          <cell r="I86">
            <v>1192.1066666666666</v>
          </cell>
          <cell r="J86">
            <v>10</v>
          </cell>
          <cell r="K86">
            <v>11921.066666666666</v>
          </cell>
          <cell r="L86">
            <v>3.4991264517144254</v>
          </cell>
          <cell r="M86">
            <v>0.46655019356192334</v>
          </cell>
        </row>
        <row r="87">
          <cell r="A87">
            <v>9165</v>
          </cell>
          <cell r="B87" t="str">
            <v>Panera 3+1 Blood Orange Carrot LA FZN 61.5 oz 6pk [9165]</v>
          </cell>
          <cell r="D87">
            <v>365</v>
          </cell>
          <cell r="E87" t="str">
            <v>FG Frozen</v>
          </cell>
          <cell r="F87" t="str">
            <v>CS</v>
          </cell>
          <cell r="G87">
            <v>0</v>
          </cell>
          <cell r="H87">
            <v>75</v>
          </cell>
          <cell r="I87">
            <v>0</v>
          </cell>
          <cell r="J87">
            <v>10</v>
          </cell>
          <cell r="K87">
            <v>0</v>
          </cell>
          <cell r="L87">
            <v>3.4991264517144254</v>
          </cell>
          <cell r="M87">
            <v>0.46655019356192334</v>
          </cell>
        </row>
        <row r="88">
          <cell r="A88">
            <v>9314</v>
          </cell>
          <cell r="B88" t="str">
            <v>Meyer LA 6pk Hgln [9314]</v>
          </cell>
          <cell r="D88">
            <v>50</v>
          </cell>
          <cell r="E88" t="str">
            <v>FG Refrigerated 50</v>
          </cell>
          <cell r="F88" t="str">
            <v>CS</v>
          </cell>
          <cell r="G88">
            <v>20165</v>
          </cell>
          <cell r="H88">
            <v>75</v>
          </cell>
          <cell r="I88">
            <v>268.86666666666667</v>
          </cell>
          <cell r="J88">
            <v>1.5</v>
          </cell>
          <cell r="K88">
            <v>403.3</v>
          </cell>
          <cell r="L88">
            <v>3.4991264517144254</v>
          </cell>
          <cell r="M88">
            <v>6.9982529034288518E-2</v>
          </cell>
        </row>
        <row r="89">
          <cell r="A89">
            <v>9324</v>
          </cell>
          <cell r="B89" t="str">
            <v>Meyer Stw LA 6pk Hgln [9324]</v>
          </cell>
          <cell r="D89">
            <v>50</v>
          </cell>
          <cell r="E89" t="str">
            <v>FG Refrigerated 50</v>
          </cell>
          <cell r="F89" t="str">
            <v>CS</v>
          </cell>
          <cell r="G89">
            <v>0</v>
          </cell>
          <cell r="H89">
            <v>75</v>
          </cell>
          <cell r="I89">
            <v>0</v>
          </cell>
          <cell r="J89">
            <v>1.5</v>
          </cell>
          <cell r="K89">
            <v>0</v>
          </cell>
          <cell r="L89">
            <v>3.4991264517144254</v>
          </cell>
          <cell r="M89">
            <v>6.9982529034288518E-2</v>
          </cell>
        </row>
        <row r="90">
          <cell r="A90">
            <v>9334</v>
          </cell>
          <cell r="B90" t="str">
            <v>Rykoff Sexton Prickly Pear Lemonade 64 oz 6 pk [9334]</v>
          </cell>
          <cell r="D90">
            <v>50</v>
          </cell>
          <cell r="E90" t="str">
            <v>FG Refrigerated 50</v>
          </cell>
          <cell r="F90" t="str">
            <v>CS</v>
          </cell>
          <cell r="G90">
            <v>0</v>
          </cell>
          <cell r="H90">
            <v>75</v>
          </cell>
          <cell r="I90">
            <v>0</v>
          </cell>
          <cell r="J90">
            <v>1.5</v>
          </cell>
          <cell r="K90">
            <v>0</v>
          </cell>
          <cell r="L90">
            <v>3.4991264517144254</v>
          </cell>
          <cell r="M90">
            <v>6.9982529034288518E-2</v>
          </cell>
        </row>
        <row r="91">
          <cell r="A91">
            <v>9454</v>
          </cell>
          <cell r="B91" t="str">
            <v>SOI LA Strw Cond 3+1 Gln 4pk [9454]</v>
          </cell>
          <cell r="D91">
            <v>60</v>
          </cell>
          <cell r="E91" t="str">
            <v>FG Refrigerated 60</v>
          </cell>
          <cell r="F91" t="str">
            <v>CS</v>
          </cell>
          <cell r="G91">
            <v>11895</v>
          </cell>
          <cell r="H91">
            <v>60</v>
          </cell>
          <cell r="I91">
            <v>198.25</v>
          </cell>
          <cell r="J91">
            <v>2</v>
          </cell>
          <cell r="K91">
            <v>396.5</v>
          </cell>
          <cell r="L91">
            <v>3.4991264517144254</v>
          </cell>
          <cell r="M91">
            <v>0.11663754839048085</v>
          </cell>
        </row>
        <row r="92">
          <cell r="A92">
            <v>9456</v>
          </cell>
          <cell r="B92" t="str">
            <v>SOI 3+1 Sweet Strw LA FZN 9pk HGln 61.5oz [9456]</v>
          </cell>
          <cell r="D92">
            <v>547</v>
          </cell>
          <cell r="E92" t="str">
            <v>FG Frozen</v>
          </cell>
          <cell r="F92" t="str">
            <v>CS</v>
          </cell>
          <cell r="G92">
            <v>3472</v>
          </cell>
          <cell r="H92">
            <v>48</v>
          </cell>
          <cell r="I92">
            <v>72.333333333333329</v>
          </cell>
          <cell r="J92">
            <v>10</v>
          </cell>
          <cell r="K92">
            <v>723.33333333333326</v>
          </cell>
          <cell r="L92">
            <v>3.4991264517144254</v>
          </cell>
          <cell r="M92">
            <v>0.72898467744050521</v>
          </cell>
        </row>
        <row r="93">
          <cell r="A93">
            <v>9660</v>
          </cell>
          <cell r="B93" t="str">
            <v>SOI LA Cond 3+1 FZN HGln 6pk [9660]</v>
          </cell>
          <cell r="D93">
            <v>547</v>
          </cell>
          <cell r="E93" t="str">
            <v>FG Frozen</v>
          </cell>
          <cell r="F93" t="str">
            <v>CS</v>
          </cell>
          <cell r="G93">
            <v>1783</v>
          </cell>
          <cell r="H93">
            <v>60</v>
          </cell>
          <cell r="I93">
            <v>29.716666666666665</v>
          </cell>
          <cell r="J93">
            <v>10</v>
          </cell>
          <cell r="K93">
            <v>297.16666666666663</v>
          </cell>
          <cell r="L93">
            <v>3.4991264517144254</v>
          </cell>
          <cell r="M93">
            <v>0.58318774195240419</v>
          </cell>
        </row>
        <row r="94">
          <cell r="A94">
            <v>9710</v>
          </cell>
          <cell r="B94" t="str">
            <v>SOI LA 2+1 4pk Gln [9710]</v>
          </cell>
          <cell r="D94">
            <v>60</v>
          </cell>
          <cell r="E94" t="str">
            <v>FG Refrigerated 60</v>
          </cell>
          <cell r="F94" t="str">
            <v>CS</v>
          </cell>
          <cell r="G94">
            <v>862</v>
          </cell>
          <cell r="H94">
            <v>60</v>
          </cell>
          <cell r="I94">
            <v>14.366666666666667</v>
          </cell>
          <cell r="J94">
            <v>2</v>
          </cell>
          <cell r="K94">
            <v>28.733333333333334</v>
          </cell>
          <cell r="L94">
            <v>3.4991264517144254</v>
          </cell>
          <cell r="M94">
            <v>0.11663754839048085</v>
          </cell>
        </row>
        <row r="95">
          <cell r="A95">
            <v>9814</v>
          </cell>
          <cell r="B95" t="str">
            <v>SOI 3+1 Sweet LA Mix FZN HGln 9pk [9814]</v>
          </cell>
          <cell r="D95">
            <v>547</v>
          </cell>
          <cell r="E95" t="str">
            <v>FG Frozen</v>
          </cell>
          <cell r="F95" t="str">
            <v>CS</v>
          </cell>
          <cell r="G95">
            <v>4262</v>
          </cell>
          <cell r="H95">
            <v>48</v>
          </cell>
          <cell r="I95">
            <v>88.791666666666671</v>
          </cell>
          <cell r="J95">
            <v>10</v>
          </cell>
          <cell r="K95">
            <v>887.91666666666674</v>
          </cell>
          <cell r="L95">
            <v>3.4991264517144254</v>
          </cell>
          <cell r="M95">
            <v>0.72898467744050521</v>
          </cell>
        </row>
        <row r="96">
          <cell r="A96">
            <v>9818</v>
          </cell>
          <cell r="B96" t="str">
            <v>Creative BevBlends 3+1 Sweet LA Mix FZN HGln 9pk</v>
          </cell>
          <cell r="D96">
            <v>547</v>
          </cell>
          <cell r="E96" t="str">
            <v>FG Frozen</v>
          </cell>
          <cell r="F96" t="str">
            <v>CS</v>
          </cell>
          <cell r="G96">
            <v>4362</v>
          </cell>
          <cell r="H96">
            <v>60</v>
          </cell>
          <cell r="I96">
            <v>72.7</v>
          </cell>
          <cell r="J96">
            <v>10</v>
          </cell>
          <cell r="K96">
            <v>727</v>
          </cell>
          <cell r="L96">
            <v>3.4991264517144254</v>
          </cell>
          <cell r="M96">
            <v>0.58318774195240419</v>
          </cell>
        </row>
        <row r="97">
          <cell r="A97">
            <v>9820</v>
          </cell>
          <cell r="B97" t="str">
            <v>Auntie Annes FZN LA 3+1 HGln 6pk [9820]</v>
          </cell>
          <cell r="D97">
            <v>547</v>
          </cell>
          <cell r="E97" t="str">
            <v>FG Frozen</v>
          </cell>
          <cell r="F97" t="str">
            <v>CS</v>
          </cell>
          <cell r="G97">
            <v>54569</v>
          </cell>
          <cell r="H97">
            <v>60</v>
          </cell>
          <cell r="I97">
            <v>909.48333333333335</v>
          </cell>
          <cell r="J97">
            <v>10</v>
          </cell>
          <cell r="K97">
            <v>9094.8333333333339</v>
          </cell>
          <cell r="L97">
            <v>3.4991264517144254</v>
          </cell>
          <cell r="M97">
            <v>0.58318774195240419</v>
          </cell>
        </row>
        <row r="98">
          <cell r="A98">
            <v>9823</v>
          </cell>
          <cell r="B98" t="str">
            <v>Wendy's LA 3+1 FZN HGln 6pk</v>
          </cell>
          <cell r="D98">
            <v>547</v>
          </cell>
          <cell r="E98" t="str">
            <v>FG Frozen</v>
          </cell>
          <cell r="F98" t="str">
            <v>CS</v>
          </cell>
          <cell r="G98">
            <v>0</v>
          </cell>
          <cell r="H98">
            <v>60</v>
          </cell>
          <cell r="I98">
            <v>0</v>
          </cell>
          <cell r="J98">
            <v>10</v>
          </cell>
          <cell r="K98">
            <v>0</v>
          </cell>
          <cell r="L98">
            <v>3.4991264517144254</v>
          </cell>
          <cell r="M98">
            <v>0.58318774195240419</v>
          </cell>
        </row>
        <row r="99">
          <cell r="A99">
            <v>9942</v>
          </cell>
          <cell r="B99" t="str">
            <v>Condensed Strawberry Lemonade Base Drum REF</v>
          </cell>
          <cell r="D99">
            <v>60</v>
          </cell>
          <cell r="E99" t="str">
            <v>FG Refrigerated 60</v>
          </cell>
          <cell r="F99" t="str">
            <v>DR</v>
          </cell>
          <cell r="G99">
            <v>125</v>
          </cell>
          <cell r="H99">
            <v>4</v>
          </cell>
          <cell r="I99">
            <v>31.25</v>
          </cell>
          <cell r="J99">
            <v>2</v>
          </cell>
          <cell r="K99">
            <v>62.5</v>
          </cell>
          <cell r="L99">
            <v>3.4991264517144254</v>
          </cell>
          <cell r="M99">
            <v>1.7495632258572127</v>
          </cell>
        </row>
        <row r="100">
          <cell r="A100">
            <v>9952</v>
          </cell>
          <cell r="B100" t="str">
            <v>Condensed Lemonade Base Drum REF</v>
          </cell>
          <cell r="D100">
            <v>60</v>
          </cell>
          <cell r="E100" t="str">
            <v>FG Refrigerated 60</v>
          </cell>
          <cell r="F100" t="str">
            <v>DR</v>
          </cell>
          <cell r="G100">
            <v>94</v>
          </cell>
          <cell r="H100">
            <v>4</v>
          </cell>
          <cell r="I100">
            <v>23.5</v>
          </cell>
          <cell r="J100">
            <v>2</v>
          </cell>
          <cell r="K100">
            <v>47</v>
          </cell>
          <cell r="L100">
            <v>3.4991264517144254</v>
          </cell>
          <cell r="M100">
            <v>1.7495632258572127</v>
          </cell>
        </row>
        <row r="101">
          <cell r="A101" t="str">
            <v>4502F</v>
          </cell>
          <cell r="B101" t="str">
            <v>SOI Lemon Juice FZN Gln 4pk [4502F]</v>
          </cell>
          <cell r="C101" t="str">
            <v>Lemon Juice</v>
          </cell>
          <cell r="D101">
            <v>548</v>
          </cell>
          <cell r="E101" t="str">
            <v>FG Frozen</v>
          </cell>
          <cell r="F101" t="str">
            <v>CS</v>
          </cell>
          <cell r="G101">
            <v>1803</v>
          </cell>
          <cell r="H101">
            <v>60</v>
          </cell>
          <cell r="I101">
            <v>30.05</v>
          </cell>
          <cell r="J101">
            <v>10</v>
          </cell>
          <cell r="K101">
            <v>300.5</v>
          </cell>
          <cell r="L101">
            <v>3.4991264517144254</v>
          </cell>
          <cell r="M101">
            <v>0.58318774195240419</v>
          </cell>
        </row>
        <row r="102">
          <cell r="A102" t="str">
            <v>4951M</v>
          </cell>
          <cell r="B102" t="str">
            <v>Meyer Lemon Juice Drum FZN [4951M]</v>
          </cell>
          <cell r="C102" t="str">
            <v>Lemon Juice</v>
          </cell>
          <cell r="D102">
            <v>547</v>
          </cell>
          <cell r="E102" t="str">
            <v>FG Frozen</v>
          </cell>
          <cell r="F102" t="str">
            <v>DR</v>
          </cell>
          <cell r="G102">
            <v>0</v>
          </cell>
          <cell r="H102">
            <v>4</v>
          </cell>
          <cell r="I102">
            <v>0</v>
          </cell>
          <cell r="J102">
            <v>10</v>
          </cell>
          <cell r="K102">
            <v>0</v>
          </cell>
          <cell r="L102">
            <v>3.4991264517144254</v>
          </cell>
          <cell r="M102">
            <v>8.747816129286063</v>
          </cell>
        </row>
        <row r="103">
          <cell r="A103" t="str">
            <v>5142F</v>
          </cell>
          <cell r="B103" t="str">
            <v>SOI Marg Mix Cond 3+1 FZN HGln 9pk [5142F]</v>
          </cell>
          <cell r="C103" t="str">
            <v>Marg mix</v>
          </cell>
          <cell r="D103">
            <v>540</v>
          </cell>
          <cell r="E103" t="str">
            <v>FG Frozen</v>
          </cell>
          <cell r="F103" t="str">
            <v>CS</v>
          </cell>
          <cell r="G103">
            <v>1499</v>
          </cell>
          <cell r="H103">
            <v>48</v>
          </cell>
          <cell r="I103">
            <v>31.229166666666668</v>
          </cell>
          <cell r="J103">
            <v>10</v>
          </cell>
          <cell r="K103">
            <v>312.29166666666669</v>
          </cell>
          <cell r="L103">
            <v>3.4991264517144254</v>
          </cell>
          <cell r="M103">
            <v>0.72898467744050521</v>
          </cell>
        </row>
        <row r="104">
          <cell r="A104" t="str">
            <v>BOX132WAV2</v>
          </cell>
          <cell r="B104" t="str">
            <v>White 12 QT Key Lime Juice Wrap Around [BOX132WA]</v>
          </cell>
          <cell r="E104" t="str">
            <v>Box</v>
          </cell>
          <cell r="F104" t="str">
            <v>EA</v>
          </cell>
          <cell r="G104">
            <v>4000</v>
          </cell>
          <cell r="H104">
            <v>500</v>
          </cell>
          <cell r="I104">
            <v>8</v>
          </cell>
          <cell r="J104">
            <v>4</v>
          </cell>
          <cell r="K104">
            <v>32</v>
          </cell>
          <cell r="L104">
            <v>3.4991264517144254</v>
          </cell>
          <cell r="M104">
            <v>2.7993011613715403E-2</v>
          </cell>
        </row>
        <row r="105">
          <cell r="A105" t="str">
            <v>BOX133WAV2</v>
          </cell>
          <cell r="B105" t="str">
            <v>12 QT Meyer Lemon Juice Wrap Around V2</v>
          </cell>
          <cell r="E105" t="str">
            <v>Box</v>
          </cell>
          <cell r="F105" t="str">
            <v>EA</v>
          </cell>
          <cell r="G105">
            <v>8000</v>
          </cell>
          <cell r="H105">
            <v>500</v>
          </cell>
          <cell r="I105">
            <v>16</v>
          </cell>
          <cell r="J105">
            <v>4</v>
          </cell>
          <cell r="K105">
            <v>64</v>
          </cell>
          <cell r="L105">
            <v>3.4991264517144254</v>
          </cell>
          <cell r="M105">
            <v>2.7993011613715403E-2</v>
          </cell>
        </row>
        <row r="106">
          <cell r="A106" t="str">
            <v>BOX150WAV2</v>
          </cell>
          <cell r="B106" t="str">
            <v>White 6 Hgln Bloody Mary Mix Wrap [BOX150WA]</v>
          </cell>
          <cell r="E106" t="str">
            <v>Box</v>
          </cell>
          <cell r="F106" t="str">
            <v>EA</v>
          </cell>
          <cell r="G106">
            <v>11000</v>
          </cell>
          <cell r="H106">
            <v>600</v>
          </cell>
          <cell r="I106">
            <v>18.333333333333332</v>
          </cell>
          <cell r="J106">
            <v>4</v>
          </cell>
          <cell r="K106">
            <v>73.333333333333329</v>
          </cell>
          <cell r="L106">
            <v>3.4991264517144254</v>
          </cell>
          <cell r="M106">
            <v>2.3327509678096169E-2</v>
          </cell>
        </row>
        <row r="107">
          <cell r="A107" t="str">
            <v>BOX152WAV2</v>
          </cell>
          <cell r="B107" t="str">
            <v>White 6 Hgln Marg Mix Wrap Around [BOX152WA]</v>
          </cell>
          <cell r="E107" t="str">
            <v>Box</v>
          </cell>
          <cell r="F107" t="str">
            <v>EA</v>
          </cell>
          <cell r="G107">
            <v>11870</v>
          </cell>
          <cell r="H107">
            <v>500</v>
          </cell>
          <cell r="I107">
            <v>23.74</v>
          </cell>
          <cell r="J107">
            <v>4</v>
          </cell>
          <cell r="K107">
            <v>94.96</v>
          </cell>
          <cell r="L107">
            <v>3.4991264517144254</v>
          </cell>
          <cell r="M107">
            <v>2.7993011613715403E-2</v>
          </cell>
        </row>
        <row r="108">
          <cell r="A108" t="str">
            <v>BOX164AWAV2</v>
          </cell>
          <cell r="B108" t="str">
            <v>White 6 Hgln Val OJ Wrap Around [BOX164AWA]</v>
          </cell>
          <cell r="E108" t="str">
            <v>Box</v>
          </cell>
          <cell r="F108" t="str">
            <v>EA</v>
          </cell>
          <cell r="G108">
            <v>62630</v>
          </cell>
          <cell r="H108">
            <v>500</v>
          </cell>
          <cell r="I108">
            <v>125.26</v>
          </cell>
          <cell r="J108">
            <v>4</v>
          </cell>
          <cell r="K108">
            <v>501.04</v>
          </cell>
          <cell r="L108">
            <v>3.4991264517144254</v>
          </cell>
          <cell r="M108">
            <v>2.7993011613715403E-2</v>
          </cell>
        </row>
        <row r="109">
          <cell r="A109" t="str">
            <v>BOX165WAV2</v>
          </cell>
          <cell r="B109" t="str">
            <v>White 6 Hgln Meyer LA Wrap Around [BOX165WA]</v>
          </cell>
          <cell r="E109" t="str">
            <v>Box</v>
          </cell>
          <cell r="F109" t="str">
            <v>EA</v>
          </cell>
          <cell r="G109">
            <v>22640</v>
          </cell>
          <cell r="H109">
            <v>500</v>
          </cell>
          <cell r="I109">
            <v>45.28</v>
          </cell>
          <cell r="J109">
            <v>4</v>
          </cell>
          <cell r="K109">
            <v>181.12</v>
          </cell>
          <cell r="L109">
            <v>3.4991264517144254</v>
          </cell>
          <cell r="M109">
            <v>2.7993011613715403E-2</v>
          </cell>
        </row>
        <row r="110">
          <cell r="A110" t="str">
            <v>BOX170WA</v>
          </cell>
          <cell r="B110" t="str">
            <v>Kraft 6 Hgln Rykoff Sexton Prickly Pear Lemonade [BOX170WA]</v>
          </cell>
          <cell r="E110" t="str">
            <v>Box</v>
          </cell>
          <cell r="F110" t="str">
            <v>EA</v>
          </cell>
          <cell r="G110">
            <v>0</v>
          </cell>
          <cell r="H110">
            <v>600</v>
          </cell>
          <cell r="I110">
            <v>0</v>
          </cell>
          <cell r="J110">
            <v>4</v>
          </cell>
          <cell r="K110">
            <v>0</v>
          </cell>
          <cell r="L110">
            <v>3.4991264517144254</v>
          </cell>
          <cell r="M110">
            <v>2.3327509678096169E-2</v>
          </cell>
        </row>
        <row r="111">
          <cell r="A111" t="str">
            <v>BOX211</v>
          </cell>
          <cell r="B111" t="str">
            <v>WHT 4/Gln RSC [BOX211]</v>
          </cell>
          <cell r="E111" t="str">
            <v>Box</v>
          </cell>
          <cell r="F111" t="str">
            <v>EA</v>
          </cell>
          <cell r="G111">
            <v>0</v>
          </cell>
          <cell r="H111">
            <v>500</v>
          </cell>
          <cell r="I111">
            <v>0</v>
          </cell>
          <cell r="J111">
            <v>4</v>
          </cell>
          <cell r="K111">
            <v>0</v>
          </cell>
          <cell r="L111">
            <v>3.4991264517144254</v>
          </cell>
          <cell r="M111">
            <v>2.7993011613715403E-2</v>
          </cell>
        </row>
        <row r="112">
          <cell r="A112" t="str">
            <v>BOX211WA</v>
          </cell>
          <cell r="B112" t="str">
            <v>WHT 4/Gln Wrap Around [BOX211WA]</v>
          </cell>
          <cell r="E112" t="str">
            <v>Box</v>
          </cell>
          <cell r="F112" t="str">
            <v>EA</v>
          </cell>
          <cell r="G112">
            <v>0</v>
          </cell>
          <cell r="H112">
            <v>500</v>
          </cell>
          <cell r="I112">
            <v>0</v>
          </cell>
          <cell r="J112">
            <v>4</v>
          </cell>
          <cell r="K112">
            <v>0</v>
          </cell>
          <cell r="L112">
            <v>3.4991264517144254</v>
          </cell>
          <cell r="M112">
            <v>2.7993011613715403E-2</v>
          </cell>
        </row>
        <row r="113">
          <cell r="A113" t="str">
            <v>BOX211WAV2</v>
          </cell>
          <cell r="B113" t="str">
            <v>WHT 4/Gln Wrap Around V2</v>
          </cell>
          <cell r="E113" t="str">
            <v>Box</v>
          </cell>
          <cell r="F113" t="str">
            <v>EA</v>
          </cell>
          <cell r="G113">
            <v>314350</v>
          </cell>
          <cell r="H113">
            <v>500</v>
          </cell>
          <cell r="I113">
            <v>628.70000000000005</v>
          </cell>
          <cell r="J113">
            <v>4</v>
          </cell>
          <cell r="K113">
            <v>2514.8000000000002</v>
          </cell>
          <cell r="L113">
            <v>3.4991264517144254</v>
          </cell>
          <cell r="M113">
            <v>2.7993011613715403E-2</v>
          </cell>
        </row>
        <row r="114">
          <cell r="A114" t="str">
            <v>BOX212</v>
          </cell>
          <cell r="B114" t="str">
            <v>WHT 6/HGln RSC [BOX212]</v>
          </cell>
          <cell r="E114" t="str">
            <v>Box</v>
          </cell>
          <cell r="F114" t="str">
            <v>EA</v>
          </cell>
          <cell r="G114">
            <v>0</v>
          </cell>
          <cell r="H114">
            <v>750</v>
          </cell>
          <cell r="I114">
            <v>0</v>
          </cell>
          <cell r="J114">
            <v>4</v>
          </cell>
          <cell r="K114">
            <v>0</v>
          </cell>
          <cell r="L114">
            <v>3.4991264517144254</v>
          </cell>
          <cell r="M114">
            <v>1.8662007742476935E-2</v>
          </cell>
        </row>
        <row r="115">
          <cell r="A115" t="str">
            <v>BOX212WA</v>
          </cell>
          <cell r="B115" t="str">
            <v>WHT 6/HGln Wrap Around [BOX212WA]</v>
          </cell>
          <cell r="E115" t="str">
            <v>Box</v>
          </cell>
          <cell r="F115" t="str">
            <v>EA</v>
          </cell>
          <cell r="G115">
            <v>0</v>
          </cell>
          <cell r="H115">
            <v>500</v>
          </cell>
          <cell r="I115">
            <v>0</v>
          </cell>
          <cell r="J115">
            <v>4</v>
          </cell>
          <cell r="K115">
            <v>0</v>
          </cell>
          <cell r="L115">
            <v>3.4991264517144254</v>
          </cell>
          <cell r="M115">
            <v>2.7993011613715403E-2</v>
          </cell>
        </row>
        <row r="116">
          <cell r="A116" t="str">
            <v>BOX212WAV2</v>
          </cell>
          <cell r="B116" t="str">
            <v>WHT 6/HGln Wrap Around V2</v>
          </cell>
          <cell r="E116" t="str">
            <v>Box</v>
          </cell>
          <cell r="F116" t="str">
            <v>EA</v>
          </cell>
          <cell r="G116">
            <v>156911</v>
          </cell>
          <cell r="H116">
            <v>500</v>
          </cell>
          <cell r="I116">
            <v>313.822</v>
          </cell>
          <cell r="J116">
            <v>4</v>
          </cell>
          <cell r="K116">
            <v>1255.288</v>
          </cell>
          <cell r="L116">
            <v>3.4991264517144254</v>
          </cell>
          <cell r="M116">
            <v>2.7993011613715403E-2</v>
          </cell>
        </row>
        <row r="117">
          <cell r="A117" t="str">
            <v>BOX213</v>
          </cell>
          <cell r="B117" t="str">
            <v>WHT 16/Qt RSC [BOX213]</v>
          </cell>
          <cell r="E117" t="str">
            <v>Box</v>
          </cell>
          <cell r="F117" t="str">
            <v>EA</v>
          </cell>
          <cell r="G117">
            <v>0</v>
          </cell>
          <cell r="H117">
            <v>500</v>
          </cell>
          <cell r="I117">
            <v>0</v>
          </cell>
          <cell r="J117">
            <v>4</v>
          </cell>
          <cell r="K117">
            <v>0</v>
          </cell>
          <cell r="L117">
            <v>3.4991264517144254</v>
          </cell>
          <cell r="M117">
            <v>2.7993011613715403E-2</v>
          </cell>
        </row>
        <row r="118">
          <cell r="A118" t="str">
            <v>BOX213WA</v>
          </cell>
          <cell r="B118" t="str">
            <v>WHT 16/Qt Wrap Around [BOX213WA]</v>
          </cell>
          <cell r="E118" t="str">
            <v>Box</v>
          </cell>
          <cell r="F118" t="str">
            <v>EA</v>
          </cell>
          <cell r="G118">
            <v>0</v>
          </cell>
          <cell r="H118">
            <v>500</v>
          </cell>
          <cell r="I118">
            <v>0</v>
          </cell>
          <cell r="J118">
            <v>4</v>
          </cell>
          <cell r="K118">
            <v>0</v>
          </cell>
          <cell r="L118">
            <v>3.4991264517144254</v>
          </cell>
          <cell r="M118">
            <v>2.7993011613715403E-2</v>
          </cell>
        </row>
        <row r="119">
          <cell r="A119" t="str">
            <v>BOX321WA</v>
          </cell>
          <cell r="B119" t="str">
            <v>WHT 4/Gln Wrap Around [BOX321WA]</v>
          </cell>
          <cell r="E119" t="str">
            <v>Box</v>
          </cell>
          <cell r="F119" t="str">
            <v>EA</v>
          </cell>
          <cell r="G119">
            <v>449531</v>
          </cell>
          <cell r="H119">
            <v>500</v>
          </cell>
          <cell r="I119">
            <v>899.06200000000001</v>
          </cell>
          <cell r="J119">
            <v>4</v>
          </cell>
          <cell r="K119">
            <v>3596.248</v>
          </cell>
          <cell r="L119">
            <v>3.4991264517144254</v>
          </cell>
          <cell r="M119">
            <v>2.7993011613715403E-2</v>
          </cell>
        </row>
        <row r="120">
          <cell r="A120" t="str">
            <v>BOX322</v>
          </cell>
          <cell r="B120" t="str">
            <v>WHT 6 HGln RSC [BOX322]</v>
          </cell>
          <cell r="E120" t="str">
            <v>Box</v>
          </cell>
          <cell r="F120" t="str">
            <v>EA</v>
          </cell>
          <cell r="G120">
            <v>856</v>
          </cell>
          <cell r="H120">
            <v>750</v>
          </cell>
          <cell r="I120">
            <v>1.1413333333333333</v>
          </cell>
          <cell r="J120">
            <v>4</v>
          </cell>
          <cell r="K120">
            <v>4.5653333333333332</v>
          </cell>
          <cell r="L120">
            <v>3.4991264517144254</v>
          </cell>
          <cell r="M120">
            <v>1.8662007742476935E-2</v>
          </cell>
        </row>
        <row r="121">
          <cell r="A121" t="str">
            <v>BOX322WA</v>
          </cell>
          <cell r="B121" t="str">
            <v>WHT 6 HGln Wrap Around [BOX322WA]</v>
          </cell>
          <cell r="E121" t="str">
            <v>Box</v>
          </cell>
          <cell r="F121" t="str">
            <v>EA</v>
          </cell>
          <cell r="G121">
            <v>58609</v>
          </cell>
          <cell r="H121">
            <v>500</v>
          </cell>
          <cell r="I121">
            <v>117.218</v>
          </cell>
          <cell r="J121">
            <v>4</v>
          </cell>
          <cell r="K121">
            <v>468.87200000000001</v>
          </cell>
          <cell r="L121">
            <v>3.4991264517144254</v>
          </cell>
          <cell r="M121">
            <v>2.7993011613715403E-2</v>
          </cell>
        </row>
        <row r="122">
          <cell r="A122" t="str">
            <v>BOX323WA</v>
          </cell>
          <cell r="B122" t="str">
            <v>WHT 6/Qt Wrap Around [BOX323WA]</v>
          </cell>
          <cell r="E122" t="str">
            <v>Box</v>
          </cell>
          <cell r="F122" t="str">
            <v>EA</v>
          </cell>
          <cell r="G122">
            <v>88924</v>
          </cell>
          <cell r="H122">
            <v>458</v>
          </cell>
          <cell r="I122">
            <v>194.15720524017468</v>
          </cell>
          <cell r="J122">
            <v>4</v>
          </cell>
          <cell r="K122">
            <v>776.6288209606987</v>
          </cell>
          <cell r="L122">
            <v>3.4991264517144254</v>
          </cell>
          <cell r="M122">
            <v>3.0560056346850877E-2</v>
          </cell>
        </row>
        <row r="123">
          <cell r="A123" t="str">
            <v>BOX411</v>
          </cell>
          <cell r="B123" t="str">
            <v>BRN 4/Gln RSC [BOX411]</v>
          </cell>
          <cell r="E123" t="str">
            <v>Box</v>
          </cell>
          <cell r="F123" t="str">
            <v>EA</v>
          </cell>
          <cell r="G123">
            <v>2000</v>
          </cell>
          <cell r="H123">
            <v>500</v>
          </cell>
          <cell r="I123">
            <v>4</v>
          </cell>
          <cell r="J123">
            <v>4</v>
          </cell>
          <cell r="K123">
            <v>16</v>
          </cell>
          <cell r="L123">
            <v>3.4991264517144254</v>
          </cell>
          <cell r="M123">
            <v>2.7993011613715403E-2</v>
          </cell>
        </row>
        <row r="124">
          <cell r="A124" t="str">
            <v>BOX411WA</v>
          </cell>
          <cell r="B124" t="str">
            <v>BRN 4/Gln Wrap Around [BOX411WA]</v>
          </cell>
          <cell r="E124" t="str">
            <v>Box</v>
          </cell>
          <cell r="F124" t="str">
            <v>EA</v>
          </cell>
          <cell r="G124">
            <v>654219</v>
          </cell>
          <cell r="H124">
            <v>497.16666666666669</v>
          </cell>
          <cell r="I124">
            <v>1315.8947368421052</v>
          </cell>
          <cell r="J124">
            <v>4</v>
          </cell>
          <cell r="K124">
            <v>5263.5789473684208</v>
          </cell>
          <cell r="L124">
            <v>3.4991264517144254</v>
          </cell>
          <cell r="M124">
            <v>2.81525426889528E-2</v>
          </cell>
        </row>
        <row r="125">
          <cell r="A125" t="str">
            <v>BOX412</v>
          </cell>
          <cell r="B125" t="str">
            <v>BRN 6 HGln RSC [BOX412]</v>
          </cell>
          <cell r="E125" t="str">
            <v>Box</v>
          </cell>
          <cell r="F125" t="str">
            <v>EA</v>
          </cell>
          <cell r="G125">
            <v>0</v>
          </cell>
          <cell r="H125">
            <v>494.09090909090907</v>
          </cell>
          <cell r="I125">
            <v>0</v>
          </cell>
          <cell r="J125">
            <v>4</v>
          </cell>
          <cell r="K125">
            <v>0</v>
          </cell>
          <cell r="L125">
            <v>3.4991264517144254</v>
          </cell>
          <cell r="M125">
            <v>2.8327794641294337E-2</v>
          </cell>
        </row>
        <row r="126">
          <cell r="A126" t="str">
            <v>BOX412WA</v>
          </cell>
          <cell r="B126" t="str">
            <v>BRN 6 HGln Wrap Around [BOX412WA]</v>
          </cell>
          <cell r="E126" t="str">
            <v>Box</v>
          </cell>
          <cell r="F126" t="str">
            <v>EA</v>
          </cell>
          <cell r="G126">
            <v>306032</v>
          </cell>
          <cell r="H126">
            <v>500</v>
          </cell>
          <cell r="I126">
            <v>612.06399999999996</v>
          </cell>
          <cell r="J126">
            <v>4</v>
          </cell>
          <cell r="K126">
            <v>2448.2559999999999</v>
          </cell>
          <cell r="L126">
            <v>3.4991264517144254</v>
          </cell>
          <cell r="M126">
            <v>2.7993011613715403E-2</v>
          </cell>
        </row>
        <row r="127">
          <cell r="A127" t="str">
            <v>BOX414</v>
          </cell>
          <cell r="B127" t="str">
            <v>BRN 6/Qt RSC</v>
          </cell>
          <cell r="E127" t="str">
            <v>Box</v>
          </cell>
          <cell r="F127" t="str">
            <v>EA</v>
          </cell>
          <cell r="G127">
            <v>9094</v>
          </cell>
          <cell r="H127">
            <v>500</v>
          </cell>
          <cell r="I127">
            <v>18.187999999999999</v>
          </cell>
          <cell r="J127">
            <v>4</v>
          </cell>
          <cell r="K127">
            <v>72.751999999999995</v>
          </cell>
          <cell r="L127">
            <v>3.4991264517144254</v>
          </cell>
          <cell r="M127">
            <v>2.7993011613715403E-2</v>
          </cell>
        </row>
        <row r="128">
          <cell r="A128" t="str">
            <v>BOX414WA</v>
          </cell>
          <cell r="B128" t="str">
            <v>BRN 6/Qt Wrap Around [BOX414WA]</v>
          </cell>
          <cell r="E128" t="str">
            <v>Box</v>
          </cell>
          <cell r="F128" t="str">
            <v>EA</v>
          </cell>
          <cell r="G128">
            <v>110140</v>
          </cell>
          <cell r="H128">
            <v>727.5</v>
          </cell>
          <cell r="I128">
            <v>151.39518900343643</v>
          </cell>
          <cell r="J128">
            <v>4</v>
          </cell>
          <cell r="K128">
            <v>605.58075601374571</v>
          </cell>
          <cell r="L128">
            <v>3.4991264517144254</v>
          </cell>
          <cell r="M128">
            <v>1.9239183239666943E-2</v>
          </cell>
        </row>
        <row r="129">
          <cell r="A129" t="str">
            <v>BOX415WA</v>
          </cell>
          <cell r="B129" t="str">
            <v>BRN 16/Qt Wrap Around [BOX415WA]</v>
          </cell>
          <cell r="E129" t="str">
            <v>Box</v>
          </cell>
          <cell r="F129" t="str">
            <v>EA</v>
          </cell>
          <cell r="G129">
            <v>0</v>
          </cell>
          <cell r="H129">
            <v>497.81818181818181</v>
          </cell>
          <cell r="I129">
            <v>0</v>
          </cell>
          <cell r="J129">
            <v>4</v>
          </cell>
          <cell r="K129">
            <v>0</v>
          </cell>
          <cell r="L129">
            <v>3.4991264517144254</v>
          </cell>
          <cell r="M129">
            <v>2.8115698297194069E-2</v>
          </cell>
        </row>
        <row r="130">
          <cell r="A130" t="str">
            <v>BOX420WA</v>
          </cell>
          <cell r="B130" t="str">
            <v>BRN 16/Qt Wrap Around</v>
          </cell>
          <cell r="E130" t="str">
            <v>Box</v>
          </cell>
          <cell r="F130" t="str">
            <v>EA</v>
          </cell>
          <cell r="G130">
            <v>0</v>
          </cell>
          <cell r="H130">
            <v>500</v>
          </cell>
          <cell r="I130">
            <v>0</v>
          </cell>
          <cell r="J130">
            <v>4</v>
          </cell>
          <cell r="K130">
            <v>0</v>
          </cell>
          <cell r="L130">
            <v>3.4991264517144254</v>
          </cell>
          <cell r="M130">
            <v>2.7993011613715403E-2</v>
          </cell>
        </row>
        <row r="131">
          <cell r="A131" t="str">
            <v>BOX521</v>
          </cell>
          <cell r="B131" t="str">
            <v>BRN 24pk 12oz RSC</v>
          </cell>
          <cell r="E131" t="str">
            <v>Box</v>
          </cell>
          <cell r="F131" t="str">
            <v>EA</v>
          </cell>
          <cell r="G131">
            <v>500</v>
          </cell>
          <cell r="H131">
            <v>500</v>
          </cell>
          <cell r="I131">
            <v>1</v>
          </cell>
          <cell r="J131">
            <v>4</v>
          </cell>
          <cell r="K131">
            <v>4</v>
          </cell>
          <cell r="L131">
            <v>3.4991264517144254</v>
          </cell>
          <cell r="M131">
            <v>2.7993011613715403E-2</v>
          </cell>
        </row>
        <row r="132">
          <cell r="A132" t="str">
            <v>BOX521WA</v>
          </cell>
          <cell r="B132" t="str">
            <v>BRN 24pk 12oz Wrap Around</v>
          </cell>
          <cell r="E132" t="str">
            <v>Box</v>
          </cell>
          <cell r="F132" t="str">
            <v>EA</v>
          </cell>
          <cell r="G132">
            <v>3500</v>
          </cell>
          <cell r="H132">
            <v>500</v>
          </cell>
          <cell r="I132">
            <v>7</v>
          </cell>
          <cell r="J132">
            <v>4</v>
          </cell>
          <cell r="K132">
            <v>28</v>
          </cell>
          <cell r="L132">
            <v>3.4991264517144254</v>
          </cell>
          <cell r="M132">
            <v>2.7993011613715403E-2</v>
          </cell>
        </row>
        <row r="133">
          <cell r="A133" t="str">
            <v>BTL211</v>
          </cell>
          <cell r="B133" t="str">
            <v>Gln HDPE DBJ</v>
          </cell>
          <cell r="E133" t="str">
            <v>Bottle Other</v>
          </cell>
          <cell r="F133" t="str">
            <v>EA</v>
          </cell>
          <cell r="G133">
            <v>5674752</v>
          </cell>
          <cell r="H133">
            <v>768</v>
          </cell>
          <cell r="I133">
            <v>7389</v>
          </cell>
          <cell r="J133">
            <v>0</v>
          </cell>
          <cell r="K133">
            <v>0</v>
          </cell>
          <cell r="L133">
            <v>3.4991264517144254</v>
          </cell>
          <cell r="M133">
            <v>0</v>
          </cell>
        </row>
        <row r="134">
          <cell r="A134" t="str">
            <v>BTL212</v>
          </cell>
          <cell r="B134" t="str">
            <v>HGln HDPE DBJ</v>
          </cell>
          <cell r="E134" t="str">
            <v>Bottle Other</v>
          </cell>
          <cell r="F134" t="str">
            <v>EA</v>
          </cell>
          <cell r="G134">
            <v>3869042</v>
          </cell>
          <cell r="H134">
            <v>1728</v>
          </cell>
          <cell r="I134">
            <v>2239.0289351851852</v>
          </cell>
          <cell r="J134">
            <v>0</v>
          </cell>
          <cell r="K134">
            <v>0</v>
          </cell>
          <cell r="L134">
            <v>3.4991264517144254</v>
          </cell>
          <cell r="M134">
            <v>0</v>
          </cell>
        </row>
        <row r="135">
          <cell r="A135" t="str">
            <v>BTL213</v>
          </cell>
          <cell r="B135" t="str">
            <v>Qt HDPE DBJ [BTL213]</v>
          </cell>
          <cell r="E135" t="str">
            <v>Bottle Other</v>
          </cell>
          <cell r="F135" t="str">
            <v>EA</v>
          </cell>
          <cell r="G135">
            <v>1556928</v>
          </cell>
          <cell r="H135">
            <v>1728</v>
          </cell>
          <cell r="I135">
            <v>901</v>
          </cell>
          <cell r="J135">
            <v>0</v>
          </cell>
          <cell r="K135">
            <v>0</v>
          </cell>
          <cell r="L135">
            <v>3.4991264517144254</v>
          </cell>
          <cell r="M135">
            <v>0</v>
          </cell>
        </row>
        <row r="136">
          <cell r="A136" t="str">
            <v>BTL214</v>
          </cell>
          <cell r="B136" t="str">
            <v>Pint HDPE DBJ [BTL214]</v>
          </cell>
          <cell r="E136" t="str">
            <v>Bottle Pints</v>
          </cell>
          <cell r="F136" t="str">
            <v>EA</v>
          </cell>
          <cell r="G136">
            <v>0</v>
          </cell>
          <cell r="H136">
            <v>3535.0588235294117</v>
          </cell>
          <cell r="I136">
            <v>0</v>
          </cell>
          <cell r="J136">
            <v>4</v>
          </cell>
          <cell r="K136">
            <v>0</v>
          </cell>
          <cell r="L136">
            <v>3.4991264517144254</v>
          </cell>
          <cell r="M136">
            <v>3.9593416985586553E-3</v>
          </cell>
        </row>
        <row r="137">
          <cell r="A137" t="str">
            <v>BTL215</v>
          </cell>
          <cell r="B137" t="str">
            <v>12.5  oz HDPE DBJ [BTL215]</v>
          </cell>
          <cell r="E137" t="str">
            <v>Bottle 12OZ</v>
          </cell>
          <cell r="F137" t="str">
            <v>EA</v>
          </cell>
          <cell r="G137">
            <v>0</v>
          </cell>
          <cell r="H137">
            <v>4560</v>
          </cell>
          <cell r="I137">
            <v>0</v>
          </cell>
          <cell r="J137">
            <v>4</v>
          </cell>
          <cell r="K137">
            <v>0</v>
          </cell>
          <cell r="L137">
            <v>3.4991264517144254</v>
          </cell>
          <cell r="M137">
            <v>3.0694091681705486E-3</v>
          </cell>
        </row>
        <row r="138">
          <cell r="A138" t="str">
            <v>COL003</v>
          </cell>
          <cell r="B138" t="str">
            <v>Exberry Shade Red 153330 [COL003]</v>
          </cell>
          <cell r="E138" t="str">
            <v>Color</v>
          </cell>
          <cell r="F138" t="str">
            <v>LB</v>
          </cell>
          <cell r="G138">
            <v>440</v>
          </cell>
          <cell r="H138">
            <v>110</v>
          </cell>
          <cell r="I138">
            <v>4</v>
          </cell>
          <cell r="J138">
            <v>12.899999999999999</v>
          </cell>
          <cell r="K138">
            <v>51.599999999999994</v>
          </cell>
          <cell r="L138">
            <v>3.4991264517144254</v>
          </cell>
          <cell r="M138">
            <v>0.41035210206469164</v>
          </cell>
        </row>
        <row r="139">
          <cell r="A139" t="str">
            <v>COL004</v>
          </cell>
          <cell r="B139" t="str">
            <v>Exberry Mango Yel 450005 [COL004]</v>
          </cell>
          <cell r="E139" t="str">
            <v>Color</v>
          </cell>
          <cell r="F139" t="str">
            <v>LB</v>
          </cell>
          <cell r="G139">
            <v>605</v>
          </cell>
          <cell r="H139">
            <v>110</v>
          </cell>
          <cell r="I139">
            <v>5.5</v>
          </cell>
          <cell r="J139">
            <v>12.899999999999999</v>
          </cell>
          <cell r="K139">
            <v>70.949999999999989</v>
          </cell>
          <cell r="L139">
            <v>3.4991264517144254</v>
          </cell>
          <cell r="M139">
            <v>0.41035210206469164</v>
          </cell>
        </row>
        <row r="140">
          <cell r="A140" t="str">
            <v>CON003</v>
          </cell>
          <cell r="B140" t="str">
            <v>White Grape Juice Con Brix 68 [CON003]</v>
          </cell>
          <cell r="E140" t="str">
            <v>Con</v>
          </cell>
          <cell r="F140" t="str">
            <v>GL</v>
          </cell>
          <cell r="G140">
            <v>23350</v>
          </cell>
          <cell r="H140">
            <v>198.31460674157304</v>
          </cell>
          <cell r="I140">
            <v>117.74220963172804</v>
          </cell>
          <cell r="J140">
            <v>12.899999999999999</v>
          </cell>
          <cell r="K140">
            <v>1518.8745042492917</v>
          </cell>
          <cell r="L140">
            <v>3.4991264517144254</v>
          </cell>
          <cell r="M140">
            <v>0.22761173253333319</v>
          </cell>
        </row>
        <row r="141">
          <cell r="A141" t="str">
            <v>CON005</v>
          </cell>
          <cell r="B141" t="str">
            <v>Lemon Juice Concentrate Brix 43</v>
          </cell>
          <cell r="E141" t="str">
            <v>Con</v>
          </cell>
          <cell r="F141" t="str">
            <v>GL</v>
          </cell>
          <cell r="G141">
            <v>1757.6000000000001</v>
          </cell>
          <cell r="H141">
            <v>208</v>
          </cell>
          <cell r="I141">
            <v>8.4500000000000011</v>
          </cell>
          <cell r="J141">
            <v>12.899999999999999</v>
          </cell>
          <cell r="K141">
            <v>109.005</v>
          </cell>
          <cell r="L141">
            <v>3.4991264517144254</v>
          </cell>
          <cell r="M141">
            <v>0.21701313089959656</v>
          </cell>
        </row>
        <row r="142">
          <cell r="A142" t="str">
            <v>CON017</v>
          </cell>
          <cell r="B142" t="str">
            <v>Concord Grape Concentrate [CON017]</v>
          </cell>
          <cell r="E142" t="str">
            <v>Con</v>
          </cell>
          <cell r="F142" t="str">
            <v>GL</v>
          </cell>
          <cell r="G142">
            <v>2016</v>
          </cell>
          <cell r="H142">
            <v>200</v>
          </cell>
          <cell r="I142">
            <v>10.08</v>
          </cell>
          <cell r="J142">
            <v>12.899999999999999</v>
          </cell>
          <cell r="K142">
            <v>130.03199999999998</v>
          </cell>
          <cell r="L142">
            <v>3.4991264517144254</v>
          </cell>
          <cell r="M142">
            <v>0.2256936561355804</v>
          </cell>
        </row>
        <row r="143">
          <cell r="A143" t="str">
            <v>CON020</v>
          </cell>
          <cell r="B143" t="str">
            <v>Passionfruit Juice Con 50 Brix</v>
          </cell>
          <cell r="E143" t="str">
            <v>Con</v>
          </cell>
          <cell r="F143" t="str">
            <v>GL</v>
          </cell>
          <cell r="G143">
            <v>1904.6</v>
          </cell>
          <cell r="H143">
            <v>147.64000000000001</v>
          </cell>
          <cell r="I143">
            <v>12.9002980222162</v>
          </cell>
          <cell r="J143">
            <v>12.899999999999999</v>
          </cell>
          <cell r="K143">
            <v>166.41384448658897</v>
          </cell>
          <cell r="L143">
            <v>3.4991264517144254</v>
          </cell>
          <cell r="M143">
            <v>0.30573510720073205</v>
          </cell>
        </row>
        <row r="144">
          <cell r="A144" t="str">
            <v>CON037</v>
          </cell>
          <cell r="B144" t="str">
            <v>Carrot Juice Conc W/Citric Acid 42 Brix [CON037]</v>
          </cell>
          <cell r="E144" t="str">
            <v>Con</v>
          </cell>
          <cell r="F144" t="str">
            <v>GL</v>
          </cell>
          <cell r="G144">
            <v>0</v>
          </cell>
          <cell r="H144">
            <v>118.75</v>
          </cell>
          <cell r="I144">
            <v>0</v>
          </cell>
          <cell r="J144">
            <v>12.899999999999999</v>
          </cell>
          <cell r="K144">
            <v>0</v>
          </cell>
          <cell r="L144">
            <v>3.4991264517144254</v>
          </cell>
          <cell r="M144">
            <v>0.38011563138624072</v>
          </cell>
        </row>
        <row r="145">
          <cell r="A145" t="str">
            <v>CON042</v>
          </cell>
          <cell r="B145" t="str">
            <v>Blood Orange Juice Con 50 Brix [CON042]</v>
          </cell>
          <cell r="E145" t="str">
            <v>Con</v>
          </cell>
          <cell r="F145" t="str">
            <v>GL</v>
          </cell>
          <cell r="G145">
            <v>0</v>
          </cell>
          <cell r="H145">
            <v>144</v>
          </cell>
          <cell r="I145">
            <v>0</v>
          </cell>
          <cell r="J145">
            <v>12.899999999999999</v>
          </cell>
          <cell r="K145">
            <v>0</v>
          </cell>
          <cell r="L145">
            <v>3.4991264517144254</v>
          </cell>
          <cell r="M145">
            <v>0.31346341129941724</v>
          </cell>
        </row>
        <row r="146">
          <cell r="A146" t="str">
            <v>CPBK08</v>
          </cell>
          <cell r="B146" t="str">
            <v>BLACK DBJ Cap</v>
          </cell>
          <cell r="E146" t="str">
            <v>Cap</v>
          </cell>
          <cell r="F146" t="str">
            <v>EA</v>
          </cell>
          <cell r="G146">
            <v>277500</v>
          </cell>
          <cell r="H146">
            <v>70000</v>
          </cell>
          <cell r="I146">
            <v>3.9642857142857144</v>
          </cell>
          <cell r="J146">
            <v>3</v>
          </cell>
          <cell r="K146">
            <v>11.892857142857142</v>
          </cell>
          <cell r="L146">
            <v>3.4991264517144254</v>
          </cell>
          <cell r="M146">
            <v>1.4996256221633253E-4</v>
          </cell>
        </row>
        <row r="147">
          <cell r="A147" t="str">
            <v>CPGD08</v>
          </cell>
          <cell r="B147" t="str">
            <v>GOLD DBJ Cap</v>
          </cell>
          <cell r="E147" t="str">
            <v>Cap</v>
          </cell>
          <cell r="F147" t="str">
            <v>EA</v>
          </cell>
          <cell r="G147">
            <v>982500</v>
          </cell>
          <cell r="H147">
            <v>40000</v>
          </cell>
          <cell r="I147">
            <v>24.5625</v>
          </cell>
          <cell r="J147">
            <v>3</v>
          </cell>
          <cell r="K147">
            <v>73.6875</v>
          </cell>
          <cell r="L147">
            <v>3.4991264517144254</v>
          </cell>
          <cell r="M147">
            <v>2.6243448387858193E-4</v>
          </cell>
        </row>
        <row r="148">
          <cell r="A148" t="str">
            <v>CPGR08</v>
          </cell>
          <cell r="B148" t="str">
            <v>Green DBJ Cap [CPGR08]</v>
          </cell>
          <cell r="E148" t="str">
            <v>Cap</v>
          </cell>
          <cell r="F148" t="str">
            <v>EA</v>
          </cell>
          <cell r="G148">
            <v>3587500</v>
          </cell>
          <cell r="H148">
            <v>87500</v>
          </cell>
          <cell r="I148">
            <v>41</v>
          </cell>
          <cell r="J148">
            <v>3</v>
          </cell>
          <cell r="K148">
            <v>123</v>
          </cell>
          <cell r="L148">
            <v>3.4991264517144254</v>
          </cell>
          <cell r="M148">
            <v>1.1997004977306602E-4</v>
          </cell>
        </row>
        <row r="149">
          <cell r="A149" t="str">
            <v>CPLG08</v>
          </cell>
          <cell r="B149" t="str">
            <v>Cap LIGHT GREEN DBJ</v>
          </cell>
          <cell r="E149" t="str">
            <v>Cap</v>
          </cell>
          <cell r="F149" t="str">
            <v>EA</v>
          </cell>
          <cell r="G149">
            <v>0</v>
          </cell>
          <cell r="H149">
            <v>17500</v>
          </cell>
          <cell r="I149">
            <v>0</v>
          </cell>
          <cell r="J149">
            <v>3</v>
          </cell>
          <cell r="K149">
            <v>0</v>
          </cell>
          <cell r="L149">
            <v>3.4991264517144254</v>
          </cell>
          <cell r="M149">
            <v>5.9985024886533012E-4</v>
          </cell>
        </row>
        <row r="150">
          <cell r="A150" t="str">
            <v>CPMN08</v>
          </cell>
          <cell r="B150" t="str">
            <v>Cap Maroon DBJ [CPMN08]</v>
          </cell>
          <cell r="E150" t="str">
            <v>Cap</v>
          </cell>
          <cell r="F150" t="str">
            <v>EA</v>
          </cell>
          <cell r="G150">
            <v>2500</v>
          </cell>
          <cell r="H150">
            <v>21428.571428571428</v>
          </cell>
          <cell r="I150">
            <v>0.11666666666666667</v>
          </cell>
          <cell r="J150">
            <v>3</v>
          </cell>
          <cell r="K150">
            <v>0.35</v>
          </cell>
          <cell r="L150">
            <v>3.4991264517144254</v>
          </cell>
          <cell r="M150">
            <v>4.898777032400196E-4</v>
          </cell>
        </row>
        <row r="151">
          <cell r="A151" t="str">
            <v>CPOG08</v>
          </cell>
          <cell r="B151" t="str">
            <v>ORANGE DBJ Cap</v>
          </cell>
          <cell r="E151" t="str">
            <v>Cap</v>
          </cell>
          <cell r="F151" t="str">
            <v>EA</v>
          </cell>
          <cell r="G151">
            <v>2625000</v>
          </cell>
          <cell r="H151">
            <v>87500</v>
          </cell>
          <cell r="I151">
            <v>30</v>
          </cell>
          <cell r="J151">
            <v>3</v>
          </cell>
          <cell r="K151">
            <v>90</v>
          </cell>
          <cell r="L151">
            <v>3.4991264517144254</v>
          </cell>
          <cell r="M151">
            <v>1.1997004977306602E-4</v>
          </cell>
        </row>
        <row r="152">
          <cell r="A152" t="str">
            <v>CPPK08</v>
          </cell>
          <cell r="B152" t="str">
            <v>Cap Pink DBJ</v>
          </cell>
          <cell r="E152" t="str">
            <v>Cap</v>
          </cell>
          <cell r="F152" t="str">
            <v>EA</v>
          </cell>
          <cell r="G152">
            <v>0</v>
          </cell>
          <cell r="H152">
            <v>87500</v>
          </cell>
          <cell r="I152">
            <v>0</v>
          </cell>
          <cell r="J152">
            <v>3</v>
          </cell>
          <cell r="K152">
            <v>0</v>
          </cell>
          <cell r="L152">
            <v>3.4991264517144254</v>
          </cell>
          <cell r="M152">
            <v>1.1997004977306602E-4</v>
          </cell>
        </row>
        <row r="153">
          <cell r="A153" t="str">
            <v>CPRD08</v>
          </cell>
          <cell r="B153" t="str">
            <v>Red DBJ Cap [CPRD08]</v>
          </cell>
          <cell r="E153" t="str">
            <v>Cap</v>
          </cell>
          <cell r="F153" t="str">
            <v>EA</v>
          </cell>
          <cell r="G153">
            <v>425000</v>
          </cell>
          <cell r="H153">
            <v>85000</v>
          </cell>
          <cell r="I153">
            <v>5</v>
          </cell>
          <cell r="J153">
            <v>3</v>
          </cell>
          <cell r="K153">
            <v>15</v>
          </cell>
          <cell r="L153">
            <v>3.4991264517144254</v>
          </cell>
          <cell r="M153">
            <v>1.2349858064874443E-4</v>
          </cell>
        </row>
        <row r="154">
          <cell r="A154" t="str">
            <v>CPWT08</v>
          </cell>
          <cell r="B154" t="str">
            <v>Cap WHITE DBJ</v>
          </cell>
          <cell r="E154" t="str">
            <v>Cap</v>
          </cell>
          <cell r="F154" t="str">
            <v>EA</v>
          </cell>
          <cell r="G154">
            <v>500000</v>
          </cell>
          <cell r="H154">
            <v>36250</v>
          </cell>
          <cell r="I154">
            <v>13.793103448275861</v>
          </cell>
          <cell r="J154">
            <v>3</v>
          </cell>
          <cell r="K154">
            <v>41.379310344827587</v>
          </cell>
          <cell r="L154">
            <v>3.4991264517144254</v>
          </cell>
          <cell r="M154">
            <v>2.8958287876257316E-4</v>
          </cell>
        </row>
        <row r="155">
          <cell r="A155" t="str">
            <v>CPYL08</v>
          </cell>
          <cell r="B155" t="str">
            <v>Cap Yellow DBJ [CPYL08]</v>
          </cell>
          <cell r="E155" t="str">
            <v>Cap</v>
          </cell>
          <cell r="F155" t="str">
            <v>EA</v>
          </cell>
          <cell r="G155">
            <v>3443008</v>
          </cell>
          <cell r="H155">
            <v>79583.333333333328</v>
          </cell>
          <cell r="I155">
            <v>43.262927748691105</v>
          </cell>
          <cell r="J155">
            <v>3</v>
          </cell>
          <cell r="K155">
            <v>129.78878324607331</v>
          </cell>
          <cell r="L155">
            <v>3.4991264517144254</v>
          </cell>
          <cell r="M155">
            <v>1.3190424320598884E-4</v>
          </cell>
        </row>
        <row r="156">
          <cell r="A156" t="str">
            <v>FLV001</v>
          </cell>
          <cell r="B156" t="str">
            <v>Lemon Oil - INFO PURPOSES ONLY. THIS IS ALL UNDER SKU 4800</v>
          </cell>
          <cell r="E156" t="str">
            <v>Flavor</v>
          </cell>
          <cell r="F156" t="str">
            <v>LB</v>
          </cell>
          <cell r="G156">
            <v>0</v>
          </cell>
          <cell r="H156">
            <v>1600</v>
          </cell>
          <cell r="I156">
            <v>0</v>
          </cell>
          <cell r="J156">
            <v>12.899999999999999</v>
          </cell>
          <cell r="K156">
            <v>0</v>
          </cell>
          <cell r="L156">
            <v>3.4991264517144254</v>
          </cell>
          <cell r="M156">
            <v>2.821170701694755E-2</v>
          </cell>
        </row>
        <row r="157">
          <cell r="A157" t="str">
            <v>FLV009</v>
          </cell>
          <cell r="B157" t="str">
            <v>Cold Pressed Lime Oil</v>
          </cell>
          <cell r="E157" t="str">
            <v>Flavor</v>
          </cell>
          <cell r="F157" t="str">
            <v>LB</v>
          </cell>
          <cell r="G157">
            <v>0.5</v>
          </cell>
          <cell r="H157">
            <v>40</v>
          </cell>
          <cell r="I157">
            <v>1.2500000000000001E-2</v>
          </cell>
          <cell r="J157">
            <v>12.899999999999999</v>
          </cell>
          <cell r="K157">
            <v>0.16125</v>
          </cell>
          <cell r="L157">
            <v>3.4991264517144254</v>
          </cell>
          <cell r="M157">
            <v>1.1284682806779021</v>
          </cell>
        </row>
        <row r="158">
          <cell r="A158" t="str">
            <v>FLV015</v>
          </cell>
          <cell r="B158" t="str">
            <v>Blueberry NV 28106 [FLV015]</v>
          </cell>
          <cell r="E158" t="str">
            <v>Flavor</v>
          </cell>
          <cell r="F158" t="str">
            <v>LB</v>
          </cell>
          <cell r="G158">
            <v>0</v>
          </cell>
          <cell r="H158">
            <v>400</v>
          </cell>
          <cell r="I158">
            <v>0</v>
          </cell>
          <cell r="J158">
            <v>12.899999999999999</v>
          </cell>
          <cell r="K158">
            <v>0</v>
          </cell>
          <cell r="L158">
            <v>3.4991264517144254</v>
          </cell>
          <cell r="M158">
            <v>0.1128468280677902</v>
          </cell>
        </row>
        <row r="159">
          <cell r="A159" t="str">
            <v>FLV050</v>
          </cell>
          <cell r="B159" t="str">
            <v>Robertet Blood Org Flv NV 37,201 [FLV050]</v>
          </cell>
          <cell r="E159" t="str">
            <v>Flavor</v>
          </cell>
          <cell r="F159" t="str">
            <v>LB</v>
          </cell>
          <cell r="G159">
            <v>0</v>
          </cell>
          <cell r="H159">
            <v>37</v>
          </cell>
          <cell r="I159">
            <v>0</v>
          </cell>
          <cell r="J159">
            <v>12.899999999999999</v>
          </cell>
          <cell r="K159">
            <v>0</v>
          </cell>
          <cell r="L159">
            <v>3.4991264517144254</v>
          </cell>
          <cell r="M159">
            <v>1.2199657088409752</v>
          </cell>
        </row>
        <row r="160">
          <cell r="A160" t="str">
            <v>FLV063</v>
          </cell>
          <cell r="B160" t="str">
            <v>Treat Lemon Oil Meyer Type 17684</v>
          </cell>
          <cell r="E160" t="str">
            <v>Flavor</v>
          </cell>
          <cell r="F160" t="str">
            <v>LB</v>
          </cell>
          <cell r="G160">
            <v>0</v>
          </cell>
          <cell r="H160">
            <v>11</v>
          </cell>
          <cell r="I160">
            <v>0</v>
          </cell>
          <cell r="J160">
            <v>12.899999999999999</v>
          </cell>
          <cell r="K160">
            <v>0</v>
          </cell>
          <cell r="L160">
            <v>3.4991264517144254</v>
          </cell>
          <cell r="M160">
            <v>4.1035210206469168</v>
          </cell>
        </row>
        <row r="161">
          <cell r="A161" t="str">
            <v>FLV068</v>
          </cell>
          <cell r="B161" t="str">
            <v>Robertet Peach Flavor NV-10640</v>
          </cell>
          <cell r="E161" t="str">
            <v>Flavor</v>
          </cell>
          <cell r="F161" t="str">
            <v>LB</v>
          </cell>
          <cell r="G161">
            <v>0</v>
          </cell>
          <cell r="H161">
            <v>67.5</v>
          </cell>
          <cell r="I161">
            <v>0</v>
          </cell>
          <cell r="J161">
            <v>12.899999999999999</v>
          </cell>
          <cell r="K161">
            <v>0</v>
          </cell>
          <cell r="L161">
            <v>3.4991264517144254</v>
          </cell>
          <cell r="M161">
            <v>0.6687219441054234</v>
          </cell>
        </row>
        <row r="162">
          <cell r="A162" t="str">
            <v>FLV069</v>
          </cell>
          <cell r="B162" t="str">
            <v>Treatt Lemon Aroma Plus Enhanced SA889256/7 [FLV069]</v>
          </cell>
          <cell r="E162" t="str">
            <v>Flavor</v>
          </cell>
          <cell r="F162" t="str">
            <v>LB</v>
          </cell>
          <cell r="G162">
            <v>0</v>
          </cell>
          <cell r="H162">
            <v>400</v>
          </cell>
          <cell r="I162">
            <v>0</v>
          </cell>
          <cell r="J162">
            <v>12.899999999999999</v>
          </cell>
          <cell r="K162">
            <v>0</v>
          </cell>
          <cell r="L162">
            <v>3.4991264517144254</v>
          </cell>
          <cell r="M162">
            <v>0.1128468280677902</v>
          </cell>
        </row>
        <row r="163">
          <cell r="A163" t="str">
            <v>FLV076</v>
          </cell>
          <cell r="B163" t="str">
            <v>Flavormatic Peach 713-091 [FLV076]</v>
          </cell>
          <cell r="E163" t="str">
            <v>Flavor</v>
          </cell>
          <cell r="F163" t="str">
            <v>LB</v>
          </cell>
          <cell r="G163">
            <v>458.6</v>
          </cell>
          <cell r="H163">
            <v>34</v>
          </cell>
          <cell r="I163">
            <v>13.488235294117647</v>
          </cell>
          <cell r="J163">
            <v>12.899999999999999</v>
          </cell>
          <cell r="K163">
            <v>173.99823529411762</v>
          </cell>
          <cell r="L163">
            <v>3.4991264517144254</v>
          </cell>
          <cell r="M163">
            <v>1.3276097419740025</v>
          </cell>
        </row>
        <row r="164">
          <cell r="A164" t="str">
            <v>FLV077</v>
          </cell>
          <cell r="B164" t="str">
            <v>Robertet Mango NV 71,484 [FLV077]</v>
          </cell>
          <cell r="E164" t="str">
            <v>Flavor</v>
          </cell>
          <cell r="F164" t="str">
            <v>LB</v>
          </cell>
          <cell r="G164">
            <v>221.6</v>
          </cell>
          <cell r="H164">
            <v>34</v>
          </cell>
          <cell r="I164">
            <v>6.5176470588235293</v>
          </cell>
          <cell r="J164">
            <v>12.899999999999999</v>
          </cell>
          <cell r="K164">
            <v>84.077647058823516</v>
          </cell>
          <cell r="L164">
            <v>3.4991264517144254</v>
          </cell>
          <cell r="M164">
            <v>1.3276097419740025</v>
          </cell>
        </row>
        <row r="165">
          <cell r="A165" t="str">
            <v>FLV080</v>
          </cell>
          <cell r="B165" t="str">
            <v>Flavorchem Vanilla 93.7309 [FLV080]</v>
          </cell>
          <cell r="E165" t="str">
            <v>Flavor</v>
          </cell>
          <cell r="F165" t="str">
            <v>LB</v>
          </cell>
          <cell r="G165">
            <v>415.9</v>
          </cell>
          <cell r="H165">
            <v>32</v>
          </cell>
          <cell r="I165">
            <v>12.996874999999999</v>
          </cell>
          <cell r="J165">
            <v>12.899999999999999</v>
          </cell>
          <cell r="K165">
            <v>167.65968749999996</v>
          </cell>
          <cell r="L165">
            <v>3.4991264517144254</v>
          </cell>
          <cell r="M165">
            <v>1.4105853508473776</v>
          </cell>
        </row>
        <row r="166">
          <cell r="A166" t="str">
            <v>FLV089</v>
          </cell>
          <cell r="B166" t="str">
            <v>Mango (Bell) 85.20948 (no PG) Panera [FLV089]</v>
          </cell>
          <cell r="E166" t="str">
            <v>Flavor</v>
          </cell>
          <cell r="F166" t="str">
            <v>LB</v>
          </cell>
          <cell r="G166">
            <v>200</v>
          </cell>
          <cell r="H166">
            <v>25</v>
          </cell>
          <cell r="I166">
            <v>8</v>
          </cell>
          <cell r="J166">
            <v>12.899999999999999</v>
          </cell>
          <cell r="K166">
            <v>103.19999999999999</v>
          </cell>
          <cell r="L166">
            <v>3.4991264517144254</v>
          </cell>
          <cell r="M166">
            <v>1.8055492490846432</v>
          </cell>
        </row>
        <row r="167">
          <cell r="A167" t="str">
            <v>FLV090</v>
          </cell>
          <cell r="B167" t="str">
            <v>Strw (IFF) SC559193 (No PG) Panera [FLV090]</v>
          </cell>
          <cell r="E167" t="str">
            <v>Flavor</v>
          </cell>
          <cell r="F167" t="str">
            <v>LB</v>
          </cell>
          <cell r="G167">
            <v>4120</v>
          </cell>
          <cell r="H167">
            <v>840</v>
          </cell>
          <cell r="I167">
            <v>4.9047619047619051</v>
          </cell>
          <cell r="J167">
            <v>12.899999999999999</v>
          </cell>
          <cell r="K167">
            <v>63.271428571428572</v>
          </cell>
          <cell r="L167">
            <v>3.4991264517144254</v>
          </cell>
          <cell r="M167">
            <v>5.3736584794185811E-2</v>
          </cell>
        </row>
        <row r="168">
          <cell r="A168" t="str">
            <v>FLV110</v>
          </cell>
          <cell r="B168" t="str">
            <v>IFF Mango Flv SC645445 [FLV110]</v>
          </cell>
          <cell r="E168" t="str">
            <v>Flavor</v>
          </cell>
          <cell r="F168" t="str">
            <v>LB</v>
          </cell>
          <cell r="G168">
            <v>0</v>
          </cell>
          <cell r="H168">
            <v>400</v>
          </cell>
          <cell r="I168">
            <v>0</v>
          </cell>
          <cell r="J168">
            <v>12.899999999999999</v>
          </cell>
          <cell r="K168">
            <v>0</v>
          </cell>
          <cell r="L168">
            <v>3.4991264517144254</v>
          </cell>
          <cell r="M168">
            <v>0.1128468280677902</v>
          </cell>
        </row>
        <row r="169">
          <cell r="A169" t="str">
            <v>FLV113</v>
          </cell>
          <cell r="B169" t="str">
            <v>Robertet NV-74531 Prickly Pear Flv No PG [FLV113]</v>
          </cell>
          <cell r="E169" t="str">
            <v>Flavor</v>
          </cell>
          <cell r="F169" t="str">
            <v>LB</v>
          </cell>
          <cell r="G169">
            <v>0</v>
          </cell>
          <cell r="H169">
            <v>37</v>
          </cell>
          <cell r="I169">
            <v>0</v>
          </cell>
          <cell r="J169">
            <v>12.899999999999999</v>
          </cell>
          <cell r="K169">
            <v>0</v>
          </cell>
          <cell r="L169">
            <v>3.4991264517144254</v>
          </cell>
          <cell r="M169">
            <v>1.2199657088409752</v>
          </cell>
        </row>
        <row r="170">
          <cell r="A170" t="str">
            <v>FLV114</v>
          </cell>
          <cell r="B170" t="str">
            <v>IFF Lime Flavor SC687044 [FLV114]</v>
          </cell>
          <cell r="E170" t="str">
            <v>Flavor</v>
          </cell>
          <cell r="F170" t="str">
            <v>LB</v>
          </cell>
          <cell r="G170">
            <v>0</v>
          </cell>
          <cell r="H170">
            <v>40</v>
          </cell>
          <cell r="I170">
            <v>0</v>
          </cell>
          <cell r="J170">
            <v>12.899999999999999</v>
          </cell>
          <cell r="K170">
            <v>0</v>
          </cell>
          <cell r="L170">
            <v>3.4991264517144254</v>
          </cell>
          <cell r="M170">
            <v>1.1284682806779021</v>
          </cell>
        </row>
        <row r="171">
          <cell r="A171" t="str">
            <v>FLV119</v>
          </cell>
          <cell r="B171" t="str">
            <v>IFF Blueberry Flv SC661637</v>
          </cell>
          <cell r="E171" t="str">
            <v>Flavor</v>
          </cell>
          <cell r="F171" t="str">
            <v>LB</v>
          </cell>
          <cell r="G171">
            <v>0</v>
          </cell>
          <cell r="H171">
            <v>40</v>
          </cell>
          <cell r="I171">
            <v>0</v>
          </cell>
          <cell r="J171">
            <v>12.899999999999999</v>
          </cell>
          <cell r="K171">
            <v>0</v>
          </cell>
          <cell r="L171">
            <v>3.4991264517144254</v>
          </cell>
          <cell r="M171">
            <v>1.1284682806779021</v>
          </cell>
        </row>
        <row r="172">
          <cell r="A172" t="str">
            <v>FLV136</v>
          </cell>
          <cell r="B172" t="str">
            <v>Treatt Lavender Treattarome 9792</v>
          </cell>
          <cell r="E172" t="str">
            <v>Flavor</v>
          </cell>
          <cell r="F172" t="str">
            <v>LB</v>
          </cell>
          <cell r="G172">
            <v>23.7</v>
          </cell>
          <cell r="H172">
            <v>40</v>
          </cell>
          <cell r="I172">
            <v>0.59250000000000003</v>
          </cell>
          <cell r="J172">
            <v>12.899999999999999</v>
          </cell>
          <cell r="K172">
            <v>7.6432499999999992</v>
          </cell>
          <cell r="L172">
            <v>3.4991264517144254</v>
          </cell>
          <cell r="M172">
            <v>1.1284682806779021</v>
          </cell>
        </row>
        <row r="173">
          <cell r="A173" t="str">
            <v>FLV140</v>
          </cell>
          <cell r="B173" t="str">
            <v>Fair Trade Chamomile Extract #7200-FT</v>
          </cell>
          <cell r="E173" t="str">
            <v>Flavor</v>
          </cell>
          <cell r="F173" t="str">
            <v>LB</v>
          </cell>
          <cell r="G173">
            <v>0</v>
          </cell>
          <cell r="H173">
            <v>40</v>
          </cell>
          <cell r="I173">
            <v>0</v>
          </cell>
          <cell r="J173">
            <v>12.899999999999999</v>
          </cell>
          <cell r="K173">
            <v>0</v>
          </cell>
          <cell r="L173">
            <v>3.4991264517144254</v>
          </cell>
          <cell r="M173">
            <v>1.1284682806779021</v>
          </cell>
        </row>
        <row r="174">
          <cell r="A174" t="str">
            <v>FLV143</v>
          </cell>
          <cell r="B174" t="str">
            <v>Black Tea Extract 175 Fold #MT1175FORG-1</v>
          </cell>
          <cell r="E174" t="str">
            <v>Flavor</v>
          </cell>
          <cell r="F174" t="str">
            <v>LB</v>
          </cell>
          <cell r="G174">
            <v>0</v>
          </cell>
          <cell r="H174">
            <v>40</v>
          </cell>
          <cell r="I174">
            <v>0</v>
          </cell>
          <cell r="J174">
            <v>12.899999999999999</v>
          </cell>
          <cell r="K174">
            <v>0</v>
          </cell>
          <cell r="L174">
            <v>3.4991264517144254</v>
          </cell>
          <cell r="M174">
            <v>1.1284682806779021</v>
          </cell>
        </row>
        <row r="175">
          <cell r="A175" t="str">
            <v>FLV144</v>
          </cell>
          <cell r="B175" t="str">
            <v>Black Tea Extract 175 Fold #MT1175FORG-2</v>
          </cell>
          <cell r="E175" t="str">
            <v>Flavor</v>
          </cell>
          <cell r="F175" t="str">
            <v>LB</v>
          </cell>
          <cell r="G175">
            <v>0</v>
          </cell>
          <cell r="H175">
            <v>40</v>
          </cell>
          <cell r="I175">
            <v>0</v>
          </cell>
          <cell r="J175">
            <v>12.899999999999999</v>
          </cell>
          <cell r="K175">
            <v>0</v>
          </cell>
          <cell r="L175">
            <v>3.4991264517144254</v>
          </cell>
          <cell r="M175">
            <v>1.1284682806779021</v>
          </cell>
        </row>
        <row r="176">
          <cell r="A176" t="str">
            <v>J2712</v>
          </cell>
          <cell r="B176" t="str">
            <v>Peach Mango Base</v>
          </cell>
          <cell r="E176" t="str">
            <v>Other Juice Drum</v>
          </cell>
          <cell r="F176" t="str">
            <v>GL</v>
          </cell>
          <cell r="G176">
            <v>1080</v>
          </cell>
          <cell r="H176">
            <v>180</v>
          </cell>
          <cell r="I176">
            <v>6</v>
          </cell>
          <cell r="J176">
            <v>26</v>
          </cell>
          <cell r="K176">
            <v>156</v>
          </cell>
          <cell r="L176">
            <v>3.4991264517144254</v>
          </cell>
          <cell r="M176">
            <v>0.5054293763587504</v>
          </cell>
        </row>
        <row r="177">
          <cell r="A177" t="str">
            <v>J3401</v>
          </cell>
          <cell r="B177" t="str">
            <v>Apple Juice Internal Drum</v>
          </cell>
          <cell r="E177" t="str">
            <v>Other Juice Drum</v>
          </cell>
          <cell r="F177" t="str">
            <v>GL</v>
          </cell>
          <cell r="G177">
            <v>0</v>
          </cell>
          <cell r="H177">
            <v>175.5</v>
          </cell>
          <cell r="I177">
            <v>0</v>
          </cell>
          <cell r="J177">
            <v>26</v>
          </cell>
          <cell r="K177">
            <v>0</v>
          </cell>
          <cell r="L177">
            <v>3.4991264517144254</v>
          </cell>
          <cell r="M177">
            <v>0.51838910395769267</v>
          </cell>
        </row>
        <row r="178">
          <cell r="A178" t="str">
            <v>J4001</v>
          </cell>
          <cell r="B178" t="str">
            <v>Lemon Juice</v>
          </cell>
          <cell r="E178" t="str">
            <v>Lemon Drum</v>
          </cell>
          <cell r="F178" t="str">
            <v>GL</v>
          </cell>
          <cell r="G178">
            <v>540</v>
          </cell>
          <cell r="H178">
            <v>180</v>
          </cell>
          <cell r="I178">
            <v>3</v>
          </cell>
          <cell r="J178">
            <v>7</v>
          </cell>
          <cell r="K178">
            <v>21</v>
          </cell>
          <cell r="L178">
            <v>3.4991264517144254</v>
          </cell>
          <cell r="M178">
            <v>0.13607713978889432</v>
          </cell>
        </row>
        <row r="179">
          <cell r="A179" t="str">
            <v>J4003</v>
          </cell>
          <cell r="B179" t="str">
            <v>Lemon Juice-Spanish Aseptic Bins in gals</v>
          </cell>
          <cell r="E179" t="str">
            <v>Lemon Drum</v>
          </cell>
          <cell r="F179" t="str">
            <v>DR</v>
          </cell>
          <cell r="G179">
            <v>0</v>
          </cell>
          <cell r="H179">
            <v>191.4566037735849</v>
          </cell>
          <cell r="I179">
            <v>0</v>
          </cell>
          <cell r="J179">
            <v>7</v>
          </cell>
          <cell r="K179">
            <v>0</v>
          </cell>
          <cell r="L179">
            <v>3.4991264517144254</v>
          </cell>
          <cell r="M179">
            <v>0.12793439703426088</v>
          </cell>
        </row>
        <row r="180">
          <cell r="A180" t="str">
            <v>J4006</v>
          </cell>
          <cell r="B180" t="str">
            <v>Lemon Juice - High titrable acid &gt;4.8</v>
          </cell>
          <cell r="E180" t="str">
            <v>Lemon Drum</v>
          </cell>
          <cell r="F180" t="str">
            <v>DR</v>
          </cell>
          <cell r="G180">
            <v>360</v>
          </cell>
          <cell r="H180">
            <v>191.4566037735849</v>
          </cell>
          <cell r="I180">
            <v>1.8803216650898771</v>
          </cell>
          <cell r="J180">
            <v>7</v>
          </cell>
          <cell r="K180">
            <v>13.16225165562914</v>
          </cell>
          <cell r="L180">
            <v>3.4991264517144254</v>
          </cell>
          <cell r="M180">
            <v>0.12793439703426088</v>
          </cell>
        </row>
        <row r="181">
          <cell r="A181" t="str">
            <v>J4040</v>
          </cell>
          <cell r="B181" t="str">
            <v>Lemon Juice</v>
          </cell>
          <cell r="E181" t="str">
            <v>Lemon Drum</v>
          </cell>
          <cell r="F181" t="str">
            <v>DR</v>
          </cell>
          <cell r="G181">
            <v>16550</v>
          </cell>
          <cell r="H181">
            <v>191.4566037735849</v>
          </cell>
          <cell r="I181">
            <v>86.442565436770735</v>
          </cell>
          <cell r="J181">
            <v>7</v>
          </cell>
          <cell r="K181">
            <v>605.09795805739509</v>
          </cell>
          <cell r="L181">
            <v>3.4991264517144254</v>
          </cell>
          <cell r="M181">
            <v>0.12793439703426088</v>
          </cell>
        </row>
        <row r="182">
          <cell r="A182" t="str">
            <v>J4042</v>
          </cell>
          <cell r="B182" t="str">
            <v>Lemon Juice in drums</v>
          </cell>
          <cell r="E182" t="str">
            <v>Lemon Drum</v>
          </cell>
          <cell r="F182" t="str">
            <v>DR</v>
          </cell>
          <cell r="G182">
            <v>0</v>
          </cell>
          <cell r="H182">
            <v>191.4566037735849</v>
          </cell>
          <cell r="I182">
            <v>0</v>
          </cell>
          <cell r="J182">
            <v>7</v>
          </cell>
          <cell r="K182">
            <v>0</v>
          </cell>
          <cell r="L182">
            <v>3.4991264517144254</v>
          </cell>
          <cell r="M182">
            <v>0.12793439703426088</v>
          </cell>
        </row>
        <row r="183">
          <cell r="A183" t="str">
            <v>J4045</v>
          </cell>
          <cell r="B183" t="str">
            <v>Lemon Juice Drum [J4045]</v>
          </cell>
          <cell r="E183" t="str">
            <v>Lemon Drum</v>
          </cell>
          <cell r="F183" t="str">
            <v>DR</v>
          </cell>
          <cell r="G183">
            <v>54</v>
          </cell>
          <cell r="H183">
            <v>4</v>
          </cell>
          <cell r="I183">
            <v>13.5</v>
          </cell>
          <cell r="J183">
            <v>7</v>
          </cell>
          <cell r="K183">
            <v>94.5</v>
          </cell>
          <cell r="L183">
            <v>3.4991264517144254</v>
          </cell>
          <cell r="M183">
            <v>6.1234712905002446</v>
          </cell>
        </row>
        <row r="184">
          <cell r="A184" t="str">
            <v>J4045P</v>
          </cell>
          <cell r="B184" t="str">
            <v>Lemon Juice Plastic Drum [J4045P]</v>
          </cell>
          <cell r="E184" t="str">
            <v>Lemon Drum</v>
          </cell>
          <cell r="F184" t="str">
            <v>DR</v>
          </cell>
          <cell r="G184">
            <v>0</v>
          </cell>
          <cell r="H184">
            <v>3.8765432098765431</v>
          </cell>
          <cell r="I184">
            <v>0</v>
          </cell>
          <cell r="J184">
            <v>7</v>
          </cell>
          <cell r="K184">
            <v>0</v>
          </cell>
          <cell r="L184">
            <v>3.4991264517144254</v>
          </cell>
          <cell r="M184">
            <v>6.3184862997518447</v>
          </cell>
        </row>
        <row r="185">
          <cell r="A185" t="str">
            <v>J4046</v>
          </cell>
          <cell r="B185" t="str">
            <v>Lemon Juice Extraction Drum in Gallons</v>
          </cell>
          <cell r="E185" t="str">
            <v>Lemon Drum</v>
          </cell>
          <cell r="F185" t="str">
            <v>DR</v>
          </cell>
          <cell r="G185">
            <v>257235</v>
          </cell>
          <cell r="H185">
            <v>180</v>
          </cell>
          <cell r="I185">
            <v>1429.0833333333333</v>
          </cell>
          <cell r="J185">
            <v>7</v>
          </cell>
          <cell r="K185">
            <v>10003.583333333332</v>
          </cell>
          <cell r="L185">
            <v>3.4991264517144254</v>
          </cell>
          <cell r="M185">
            <v>0.13607713978889432</v>
          </cell>
        </row>
        <row r="186">
          <cell r="A186" t="str">
            <v>J4047</v>
          </cell>
          <cell r="B186" t="str">
            <v>Lemon Juice Mexican Drum in Gallons</v>
          </cell>
          <cell r="E186" t="str">
            <v>Lemon Drum</v>
          </cell>
          <cell r="F186" t="str">
            <v>GL</v>
          </cell>
          <cell r="G186">
            <v>19926</v>
          </cell>
          <cell r="H186">
            <v>192</v>
          </cell>
          <cell r="I186">
            <v>103.78125</v>
          </cell>
          <cell r="J186">
            <v>7</v>
          </cell>
          <cell r="K186">
            <v>726.46875</v>
          </cell>
          <cell r="L186">
            <v>3.4991264517144254</v>
          </cell>
          <cell r="M186">
            <v>0.12757231855208842</v>
          </cell>
        </row>
        <row r="187">
          <cell r="A187" t="str">
            <v>J4100</v>
          </cell>
          <cell r="B187" t="str">
            <v>Meyer Lemon Internal Drums</v>
          </cell>
          <cell r="E187" t="str">
            <v>Meyer Drum</v>
          </cell>
          <cell r="F187" t="str">
            <v>DR</v>
          </cell>
          <cell r="G187">
            <v>150998</v>
          </cell>
          <cell r="H187">
            <v>180</v>
          </cell>
          <cell r="I187">
            <v>838.87777777777774</v>
          </cell>
          <cell r="J187">
            <v>33</v>
          </cell>
          <cell r="K187">
            <v>27682.966666666667</v>
          </cell>
          <cell r="L187">
            <v>3.4991264517144254</v>
          </cell>
          <cell r="M187">
            <v>0.64150651614764465</v>
          </cell>
        </row>
        <row r="188">
          <cell r="A188" t="str">
            <v>J4101</v>
          </cell>
          <cell r="B188" t="str">
            <v>Meyer Lemon Juice</v>
          </cell>
          <cell r="E188" t="str">
            <v>Meyer Drum</v>
          </cell>
          <cell r="F188" t="str">
            <v>DR</v>
          </cell>
          <cell r="G188">
            <v>5013</v>
          </cell>
          <cell r="H188">
            <v>180</v>
          </cell>
          <cell r="I188">
            <v>27.85</v>
          </cell>
          <cell r="J188">
            <v>33</v>
          </cell>
          <cell r="K188">
            <v>919.05000000000007</v>
          </cell>
          <cell r="L188">
            <v>3.4991264517144254</v>
          </cell>
          <cell r="M188">
            <v>0.64150651614764465</v>
          </cell>
        </row>
        <row r="189">
          <cell r="A189" t="str">
            <v>J4517</v>
          </cell>
          <cell r="B189" t="str">
            <v>Sweetened Lemon Juice</v>
          </cell>
          <cell r="E189" t="str">
            <v>Lemon Drum</v>
          </cell>
          <cell r="F189" t="str">
            <v>GL</v>
          </cell>
          <cell r="G189">
            <v>167535</v>
          </cell>
          <cell r="H189">
            <v>180</v>
          </cell>
          <cell r="I189">
            <v>930.75</v>
          </cell>
          <cell r="J189">
            <v>7</v>
          </cell>
          <cell r="K189">
            <v>6515.25</v>
          </cell>
          <cell r="L189">
            <v>3.4991264517144254</v>
          </cell>
          <cell r="M189">
            <v>0.13607713978889432</v>
          </cell>
        </row>
        <row r="190">
          <cell r="A190" t="str">
            <v>J5000</v>
          </cell>
          <cell r="B190" t="str">
            <v>Marg Mix Reg</v>
          </cell>
          <cell r="E190" t="str">
            <v>Other Juice Drum</v>
          </cell>
          <cell r="F190" t="str">
            <v>GL</v>
          </cell>
          <cell r="G190">
            <v>2925</v>
          </cell>
          <cell r="H190">
            <v>180</v>
          </cell>
          <cell r="I190">
            <v>16.25</v>
          </cell>
          <cell r="J190">
            <v>26</v>
          </cell>
          <cell r="K190">
            <v>422.5</v>
          </cell>
          <cell r="L190">
            <v>3.4991264517144254</v>
          </cell>
          <cell r="M190">
            <v>0.5054293763587504</v>
          </cell>
        </row>
        <row r="191">
          <cell r="A191" t="str">
            <v>J5005</v>
          </cell>
          <cell r="B191" t="str">
            <v>Marg Mix 3+1</v>
          </cell>
          <cell r="E191" t="str">
            <v>Other Juice Drum</v>
          </cell>
          <cell r="F191" t="str">
            <v>GL</v>
          </cell>
          <cell r="G191">
            <v>1530</v>
          </cell>
          <cell r="H191">
            <v>180</v>
          </cell>
          <cell r="I191">
            <v>8.5</v>
          </cell>
          <cell r="J191">
            <v>26</v>
          </cell>
          <cell r="K191">
            <v>221</v>
          </cell>
          <cell r="L191">
            <v>3.4991264517144254</v>
          </cell>
          <cell r="M191">
            <v>0.5054293763587504</v>
          </cell>
        </row>
        <row r="192">
          <cell r="A192" t="str">
            <v>J5014</v>
          </cell>
          <cell r="B192" t="str">
            <v>Rykoff Sexton Marg Mix</v>
          </cell>
          <cell r="E192" t="str">
            <v>Other Juice Drum</v>
          </cell>
          <cell r="F192" t="str">
            <v>GL</v>
          </cell>
          <cell r="G192">
            <v>135</v>
          </cell>
          <cell r="H192">
            <v>180</v>
          </cell>
          <cell r="I192">
            <v>0.75</v>
          </cell>
          <cell r="J192">
            <v>26</v>
          </cell>
          <cell r="K192">
            <v>19.5</v>
          </cell>
          <cell r="L192">
            <v>3.4991264517144254</v>
          </cell>
          <cell r="M192">
            <v>0.5054293763587504</v>
          </cell>
        </row>
        <row r="193">
          <cell r="A193" t="str">
            <v>J5204</v>
          </cell>
          <cell r="B193" t="str">
            <v>Sweet &amp; Sour Mix 3+1</v>
          </cell>
          <cell r="E193" t="str">
            <v>Other Juice Drum</v>
          </cell>
          <cell r="F193" t="str">
            <v>GL</v>
          </cell>
          <cell r="G193">
            <v>180</v>
          </cell>
          <cell r="H193">
            <v>180</v>
          </cell>
          <cell r="I193">
            <v>1</v>
          </cell>
          <cell r="J193">
            <v>26</v>
          </cell>
          <cell r="K193">
            <v>26</v>
          </cell>
          <cell r="L193">
            <v>3.4991264517144254</v>
          </cell>
          <cell r="M193">
            <v>0.5054293763587504</v>
          </cell>
        </row>
        <row r="194">
          <cell r="A194" t="str">
            <v>J5806</v>
          </cell>
          <cell r="B194" t="str">
            <v>Lime Lemon Juice [J5806]</v>
          </cell>
          <cell r="E194" t="str">
            <v>Other Juice Drum</v>
          </cell>
          <cell r="F194" t="str">
            <v>GL</v>
          </cell>
          <cell r="G194">
            <v>0</v>
          </cell>
          <cell r="H194">
            <v>180</v>
          </cell>
          <cell r="I194">
            <v>0</v>
          </cell>
          <cell r="J194">
            <v>26</v>
          </cell>
          <cell r="K194">
            <v>0</v>
          </cell>
          <cell r="L194">
            <v>3.4991264517144254</v>
          </cell>
          <cell r="M194">
            <v>0.5054293763587504</v>
          </cell>
        </row>
        <row r="195">
          <cell r="A195" t="str">
            <v>J6003</v>
          </cell>
          <cell r="B195" t="str">
            <v>Lime Juice Tote in Gallons</v>
          </cell>
          <cell r="E195" t="str">
            <v>Lime Tote</v>
          </cell>
          <cell r="F195" t="str">
            <v>GL</v>
          </cell>
          <cell r="G195">
            <v>737456</v>
          </cell>
          <cell r="H195">
            <v>382.19396103896105</v>
          </cell>
          <cell r="I195">
            <v>1929.5333657164283</v>
          </cell>
          <cell r="J195">
            <v>8</v>
          </cell>
          <cell r="K195">
            <v>15436.266925731426</v>
          </cell>
          <cell r="L195">
            <v>3.4991264517144254</v>
          </cell>
          <cell r="M195">
            <v>7.3242945905316853E-2</v>
          </cell>
        </row>
        <row r="196">
          <cell r="A196" t="str">
            <v>J6006</v>
          </cell>
          <cell r="B196" t="str">
            <v>Lime Juice Internal Drum</v>
          </cell>
          <cell r="E196" t="str">
            <v>Lime Drum</v>
          </cell>
          <cell r="F196" t="str">
            <v>GL</v>
          </cell>
          <cell r="G196">
            <v>59890</v>
          </cell>
          <cell r="H196">
            <v>177.95454545454547</v>
          </cell>
          <cell r="I196">
            <v>336.54661558109831</v>
          </cell>
          <cell r="J196">
            <v>9</v>
          </cell>
          <cell r="K196">
            <v>3028.9195402298847</v>
          </cell>
          <cell r="L196">
            <v>3.4991264517144254</v>
          </cell>
          <cell r="M196">
            <v>0.17696731479935024</v>
          </cell>
        </row>
        <row r="197">
          <cell r="A197" t="str">
            <v>J6040</v>
          </cell>
          <cell r="B197" t="str">
            <v>Lime Juice [J6040]</v>
          </cell>
          <cell r="E197" t="str">
            <v>Lime Drum</v>
          </cell>
          <cell r="F197" t="str">
            <v>GL</v>
          </cell>
          <cell r="G197">
            <v>49086</v>
          </cell>
          <cell r="H197">
            <v>193.92056980056975</v>
          </cell>
          <cell r="I197">
            <v>253.1242562379052</v>
          </cell>
          <cell r="J197">
            <v>9</v>
          </cell>
          <cell r="K197">
            <v>2278.1183061411466</v>
          </cell>
          <cell r="L197">
            <v>3.4991264517144254</v>
          </cell>
          <cell r="M197">
            <v>0.16239709948159042</v>
          </cell>
        </row>
        <row r="198">
          <cell r="A198" t="str">
            <v>J6145</v>
          </cell>
          <cell r="B198" t="str">
            <v>Key Lime Juice Drum [J6145]</v>
          </cell>
          <cell r="E198" t="str">
            <v>Lime Drum</v>
          </cell>
          <cell r="F198" t="str">
            <v>DR</v>
          </cell>
          <cell r="G198">
            <v>0</v>
          </cell>
          <cell r="H198">
            <v>192</v>
          </cell>
          <cell r="I198">
            <v>0</v>
          </cell>
          <cell r="J198">
            <v>9</v>
          </cell>
          <cell r="K198">
            <v>0</v>
          </cell>
          <cell r="L198">
            <v>3.4991264517144254</v>
          </cell>
          <cell r="M198">
            <v>0.16402155242411368</v>
          </cell>
        </row>
        <row r="199">
          <cell r="A199" t="str">
            <v>J6146</v>
          </cell>
          <cell r="B199" t="str">
            <v>Key Lime Juice Drum</v>
          </cell>
          <cell r="E199" t="str">
            <v>Lime Drum</v>
          </cell>
          <cell r="F199" t="str">
            <v>DR</v>
          </cell>
          <cell r="G199">
            <v>20212</v>
          </cell>
          <cell r="H199">
            <v>200</v>
          </cell>
          <cell r="I199">
            <v>101.06</v>
          </cell>
          <cell r="J199">
            <v>9</v>
          </cell>
          <cell r="K199">
            <v>909.54</v>
          </cell>
          <cell r="L199">
            <v>3.4991264517144254</v>
          </cell>
          <cell r="M199">
            <v>0.15746069032714913</v>
          </cell>
        </row>
        <row r="200">
          <cell r="A200" t="str">
            <v>J6903</v>
          </cell>
          <cell r="B200" t="str">
            <v>Lime Juice Drum</v>
          </cell>
          <cell r="E200" t="str">
            <v>Lime Drum</v>
          </cell>
          <cell r="F200" t="str">
            <v>GL</v>
          </cell>
          <cell r="G200">
            <v>2112</v>
          </cell>
          <cell r="H200">
            <v>190</v>
          </cell>
          <cell r="I200">
            <v>11.115789473684211</v>
          </cell>
          <cell r="J200">
            <v>9</v>
          </cell>
          <cell r="K200">
            <v>100.04210526315791</v>
          </cell>
          <cell r="L200">
            <v>3.4991264517144254</v>
          </cell>
          <cell r="M200">
            <v>0.16574809508120961</v>
          </cell>
        </row>
        <row r="201">
          <cell r="A201" t="str">
            <v>J7010</v>
          </cell>
          <cell r="B201" t="str">
            <v>100% California Valencia Extraction</v>
          </cell>
          <cell r="E201" t="str">
            <v>OJ Drum</v>
          </cell>
          <cell r="F201" t="str">
            <v>DR</v>
          </cell>
          <cell r="G201">
            <v>2520</v>
          </cell>
          <cell r="H201">
            <v>167.72727272727272</v>
          </cell>
          <cell r="I201">
            <v>15.02439024390244</v>
          </cell>
          <cell r="J201">
            <v>16</v>
          </cell>
          <cell r="K201">
            <v>240.39024390243904</v>
          </cell>
          <cell r="L201">
            <v>3.4991264517144254</v>
          </cell>
          <cell r="M201">
            <v>0.3337920084020265</v>
          </cell>
        </row>
        <row r="202">
          <cell r="A202" t="str">
            <v>J7099</v>
          </cell>
          <cell r="B202" t="str">
            <v xml:space="preserve"> NFC Orange Mexican Top Note</v>
          </cell>
          <cell r="E202" t="str">
            <v>OJ Drum</v>
          </cell>
          <cell r="F202" t="str">
            <v>DR</v>
          </cell>
          <cell r="G202">
            <v>180</v>
          </cell>
          <cell r="H202">
            <v>167.72727272727272</v>
          </cell>
          <cell r="I202">
            <v>1.0731707317073171</v>
          </cell>
          <cell r="J202">
            <v>16</v>
          </cell>
          <cell r="K202">
            <v>17.170731707317074</v>
          </cell>
          <cell r="L202">
            <v>3.4991264517144254</v>
          </cell>
          <cell r="M202">
            <v>0.3337920084020265</v>
          </cell>
        </row>
        <row r="203">
          <cell r="A203" t="str">
            <v>J7300</v>
          </cell>
          <cell r="B203" t="str">
            <v>OJ Mixed Drum [J7300]</v>
          </cell>
          <cell r="E203" t="str">
            <v>OJ Drum</v>
          </cell>
          <cell r="F203" t="str">
            <v>DR</v>
          </cell>
          <cell r="G203">
            <v>0</v>
          </cell>
          <cell r="H203">
            <v>3.9836065573770494</v>
          </cell>
          <cell r="I203">
            <v>0</v>
          </cell>
          <cell r="J203">
            <v>16</v>
          </cell>
          <cell r="K203">
            <v>0</v>
          </cell>
          <cell r="L203">
            <v>3.4991264517144254</v>
          </cell>
          <cell r="M203">
            <v>14.054104596186333</v>
          </cell>
        </row>
        <row r="204">
          <cell r="A204" t="str">
            <v>J7500</v>
          </cell>
          <cell r="B204" t="str">
            <v>OJ</v>
          </cell>
          <cell r="E204" t="str">
            <v>OJ Drum</v>
          </cell>
          <cell r="F204" t="str">
            <v>DR</v>
          </cell>
          <cell r="G204">
            <v>540</v>
          </cell>
          <cell r="H204">
            <v>167.72727272727272</v>
          </cell>
          <cell r="I204">
            <v>3.2195121951219514</v>
          </cell>
          <cell r="J204">
            <v>16</v>
          </cell>
          <cell r="K204">
            <v>51.512195121951223</v>
          </cell>
          <cell r="L204">
            <v>3.4991264517144254</v>
          </cell>
          <cell r="M204">
            <v>0.3337920084020265</v>
          </cell>
        </row>
        <row r="205">
          <cell r="A205" t="str">
            <v>J7510</v>
          </cell>
          <cell r="B205" t="str">
            <v>OJ Enhanced</v>
          </cell>
          <cell r="E205" t="str">
            <v>OJ Drum</v>
          </cell>
          <cell r="F205" t="str">
            <v>DR</v>
          </cell>
          <cell r="G205">
            <v>0</v>
          </cell>
          <cell r="H205">
            <v>167.72727272727272</v>
          </cell>
          <cell r="I205">
            <v>0</v>
          </cell>
          <cell r="J205">
            <v>16</v>
          </cell>
          <cell r="K205">
            <v>0</v>
          </cell>
          <cell r="L205">
            <v>3.4991264517144254</v>
          </cell>
          <cell r="M205">
            <v>0.3337920084020265</v>
          </cell>
        </row>
        <row r="206">
          <cell r="A206" t="str">
            <v>J7540</v>
          </cell>
          <cell r="B206" t="str">
            <v>OJ No Pulp</v>
          </cell>
          <cell r="E206" t="str">
            <v>OJ Drum</v>
          </cell>
          <cell r="F206" t="str">
            <v>DR</v>
          </cell>
          <cell r="G206">
            <v>34147</v>
          </cell>
          <cell r="H206">
            <v>167.72727272727272</v>
          </cell>
          <cell r="I206">
            <v>203.58644986449866</v>
          </cell>
          <cell r="J206">
            <v>16</v>
          </cell>
          <cell r="K206">
            <v>3257.3831978319786</v>
          </cell>
          <cell r="L206">
            <v>3.4991264517144254</v>
          </cell>
          <cell r="M206">
            <v>0.3337920084020265</v>
          </cell>
        </row>
        <row r="207">
          <cell r="A207" t="str">
            <v>J7545</v>
          </cell>
          <cell r="B207" t="str">
            <v>OJ Mexican Juice in Totes</v>
          </cell>
          <cell r="E207" t="str">
            <v>OJ Tote</v>
          </cell>
          <cell r="F207" t="str">
            <v>GL</v>
          </cell>
          <cell r="G207">
            <v>579500</v>
          </cell>
          <cell r="H207">
            <v>300</v>
          </cell>
          <cell r="I207">
            <v>1931.6666666666667</v>
          </cell>
          <cell r="J207">
            <v>8</v>
          </cell>
          <cell r="K207">
            <v>15453.333333333334</v>
          </cell>
          <cell r="L207">
            <v>3.4991264517144254</v>
          </cell>
          <cell r="M207">
            <v>9.3310038712384677E-2</v>
          </cell>
        </row>
        <row r="208">
          <cell r="A208" t="str">
            <v>J7904</v>
          </cell>
          <cell r="B208" t="str">
            <v>100% California Valencia Orange Juice [J7904]</v>
          </cell>
          <cell r="E208" t="str">
            <v>OJ Drum</v>
          </cell>
          <cell r="F208" t="str">
            <v>DR</v>
          </cell>
          <cell r="G208">
            <v>11</v>
          </cell>
          <cell r="H208">
            <v>4</v>
          </cell>
          <cell r="I208">
            <v>2.75</v>
          </cell>
          <cell r="J208">
            <v>16</v>
          </cell>
          <cell r="K208">
            <v>44</v>
          </cell>
          <cell r="L208">
            <v>3.4991264517144254</v>
          </cell>
          <cell r="M208">
            <v>13.996505806857702</v>
          </cell>
        </row>
        <row r="209">
          <cell r="A209" t="str">
            <v>J7904P</v>
          </cell>
          <cell r="B209" t="str">
            <v>OJ CA/AZ Valencia Plastic Drum [J7904P]</v>
          </cell>
          <cell r="E209" t="str">
            <v>OJ Drum</v>
          </cell>
          <cell r="F209" t="str">
            <v>DR</v>
          </cell>
          <cell r="G209">
            <v>0</v>
          </cell>
          <cell r="H209">
            <v>3.8615384615384616</v>
          </cell>
          <cell r="I209">
            <v>0</v>
          </cell>
          <cell r="J209">
            <v>16</v>
          </cell>
          <cell r="K209">
            <v>0</v>
          </cell>
          <cell r="L209">
            <v>3.4991264517144254</v>
          </cell>
          <cell r="M209">
            <v>14.498372548936265</v>
          </cell>
        </row>
        <row r="210">
          <cell r="A210" t="str">
            <v>J7907</v>
          </cell>
          <cell r="B210" t="str">
            <v>OJ Mex Valencia Drum [J7907]</v>
          </cell>
          <cell r="E210" t="str">
            <v>OJ Drum</v>
          </cell>
          <cell r="F210" t="str">
            <v>DR</v>
          </cell>
          <cell r="G210">
            <v>0</v>
          </cell>
          <cell r="H210">
            <v>4</v>
          </cell>
          <cell r="I210">
            <v>0</v>
          </cell>
          <cell r="J210">
            <v>16</v>
          </cell>
          <cell r="K210">
            <v>0</v>
          </cell>
          <cell r="L210">
            <v>3.4991264517144254</v>
          </cell>
          <cell r="M210">
            <v>13.996505806857702</v>
          </cell>
        </row>
        <row r="211">
          <cell r="A211" t="str">
            <v>J7912</v>
          </cell>
          <cell r="B211" t="str">
            <v>OJ CA Valencia Internal Drum in Gallons</v>
          </cell>
          <cell r="E211" t="str">
            <v>OJ Drum</v>
          </cell>
          <cell r="F211" t="str">
            <v>DR</v>
          </cell>
          <cell r="G211">
            <v>187045</v>
          </cell>
          <cell r="H211">
            <v>175.38340807174887</v>
          </cell>
          <cell r="I211">
            <v>1066.4919906418993</v>
          </cell>
          <cell r="J211">
            <v>16</v>
          </cell>
          <cell r="K211">
            <v>17063.871850270389</v>
          </cell>
          <cell r="L211">
            <v>3.4991264517144254</v>
          </cell>
          <cell r="M211">
            <v>0.31922075094199948</v>
          </cell>
        </row>
        <row r="212">
          <cell r="A212" t="str">
            <v>J8500</v>
          </cell>
          <cell r="B212" t="str">
            <v>Gft</v>
          </cell>
          <cell r="E212" t="str">
            <v>Other Juice Drum</v>
          </cell>
          <cell r="F212" t="str">
            <v>GL</v>
          </cell>
          <cell r="G212">
            <v>10867</v>
          </cell>
          <cell r="H212">
            <v>180</v>
          </cell>
          <cell r="I212">
            <v>60.37222222222222</v>
          </cell>
          <cell r="J212">
            <v>26</v>
          </cell>
          <cell r="K212">
            <v>1569.6777777777777</v>
          </cell>
          <cell r="L212">
            <v>3.4991264517144254</v>
          </cell>
          <cell r="M212">
            <v>0.5054293763587504</v>
          </cell>
        </row>
        <row r="213">
          <cell r="A213" t="str">
            <v>J8504</v>
          </cell>
          <cell r="B213" t="str">
            <v>Texas Rio Red Grapefruit Juice [J8504]</v>
          </cell>
          <cell r="E213" t="str">
            <v>Other Juice Drum</v>
          </cell>
          <cell r="F213" t="str">
            <v>GL</v>
          </cell>
          <cell r="G213">
            <v>86052</v>
          </cell>
          <cell r="H213">
            <v>192</v>
          </cell>
          <cell r="I213">
            <v>448.1875</v>
          </cell>
          <cell r="J213">
            <v>26</v>
          </cell>
          <cell r="K213">
            <v>11652.875</v>
          </cell>
          <cell r="L213">
            <v>3.4991264517144254</v>
          </cell>
          <cell r="M213">
            <v>0.47384004033632848</v>
          </cell>
        </row>
        <row r="214">
          <cell r="A214" t="str">
            <v>J8505</v>
          </cell>
          <cell r="B214" t="str">
            <v>Grapefruit Juice Internal Drum</v>
          </cell>
          <cell r="E214" t="str">
            <v>Other Juice Drum</v>
          </cell>
          <cell r="F214" t="str">
            <v>GL</v>
          </cell>
          <cell r="G214">
            <v>11475</v>
          </cell>
          <cell r="H214">
            <v>165.92500000000001</v>
          </cell>
          <cell r="I214">
            <v>69.157751996383908</v>
          </cell>
          <cell r="J214">
            <v>26</v>
          </cell>
          <cell r="K214">
            <v>1798.1015519059815</v>
          </cell>
          <cell r="L214">
            <v>3.4991264517144254</v>
          </cell>
          <cell r="M214">
            <v>0.54830367783381084</v>
          </cell>
        </row>
        <row r="215">
          <cell r="A215" t="str">
            <v>J8506</v>
          </cell>
          <cell r="B215" t="str">
            <v>Grapefruit Juice USA Internal Drum</v>
          </cell>
          <cell r="E215" t="str">
            <v>Other Juice Drum</v>
          </cell>
          <cell r="F215" t="str">
            <v>GL</v>
          </cell>
          <cell r="G215">
            <v>69125</v>
          </cell>
          <cell r="H215">
            <v>165.92500000000001</v>
          </cell>
          <cell r="I215">
            <v>416.60388729847818</v>
          </cell>
          <cell r="J215">
            <v>26</v>
          </cell>
          <cell r="K215">
            <v>10831.701069760433</v>
          </cell>
          <cell r="L215">
            <v>3.4991264517144254</v>
          </cell>
          <cell r="M215">
            <v>0.54830367783381084</v>
          </cell>
        </row>
        <row r="216">
          <cell r="A216" t="str">
            <v>J9000</v>
          </cell>
          <cell r="B216" t="str">
            <v>LA RTB [J9000]</v>
          </cell>
          <cell r="E216" t="str">
            <v>Other Juice Drum</v>
          </cell>
          <cell r="F216" t="str">
            <v>GL</v>
          </cell>
          <cell r="G216">
            <v>0</v>
          </cell>
          <cell r="H216">
            <v>165</v>
          </cell>
          <cell r="I216">
            <v>0</v>
          </cell>
          <cell r="J216">
            <v>26</v>
          </cell>
          <cell r="K216">
            <v>0</v>
          </cell>
          <cell r="L216">
            <v>3.4991264517144254</v>
          </cell>
          <cell r="M216">
            <v>0.55137750148227316</v>
          </cell>
        </row>
        <row r="217">
          <cell r="A217" t="str">
            <v>J9250</v>
          </cell>
          <cell r="B217" t="str">
            <v>LA 2+1 RTB</v>
          </cell>
          <cell r="E217" t="str">
            <v>Other Juice Drum</v>
          </cell>
          <cell r="F217" t="str">
            <v>GL</v>
          </cell>
          <cell r="G217">
            <v>0</v>
          </cell>
          <cell r="H217">
            <v>180</v>
          </cell>
          <cell r="I217">
            <v>0</v>
          </cell>
          <cell r="J217">
            <v>26</v>
          </cell>
          <cell r="K217">
            <v>0</v>
          </cell>
          <cell r="L217">
            <v>3.4991264517144254</v>
          </cell>
          <cell r="M217">
            <v>0.5054293763587504</v>
          </cell>
        </row>
        <row r="218">
          <cell r="A218" t="str">
            <v>J9314</v>
          </cell>
          <cell r="B218" t="str">
            <v>Meyer LA</v>
          </cell>
          <cell r="E218" t="str">
            <v>Other Juice Drum</v>
          </cell>
          <cell r="F218" t="str">
            <v>GL</v>
          </cell>
          <cell r="G218">
            <v>3600</v>
          </cell>
          <cell r="H218">
            <v>180</v>
          </cell>
          <cell r="I218">
            <v>20</v>
          </cell>
          <cell r="J218">
            <v>26</v>
          </cell>
          <cell r="K218">
            <v>520</v>
          </cell>
          <cell r="L218">
            <v>3.4991264517144254</v>
          </cell>
          <cell r="M218">
            <v>0.5054293763587504</v>
          </cell>
        </row>
        <row r="219">
          <cell r="A219" t="str">
            <v>J9400</v>
          </cell>
          <cell r="B219" t="str">
            <v>LA 4+1 RTB</v>
          </cell>
          <cell r="E219" t="str">
            <v>Other Juice Drum</v>
          </cell>
          <cell r="F219" t="str">
            <v>GL</v>
          </cell>
          <cell r="G219">
            <v>324</v>
          </cell>
          <cell r="H219">
            <v>180</v>
          </cell>
          <cell r="I219">
            <v>1.8</v>
          </cell>
          <cell r="J219">
            <v>26</v>
          </cell>
          <cell r="K219">
            <v>46.800000000000004</v>
          </cell>
          <cell r="L219">
            <v>3.4991264517144254</v>
          </cell>
          <cell r="M219">
            <v>0.5054293763587504</v>
          </cell>
        </row>
        <row r="220">
          <cell r="A220" t="str">
            <v>J9405</v>
          </cell>
          <cell r="B220" t="str">
            <v>LA Fatburger 4+1 RTB [J9405]</v>
          </cell>
          <cell r="E220" t="str">
            <v>Other Juice Drum</v>
          </cell>
          <cell r="F220" t="str">
            <v>GL</v>
          </cell>
          <cell r="G220">
            <v>0</v>
          </cell>
          <cell r="H220">
            <v>180</v>
          </cell>
          <cell r="I220">
            <v>0</v>
          </cell>
          <cell r="J220">
            <v>26</v>
          </cell>
          <cell r="K220">
            <v>0</v>
          </cell>
          <cell r="L220">
            <v>3.4991264517144254</v>
          </cell>
          <cell r="M220">
            <v>0.5054293763587504</v>
          </cell>
        </row>
        <row r="221">
          <cell r="A221" t="str">
            <v>J9604</v>
          </cell>
          <cell r="B221" t="str">
            <v>LA Strw 3+1 RTB</v>
          </cell>
          <cell r="E221" t="str">
            <v>Other Juice Drum</v>
          </cell>
          <cell r="F221" t="str">
            <v>GL</v>
          </cell>
          <cell r="G221">
            <v>160</v>
          </cell>
          <cell r="H221">
            <v>180</v>
          </cell>
          <cell r="I221">
            <v>0.88888888888888884</v>
          </cell>
          <cell r="J221">
            <v>26</v>
          </cell>
          <cell r="K221">
            <v>23.111111111111111</v>
          </cell>
          <cell r="L221">
            <v>3.4991264517144254</v>
          </cell>
          <cell r="M221">
            <v>0.5054293763587504</v>
          </cell>
        </row>
        <row r="222">
          <cell r="A222" t="str">
            <v>J9610</v>
          </cell>
          <cell r="B222" t="str">
            <v>LA Strw RTB</v>
          </cell>
          <cell r="E222" t="str">
            <v>Other Juice Drum</v>
          </cell>
          <cell r="F222" t="str">
            <v>GL</v>
          </cell>
          <cell r="G222">
            <v>0</v>
          </cell>
          <cell r="H222">
            <v>180</v>
          </cell>
          <cell r="I222">
            <v>0</v>
          </cell>
          <cell r="J222">
            <v>26</v>
          </cell>
          <cell r="K222">
            <v>0</v>
          </cell>
          <cell r="L222">
            <v>3.4991264517144254</v>
          </cell>
          <cell r="M222">
            <v>0.5054293763587504</v>
          </cell>
        </row>
        <row r="223">
          <cell r="A223" t="str">
            <v>J9700</v>
          </cell>
          <cell r="B223" t="str">
            <v>LA Auntie Annes 3+1 RTB</v>
          </cell>
          <cell r="E223" t="str">
            <v>Other Juice Drum</v>
          </cell>
          <cell r="F223" t="str">
            <v>GL</v>
          </cell>
          <cell r="G223">
            <v>0</v>
          </cell>
          <cell r="H223">
            <v>180</v>
          </cell>
          <cell r="I223">
            <v>0</v>
          </cell>
          <cell r="J223">
            <v>26</v>
          </cell>
          <cell r="K223">
            <v>0</v>
          </cell>
          <cell r="L223">
            <v>3.4991264517144254</v>
          </cell>
          <cell r="M223">
            <v>0.5054293763587504</v>
          </cell>
        </row>
        <row r="224">
          <cell r="A224" t="str">
            <v>L01015N</v>
          </cell>
          <cell r="B224" t="str">
            <v>Orange Juice 11.5 oz Nutritional Label</v>
          </cell>
          <cell r="E224" t="str">
            <v>Label</v>
          </cell>
          <cell r="F224" t="str">
            <v>EA</v>
          </cell>
          <cell r="G224">
            <v>0</v>
          </cell>
          <cell r="H224">
            <v>100000</v>
          </cell>
          <cell r="I224">
            <v>0</v>
          </cell>
          <cell r="J224">
            <v>6</v>
          </cell>
          <cell r="K224">
            <v>0</v>
          </cell>
          <cell r="L224">
            <v>3.4991264517144254</v>
          </cell>
          <cell r="M224">
            <v>2.0994758710286555E-4</v>
          </cell>
        </row>
        <row r="225">
          <cell r="A225" t="str">
            <v>L01015V3</v>
          </cell>
          <cell r="B225" t="str">
            <v>Orange Juice 11.5 oz V3</v>
          </cell>
          <cell r="E225" t="str">
            <v>Label</v>
          </cell>
          <cell r="F225" t="str">
            <v>EA</v>
          </cell>
          <cell r="G225">
            <v>0</v>
          </cell>
          <cell r="H225">
            <v>100000</v>
          </cell>
          <cell r="I225">
            <v>0</v>
          </cell>
          <cell r="J225">
            <v>6</v>
          </cell>
          <cell r="K225">
            <v>0</v>
          </cell>
          <cell r="L225">
            <v>3.4991264517144254</v>
          </cell>
          <cell r="M225">
            <v>2.0994758710286555E-4</v>
          </cell>
        </row>
        <row r="226">
          <cell r="A226" t="str">
            <v>L0102</v>
          </cell>
          <cell r="B226" t="str">
            <v>SO Bloody Mary Mix 32oz</v>
          </cell>
          <cell r="E226" t="str">
            <v>Label</v>
          </cell>
          <cell r="F226" t="str">
            <v>EA</v>
          </cell>
          <cell r="G226">
            <v>0</v>
          </cell>
          <cell r="H226">
            <v>100000</v>
          </cell>
          <cell r="I226">
            <v>0</v>
          </cell>
          <cell r="J226">
            <v>6</v>
          </cell>
          <cell r="K226">
            <v>0</v>
          </cell>
          <cell r="L226">
            <v>3.4991264517144254</v>
          </cell>
          <cell r="M226">
            <v>2.0994758710286555E-4</v>
          </cell>
        </row>
        <row r="227">
          <cell r="A227" t="str">
            <v>L0102N</v>
          </cell>
          <cell r="B227" t="str">
            <v>SO Bloody Mary Mix 32oz Nutrition</v>
          </cell>
          <cell r="E227" t="str">
            <v>Label</v>
          </cell>
          <cell r="F227" t="str">
            <v>EA</v>
          </cell>
          <cell r="G227">
            <v>0</v>
          </cell>
          <cell r="H227">
            <v>100000</v>
          </cell>
          <cell r="I227">
            <v>0</v>
          </cell>
          <cell r="J227">
            <v>6</v>
          </cell>
          <cell r="K227">
            <v>0</v>
          </cell>
          <cell r="L227">
            <v>3.4991264517144254</v>
          </cell>
          <cell r="M227">
            <v>2.0994758710286555E-4</v>
          </cell>
        </row>
        <row r="228">
          <cell r="A228" t="str">
            <v>L0103LFV2</v>
          </cell>
          <cell r="B228" t="str">
            <v>Lemon Juice Gln FZN Version 2</v>
          </cell>
          <cell r="E228" t="str">
            <v>Label</v>
          </cell>
          <cell r="F228" t="str">
            <v>EA</v>
          </cell>
          <cell r="G228">
            <v>0</v>
          </cell>
          <cell r="H228">
            <v>100000</v>
          </cell>
          <cell r="I228">
            <v>0</v>
          </cell>
          <cell r="J228">
            <v>6</v>
          </cell>
          <cell r="K228">
            <v>0</v>
          </cell>
          <cell r="L228">
            <v>3.4991264517144254</v>
          </cell>
          <cell r="M228">
            <v>2.0994758710286555E-4</v>
          </cell>
        </row>
        <row r="229">
          <cell r="A229" t="str">
            <v>L0103LV2</v>
          </cell>
          <cell r="B229" t="str">
            <v>Lemon Juice Gln Version 2 [L0103LV2]</v>
          </cell>
          <cell r="E229" t="str">
            <v>Label</v>
          </cell>
          <cell r="F229" t="str">
            <v>EA</v>
          </cell>
          <cell r="G229">
            <v>525000</v>
          </cell>
          <cell r="H229">
            <v>100000</v>
          </cell>
          <cell r="I229">
            <v>5.25</v>
          </cell>
          <cell r="J229">
            <v>6</v>
          </cell>
          <cell r="K229">
            <v>31.5</v>
          </cell>
          <cell r="L229">
            <v>3.4991264517144254</v>
          </cell>
          <cell r="M229">
            <v>2.0994758710286555E-4</v>
          </cell>
        </row>
        <row r="230">
          <cell r="A230" t="str">
            <v>L0103SF</v>
          </cell>
          <cell r="B230" t="str">
            <v>Lemon Juice Qt FZN</v>
          </cell>
          <cell r="E230" t="str">
            <v>Label</v>
          </cell>
          <cell r="F230" t="str">
            <v>EA</v>
          </cell>
          <cell r="G230">
            <v>0</v>
          </cell>
          <cell r="H230">
            <v>100000</v>
          </cell>
          <cell r="I230">
            <v>0</v>
          </cell>
          <cell r="J230">
            <v>6</v>
          </cell>
          <cell r="K230">
            <v>0</v>
          </cell>
          <cell r="L230">
            <v>3.4991264517144254</v>
          </cell>
          <cell r="M230">
            <v>2.0994758710286555E-4</v>
          </cell>
        </row>
        <row r="231">
          <cell r="A231" t="str">
            <v>L0103SNV2</v>
          </cell>
          <cell r="B231" t="str">
            <v>Lemon Juice Qt Nutrition v.2</v>
          </cell>
          <cell r="E231" t="str">
            <v>Label</v>
          </cell>
          <cell r="F231" t="str">
            <v>EA</v>
          </cell>
          <cell r="G231">
            <v>210000</v>
          </cell>
          <cell r="H231">
            <v>100000</v>
          </cell>
          <cell r="I231">
            <v>2.1</v>
          </cell>
          <cell r="J231">
            <v>6</v>
          </cell>
          <cell r="K231">
            <v>12.600000000000001</v>
          </cell>
          <cell r="L231">
            <v>3.4991264517144254</v>
          </cell>
          <cell r="M231">
            <v>2.0994758710286555E-4</v>
          </cell>
        </row>
        <row r="232">
          <cell r="A232" t="str">
            <v>L0103SV2</v>
          </cell>
          <cell r="B232" t="str">
            <v>Lemon Juice Qt v.2.</v>
          </cell>
          <cell r="E232" t="str">
            <v>Label</v>
          </cell>
          <cell r="F232" t="str">
            <v>EA</v>
          </cell>
          <cell r="G232">
            <v>211000</v>
          </cell>
          <cell r="H232">
            <v>100000</v>
          </cell>
          <cell r="I232">
            <v>2.11</v>
          </cell>
          <cell r="J232">
            <v>6</v>
          </cell>
          <cell r="K232">
            <v>12.66</v>
          </cell>
          <cell r="L232">
            <v>3.4991264517144254</v>
          </cell>
          <cell r="M232">
            <v>2.0994758710286555E-4</v>
          </cell>
        </row>
        <row r="233">
          <cell r="A233" t="str">
            <v>L0104L</v>
          </cell>
          <cell r="B233" t="str">
            <v>Lime Juice Gln [L0104L]</v>
          </cell>
          <cell r="E233" t="str">
            <v>Label</v>
          </cell>
          <cell r="F233" t="str">
            <v>EA</v>
          </cell>
          <cell r="G233">
            <v>400000</v>
          </cell>
          <cell r="H233">
            <v>100000</v>
          </cell>
          <cell r="I233">
            <v>4</v>
          </cell>
          <cell r="J233">
            <v>6</v>
          </cell>
          <cell r="K233">
            <v>24</v>
          </cell>
          <cell r="L233">
            <v>3.4991264517144254</v>
          </cell>
          <cell r="M233">
            <v>2.0994758710286555E-4</v>
          </cell>
        </row>
        <row r="234">
          <cell r="A234" t="str">
            <v>L0104S</v>
          </cell>
          <cell r="B234" t="str">
            <v>Lime Juice Qt</v>
          </cell>
          <cell r="E234" t="str">
            <v>Label</v>
          </cell>
          <cell r="F234" t="str">
            <v>EA</v>
          </cell>
          <cell r="G234">
            <v>295000</v>
          </cell>
          <cell r="H234">
            <v>100000</v>
          </cell>
          <cell r="I234">
            <v>2.95</v>
          </cell>
          <cell r="J234">
            <v>6</v>
          </cell>
          <cell r="K234">
            <v>17.700000000000003</v>
          </cell>
          <cell r="L234">
            <v>3.4991264517144254</v>
          </cell>
          <cell r="M234">
            <v>2.0994758710286555E-4</v>
          </cell>
        </row>
        <row r="235">
          <cell r="A235" t="str">
            <v>L0104SF</v>
          </cell>
          <cell r="B235" t="str">
            <v>Lime Juice Qt FZN</v>
          </cell>
          <cell r="E235" t="str">
            <v>Label</v>
          </cell>
          <cell r="F235" t="str">
            <v>EA</v>
          </cell>
          <cell r="G235">
            <v>55000</v>
          </cell>
          <cell r="H235">
            <v>100000</v>
          </cell>
          <cell r="I235">
            <v>0.55000000000000004</v>
          </cell>
          <cell r="J235">
            <v>6</v>
          </cell>
          <cell r="K235">
            <v>3.3000000000000003</v>
          </cell>
          <cell r="L235">
            <v>3.4991264517144254</v>
          </cell>
          <cell r="M235">
            <v>2.0994758710286555E-4</v>
          </cell>
        </row>
        <row r="236">
          <cell r="A236" t="str">
            <v>L0104SN</v>
          </cell>
          <cell r="B236" t="str">
            <v>Lime Juice Qt Nutrition</v>
          </cell>
          <cell r="E236" t="str">
            <v>Label</v>
          </cell>
          <cell r="F236" t="str">
            <v>EA</v>
          </cell>
          <cell r="G236">
            <v>305000</v>
          </cell>
          <cell r="H236">
            <v>100000</v>
          </cell>
          <cell r="I236">
            <v>3.05</v>
          </cell>
          <cell r="J236">
            <v>6</v>
          </cell>
          <cell r="K236">
            <v>18.299999999999997</v>
          </cell>
          <cell r="L236">
            <v>3.4991264517144254</v>
          </cell>
          <cell r="M236">
            <v>2.0994758710286555E-4</v>
          </cell>
        </row>
        <row r="237">
          <cell r="A237" t="str">
            <v>L0105L</v>
          </cell>
          <cell r="B237" t="str">
            <v>Marg Mix Gln</v>
          </cell>
          <cell r="E237" t="str">
            <v>Label</v>
          </cell>
          <cell r="F237" t="str">
            <v>EA</v>
          </cell>
          <cell r="G237">
            <v>60000</v>
          </cell>
          <cell r="H237">
            <v>100000</v>
          </cell>
          <cell r="I237">
            <v>0.6</v>
          </cell>
          <cell r="J237">
            <v>6</v>
          </cell>
          <cell r="K237">
            <v>3.5999999999999996</v>
          </cell>
          <cell r="L237">
            <v>3.4991264517144254</v>
          </cell>
          <cell r="M237">
            <v>2.0994758710286555E-4</v>
          </cell>
        </row>
        <row r="238">
          <cell r="A238" t="str">
            <v>L01062FV2</v>
          </cell>
          <cell r="B238" t="str">
            <v>SOI Margarita Mix 3+1 HGln V2</v>
          </cell>
          <cell r="E238" t="str">
            <v>Label</v>
          </cell>
          <cell r="F238" t="str">
            <v>EA</v>
          </cell>
          <cell r="G238">
            <v>10000</v>
          </cell>
          <cell r="H238">
            <v>100000</v>
          </cell>
          <cell r="I238">
            <v>0.1</v>
          </cell>
          <cell r="J238">
            <v>6</v>
          </cell>
          <cell r="K238">
            <v>0.60000000000000009</v>
          </cell>
          <cell r="L238">
            <v>3.4991264517144254</v>
          </cell>
          <cell r="M238">
            <v>2.0994758710286555E-4</v>
          </cell>
        </row>
        <row r="239">
          <cell r="A239" t="str">
            <v>L0106LV2</v>
          </cell>
          <cell r="B239" t="str">
            <v>Marg Mix Cond Gln V2</v>
          </cell>
          <cell r="E239" t="str">
            <v>Label</v>
          </cell>
          <cell r="F239" t="str">
            <v>EA</v>
          </cell>
          <cell r="G239">
            <v>50000</v>
          </cell>
          <cell r="H239">
            <v>100000</v>
          </cell>
          <cell r="I239">
            <v>0.5</v>
          </cell>
          <cell r="J239">
            <v>6</v>
          </cell>
          <cell r="K239">
            <v>3</v>
          </cell>
          <cell r="L239">
            <v>3.4991264517144254</v>
          </cell>
          <cell r="M239">
            <v>2.0994758710286555E-4</v>
          </cell>
        </row>
        <row r="240">
          <cell r="A240" t="str">
            <v>L0110LN</v>
          </cell>
          <cell r="B240" t="str">
            <v>(AZ)SOI LA Lg Nutrition</v>
          </cell>
          <cell r="E240" t="str">
            <v>Label</v>
          </cell>
          <cell r="F240" t="str">
            <v>EA</v>
          </cell>
          <cell r="G240">
            <v>1</v>
          </cell>
          <cell r="H240">
            <v>100000</v>
          </cell>
          <cell r="I240">
            <v>1.0000000000000001E-5</v>
          </cell>
          <cell r="J240">
            <v>6</v>
          </cell>
          <cell r="K240">
            <v>6.0000000000000008E-5</v>
          </cell>
          <cell r="L240">
            <v>3.4991264517144254</v>
          </cell>
          <cell r="M240">
            <v>2.0994758710286555E-4</v>
          </cell>
        </row>
        <row r="241">
          <cell r="A241" t="str">
            <v>L0110LV2</v>
          </cell>
          <cell r="B241" t="str">
            <v>(AZ)SOI LA Lg v.2.</v>
          </cell>
          <cell r="E241" t="str">
            <v>Label</v>
          </cell>
          <cell r="F241" t="str">
            <v>EA</v>
          </cell>
          <cell r="G241">
            <v>5000</v>
          </cell>
          <cell r="H241">
            <v>100000</v>
          </cell>
          <cell r="I241">
            <v>0.05</v>
          </cell>
          <cell r="J241">
            <v>6</v>
          </cell>
          <cell r="K241">
            <v>0.30000000000000004</v>
          </cell>
          <cell r="L241">
            <v>3.4991264517144254</v>
          </cell>
          <cell r="M241">
            <v>2.0994758710286555E-4</v>
          </cell>
        </row>
        <row r="242">
          <cell r="A242" t="str">
            <v>L011183</v>
          </cell>
          <cell r="B242" t="str">
            <v>Creative Bev Sweet Lemon Juice Hgln Fzn</v>
          </cell>
          <cell r="E242" t="str">
            <v>Label</v>
          </cell>
          <cell r="F242" t="str">
            <v>EA</v>
          </cell>
          <cell r="G242">
            <v>20000</v>
          </cell>
          <cell r="H242">
            <v>100000</v>
          </cell>
          <cell r="I242">
            <v>0.2</v>
          </cell>
          <cell r="J242">
            <v>6</v>
          </cell>
          <cell r="K242">
            <v>1.2000000000000002</v>
          </cell>
          <cell r="L242">
            <v>3.4991264517144254</v>
          </cell>
          <cell r="M242">
            <v>2.0994758710286555E-4</v>
          </cell>
        </row>
        <row r="243">
          <cell r="A243" t="str">
            <v>L0111LV2</v>
          </cell>
          <cell r="B243" t="str">
            <v>LA 4+1 Gln v2</v>
          </cell>
          <cell r="E243" t="str">
            <v>Label</v>
          </cell>
          <cell r="F243" t="str">
            <v>EA</v>
          </cell>
          <cell r="G243">
            <v>124527</v>
          </cell>
          <cell r="H243">
            <v>100000</v>
          </cell>
          <cell r="I243">
            <v>1.2452700000000001</v>
          </cell>
          <cell r="J243">
            <v>6</v>
          </cell>
          <cell r="K243">
            <v>7.4716200000000006</v>
          </cell>
          <cell r="L243">
            <v>3.4991264517144254</v>
          </cell>
          <cell r="M243">
            <v>2.0994758710286555E-4</v>
          </cell>
        </row>
        <row r="244">
          <cell r="A244" t="str">
            <v>L01132F</v>
          </cell>
          <cell r="B244" t="str">
            <v>SOI 3+1 Sweet LA Mix HGln [L01132F]</v>
          </cell>
          <cell r="E244" t="str">
            <v>Label</v>
          </cell>
          <cell r="F244" t="str">
            <v>EA</v>
          </cell>
          <cell r="G244">
            <v>0</v>
          </cell>
          <cell r="H244">
            <v>100000</v>
          </cell>
          <cell r="I244">
            <v>0</v>
          </cell>
          <cell r="J244">
            <v>6</v>
          </cell>
          <cell r="K244">
            <v>0</v>
          </cell>
          <cell r="L244">
            <v>3.4991264517144254</v>
          </cell>
          <cell r="M244">
            <v>2.0994758710286555E-4</v>
          </cell>
        </row>
        <row r="245">
          <cell r="A245" t="str">
            <v>L01141</v>
          </cell>
          <cell r="B245" t="str">
            <v>SOI LA 2+1</v>
          </cell>
          <cell r="E245" t="str">
            <v>Label</v>
          </cell>
          <cell r="F245" t="str">
            <v>EA</v>
          </cell>
          <cell r="G245">
            <v>0</v>
          </cell>
          <cell r="H245">
            <v>100000</v>
          </cell>
          <cell r="I245">
            <v>0</v>
          </cell>
          <cell r="J245">
            <v>6</v>
          </cell>
          <cell r="K245">
            <v>0</v>
          </cell>
          <cell r="L245">
            <v>3.4991264517144254</v>
          </cell>
          <cell r="M245">
            <v>2.0994758710286555E-4</v>
          </cell>
        </row>
        <row r="246">
          <cell r="A246" t="str">
            <v>L011492</v>
          </cell>
          <cell r="B246" t="str">
            <v>50/50 Lemon Lime Juice HGln v.1</v>
          </cell>
          <cell r="E246" t="str">
            <v>Label</v>
          </cell>
          <cell r="F246" t="str">
            <v>EA</v>
          </cell>
          <cell r="G246">
            <v>0</v>
          </cell>
          <cell r="H246">
            <v>100000</v>
          </cell>
          <cell r="I246">
            <v>0</v>
          </cell>
          <cell r="J246">
            <v>6</v>
          </cell>
          <cell r="K246">
            <v>0</v>
          </cell>
          <cell r="L246">
            <v>3.4991264517144254</v>
          </cell>
          <cell r="M246">
            <v>2.0994758710286555E-4</v>
          </cell>
        </row>
        <row r="247">
          <cell r="A247" t="str">
            <v>L01260</v>
          </cell>
          <cell r="B247" t="str">
            <v>SO Straw LA 32oz RTS</v>
          </cell>
          <cell r="E247" t="str">
            <v>Label</v>
          </cell>
          <cell r="F247" t="str">
            <v>EA</v>
          </cell>
          <cell r="G247">
            <v>0</v>
          </cell>
          <cell r="H247">
            <v>100000</v>
          </cell>
          <cell r="I247">
            <v>0</v>
          </cell>
          <cell r="J247">
            <v>6</v>
          </cell>
          <cell r="K247">
            <v>0</v>
          </cell>
          <cell r="L247">
            <v>3.4991264517144254</v>
          </cell>
          <cell r="M247">
            <v>2.0994758710286555E-4</v>
          </cell>
        </row>
        <row r="248">
          <cell r="A248" t="str">
            <v>L01260N</v>
          </cell>
          <cell r="B248" t="str">
            <v>SO Straw LA 32oz RTS Nutrition</v>
          </cell>
          <cell r="E248" t="str">
            <v>Label</v>
          </cell>
          <cell r="F248" t="str">
            <v>EA</v>
          </cell>
          <cell r="G248">
            <v>0</v>
          </cell>
          <cell r="H248">
            <v>100000</v>
          </cell>
          <cell r="I248">
            <v>0</v>
          </cell>
          <cell r="J248">
            <v>6</v>
          </cell>
          <cell r="K248">
            <v>0</v>
          </cell>
          <cell r="L248">
            <v>3.4991264517144254</v>
          </cell>
          <cell r="M248">
            <v>2.0994758710286555E-4</v>
          </cell>
        </row>
        <row r="249">
          <cell r="A249" t="str">
            <v>L01282F</v>
          </cell>
          <cell r="B249" t="str">
            <v>3+1 Sweet Strw LA FZN 61.5 oz v1</v>
          </cell>
          <cell r="E249" t="str">
            <v>Label</v>
          </cell>
          <cell r="F249" t="str">
            <v>EA</v>
          </cell>
          <cell r="G249">
            <v>20000</v>
          </cell>
          <cell r="H249">
            <v>100000</v>
          </cell>
          <cell r="I249">
            <v>0.2</v>
          </cell>
          <cell r="J249">
            <v>6</v>
          </cell>
          <cell r="K249">
            <v>1.2000000000000002</v>
          </cell>
          <cell r="L249">
            <v>3.4991264517144254</v>
          </cell>
          <cell r="M249">
            <v>2.0994758710286555E-4</v>
          </cell>
        </row>
        <row r="250">
          <cell r="A250" t="str">
            <v>L0128L</v>
          </cell>
          <cell r="B250" t="str">
            <v>LA Strw 3+1 Gln</v>
          </cell>
          <cell r="E250" t="str">
            <v>Label</v>
          </cell>
          <cell r="F250" t="str">
            <v>EA</v>
          </cell>
          <cell r="G250">
            <v>50000</v>
          </cell>
          <cell r="H250">
            <v>100000</v>
          </cell>
          <cell r="I250">
            <v>0.5</v>
          </cell>
          <cell r="J250">
            <v>6</v>
          </cell>
          <cell r="K250">
            <v>3</v>
          </cell>
          <cell r="L250">
            <v>3.4991264517144254</v>
          </cell>
          <cell r="M250">
            <v>2.0994758710286555E-4</v>
          </cell>
        </row>
        <row r="251">
          <cell r="A251" t="str">
            <v>L01301</v>
          </cell>
          <cell r="B251" t="str">
            <v>Orange Juice NP Gln</v>
          </cell>
          <cell r="E251" t="str">
            <v>Label</v>
          </cell>
          <cell r="F251" t="str">
            <v>EA</v>
          </cell>
          <cell r="G251">
            <v>90000</v>
          </cell>
          <cell r="H251">
            <v>100000</v>
          </cell>
          <cell r="I251">
            <v>0.9</v>
          </cell>
          <cell r="J251">
            <v>6</v>
          </cell>
          <cell r="K251">
            <v>5.4</v>
          </cell>
          <cell r="L251">
            <v>3.4991264517144254</v>
          </cell>
          <cell r="M251">
            <v>2.0994758710286555E-4</v>
          </cell>
        </row>
        <row r="252">
          <cell r="A252" t="str">
            <v>L01303N</v>
          </cell>
          <cell r="B252" t="str">
            <v>Orange Juice Qt Nutrition</v>
          </cell>
          <cell r="E252" t="str">
            <v>Label</v>
          </cell>
          <cell r="F252" t="str">
            <v>EA</v>
          </cell>
          <cell r="G252">
            <v>30000</v>
          </cell>
          <cell r="H252">
            <v>100000</v>
          </cell>
          <cell r="I252">
            <v>0.3</v>
          </cell>
          <cell r="J252">
            <v>6</v>
          </cell>
          <cell r="K252">
            <v>1.7999999999999998</v>
          </cell>
          <cell r="L252">
            <v>3.4991264517144254</v>
          </cell>
          <cell r="M252">
            <v>2.0994758710286555E-4</v>
          </cell>
        </row>
        <row r="253">
          <cell r="A253" t="str">
            <v>L01303V2</v>
          </cell>
          <cell r="B253" t="str">
            <v>Orange Juice Qt V2</v>
          </cell>
          <cell r="E253" t="str">
            <v>Label</v>
          </cell>
          <cell r="F253" t="str">
            <v>EA</v>
          </cell>
          <cell r="G253">
            <v>30000</v>
          </cell>
          <cell r="H253">
            <v>100000</v>
          </cell>
          <cell r="I253">
            <v>0.3</v>
          </cell>
          <cell r="J253">
            <v>6</v>
          </cell>
          <cell r="K253">
            <v>1.7999999999999998</v>
          </cell>
          <cell r="L253">
            <v>3.4991264517144254</v>
          </cell>
          <cell r="M253">
            <v>2.0994758710286555E-4</v>
          </cell>
        </row>
        <row r="254">
          <cell r="A254" t="str">
            <v>L01307F</v>
          </cell>
          <cell r="B254" t="str">
            <v>NP Orange Juice 61.5oz FZN v1 [L01307F]</v>
          </cell>
          <cell r="E254" t="str">
            <v>Label</v>
          </cell>
          <cell r="F254" t="str">
            <v>EA</v>
          </cell>
          <cell r="G254">
            <v>10000</v>
          </cell>
          <cell r="H254">
            <v>100000</v>
          </cell>
          <cell r="I254">
            <v>0.1</v>
          </cell>
          <cell r="J254">
            <v>6</v>
          </cell>
          <cell r="K254">
            <v>0.60000000000000009</v>
          </cell>
          <cell r="L254">
            <v>3.4991264517144254</v>
          </cell>
          <cell r="M254">
            <v>2.0994758710286555E-4</v>
          </cell>
        </row>
        <row r="255">
          <cell r="A255" t="str">
            <v>L01309</v>
          </cell>
          <cell r="B255" t="str">
            <v>Sojo 100% Valencia OJ 61.5oz FZN</v>
          </cell>
          <cell r="E255" t="str">
            <v>Label</v>
          </cell>
          <cell r="F255" t="str">
            <v>EA</v>
          </cell>
          <cell r="G255">
            <v>0</v>
          </cell>
          <cell r="H255">
            <v>100000</v>
          </cell>
          <cell r="I255">
            <v>0</v>
          </cell>
          <cell r="J255">
            <v>6</v>
          </cell>
          <cell r="K255">
            <v>0</v>
          </cell>
          <cell r="L255">
            <v>3.4991264517144254</v>
          </cell>
          <cell r="M255">
            <v>2.0994758710286555E-4</v>
          </cell>
        </row>
        <row r="256">
          <cell r="A256" t="str">
            <v>L01309N</v>
          </cell>
          <cell r="B256" t="str">
            <v>Sojo 100% Valencia OJ 61.5oz FZN Nutrition</v>
          </cell>
          <cell r="E256" t="str">
            <v>Label</v>
          </cell>
          <cell r="F256" t="str">
            <v>EA</v>
          </cell>
          <cell r="G256">
            <v>20000</v>
          </cell>
          <cell r="H256">
            <v>100000</v>
          </cell>
          <cell r="I256">
            <v>0.2</v>
          </cell>
          <cell r="J256">
            <v>6</v>
          </cell>
          <cell r="K256">
            <v>1.2000000000000002</v>
          </cell>
          <cell r="L256">
            <v>3.4991264517144254</v>
          </cell>
          <cell r="M256">
            <v>2.0994758710286555E-4</v>
          </cell>
        </row>
        <row r="257">
          <cell r="A257" t="str">
            <v>L013112</v>
          </cell>
          <cell r="B257" t="str">
            <v>SO Frozen Grapefruit 30.5oz</v>
          </cell>
          <cell r="E257" t="str">
            <v>Label</v>
          </cell>
          <cell r="F257" t="str">
            <v>EA</v>
          </cell>
          <cell r="G257">
            <v>0</v>
          </cell>
          <cell r="H257">
            <v>100000</v>
          </cell>
          <cell r="I257">
            <v>0</v>
          </cell>
          <cell r="J257">
            <v>6</v>
          </cell>
          <cell r="K257">
            <v>0</v>
          </cell>
          <cell r="L257">
            <v>3.4991264517144254</v>
          </cell>
          <cell r="M257">
            <v>2.0994758710286555E-4</v>
          </cell>
        </row>
        <row r="258">
          <cell r="A258" t="str">
            <v>L01317</v>
          </cell>
          <cell r="B258" t="str">
            <v>SO NP Valencia 61.5oz FZN</v>
          </cell>
          <cell r="E258" t="str">
            <v>Label</v>
          </cell>
          <cell r="F258" t="str">
            <v>EA</v>
          </cell>
          <cell r="G258">
            <v>60000</v>
          </cell>
          <cell r="H258">
            <v>100000</v>
          </cell>
          <cell r="I258">
            <v>0.6</v>
          </cell>
          <cell r="J258">
            <v>6</v>
          </cell>
          <cell r="K258">
            <v>3.5999999999999996</v>
          </cell>
          <cell r="L258">
            <v>3.4991264517144254</v>
          </cell>
          <cell r="M258">
            <v>2.0994758710286555E-4</v>
          </cell>
        </row>
        <row r="259">
          <cell r="A259" t="str">
            <v>L01317N</v>
          </cell>
          <cell r="B259" t="str">
            <v>SO NP Valencia 61.5oz FZN Nutrition</v>
          </cell>
          <cell r="E259" t="str">
            <v>Label</v>
          </cell>
          <cell r="F259" t="str">
            <v>EA</v>
          </cell>
          <cell r="G259">
            <v>0</v>
          </cell>
          <cell r="H259">
            <v>100000</v>
          </cell>
          <cell r="I259">
            <v>0</v>
          </cell>
          <cell r="J259">
            <v>6</v>
          </cell>
          <cell r="K259">
            <v>0</v>
          </cell>
          <cell r="L259">
            <v>3.4991264517144254</v>
          </cell>
          <cell r="M259">
            <v>2.0994758710286555E-4</v>
          </cell>
        </row>
        <row r="260">
          <cell r="A260" t="str">
            <v>L0131L</v>
          </cell>
          <cell r="B260" t="str">
            <v>Gft Juice 6 Pk HGln</v>
          </cell>
          <cell r="E260" t="str">
            <v>Label</v>
          </cell>
          <cell r="F260" t="str">
            <v>EA</v>
          </cell>
          <cell r="G260">
            <v>240010</v>
          </cell>
          <cell r="H260">
            <v>100000</v>
          </cell>
          <cell r="I260">
            <v>2.4001000000000001</v>
          </cell>
          <cell r="J260">
            <v>6</v>
          </cell>
          <cell r="K260">
            <v>14.400600000000001</v>
          </cell>
          <cell r="L260">
            <v>3.4991264517144254</v>
          </cell>
          <cell r="M260">
            <v>2.0994758710286555E-4</v>
          </cell>
        </row>
        <row r="261">
          <cell r="A261" t="str">
            <v>L0131LN</v>
          </cell>
          <cell r="B261" t="str">
            <v>Gft Juice 6 Pk HGln Nutrition</v>
          </cell>
          <cell r="E261" t="str">
            <v>Label</v>
          </cell>
          <cell r="F261" t="str">
            <v>EA</v>
          </cell>
          <cell r="G261">
            <v>240000</v>
          </cell>
          <cell r="H261">
            <v>100000</v>
          </cell>
          <cell r="I261">
            <v>2.4</v>
          </cell>
          <cell r="J261">
            <v>6</v>
          </cell>
          <cell r="K261">
            <v>14.399999999999999</v>
          </cell>
          <cell r="L261">
            <v>3.4991264517144254</v>
          </cell>
          <cell r="M261">
            <v>2.0994758710286555E-4</v>
          </cell>
        </row>
        <row r="262">
          <cell r="A262" t="str">
            <v>L01652F</v>
          </cell>
          <cell r="B262" t="str">
            <v>SOI Sweet &amp; Sour Mix 3+1</v>
          </cell>
          <cell r="E262" t="str">
            <v>Label</v>
          </cell>
          <cell r="F262" t="str">
            <v>EA</v>
          </cell>
          <cell r="G262">
            <v>0</v>
          </cell>
          <cell r="H262">
            <v>100000</v>
          </cell>
          <cell r="I262">
            <v>0</v>
          </cell>
          <cell r="J262">
            <v>6</v>
          </cell>
          <cell r="K262">
            <v>0</v>
          </cell>
          <cell r="L262">
            <v>3.4991264517144254</v>
          </cell>
          <cell r="M262">
            <v>2.0994758710286555E-4</v>
          </cell>
        </row>
        <row r="263">
          <cell r="A263" t="str">
            <v>L01652FNV2</v>
          </cell>
          <cell r="B263" t="str">
            <v>SOI Sweet &amp; Sour Mix 3+1 Nutrition V2</v>
          </cell>
          <cell r="E263" t="str">
            <v>Label</v>
          </cell>
          <cell r="F263" t="str">
            <v>EA</v>
          </cell>
          <cell r="G263">
            <v>0</v>
          </cell>
          <cell r="H263">
            <v>100000</v>
          </cell>
          <cell r="I263">
            <v>0</v>
          </cell>
          <cell r="J263">
            <v>6</v>
          </cell>
          <cell r="K263">
            <v>0</v>
          </cell>
          <cell r="L263">
            <v>3.4991264517144254</v>
          </cell>
          <cell r="M263">
            <v>2.0994758710286555E-4</v>
          </cell>
        </row>
        <row r="264">
          <cell r="A264" t="str">
            <v>L01672FV2</v>
          </cell>
          <cell r="B264" t="str">
            <v>Apple Cider 61.5oz FZN V2</v>
          </cell>
          <cell r="E264" t="str">
            <v>Label</v>
          </cell>
          <cell r="F264" t="str">
            <v>EA</v>
          </cell>
          <cell r="G264">
            <v>0</v>
          </cell>
          <cell r="H264">
            <v>100000</v>
          </cell>
          <cell r="I264">
            <v>0</v>
          </cell>
          <cell r="J264">
            <v>6</v>
          </cell>
          <cell r="K264">
            <v>0</v>
          </cell>
          <cell r="L264">
            <v>3.4991264517144254</v>
          </cell>
          <cell r="M264">
            <v>2.0994758710286555E-4</v>
          </cell>
        </row>
        <row r="265">
          <cell r="A265" t="str">
            <v>L01672NFV2</v>
          </cell>
          <cell r="B265" t="str">
            <v>Apple Cider Nut 61.5oz FZN V2</v>
          </cell>
          <cell r="E265" t="str">
            <v>Label</v>
          </cell>
          <cell r="F265" t="str">
            <v>EA</v>
          </cell>
          <cell r="G265">
            <v>0</v>
          </cell>
          <cell r="H265">
            <v>100000</v>
          </cell>
          <cell r="I265">
            <v>0</v>
          </cell>
          <cell r="J265">
            <v>6</v>
          </cell>
          <cell r="K265">
            <v>0</v>
          </cell>
          <cell r="L265">
            <v>3.4991264517144254</v>
          </cell>
          <cell r="M265">
            <v>2.0994758710286555E-4</v>
          </cell>
        </row>
        <row r="266">
          <cell r="A266" t="str">
            <v>L01860</v>
          </cell>
          <cell r="B266" t="str">
            <v>SOI Pineapple Juice 30.5oz [L01860]</v>
          </cell>
          <cell r="E266" t="str">
            <v>Label</v>
          </cell>
          <cell r="F266" t="str">
            <v>EA</v>
          </cell>
          <cell r="G266">
            <v>0</v>
          </cell>
          <cell r="H266">
            <v>100000</v>
          </cell>
          <cell r="I266">
            <v>0</v>
          </cell>
          <cell r="J266">
            <v>6</v>
          </cell>
          <cell r="K266">
            <v>0</v>
          </cell>
          <cell r="L266">
            <v>3.4991264517144254</v>
          </cell>
          <cell r="M266">
            <v>2.0994758710286555E-4</v>
          </cell>
        </row>
        <row r="267">
          <cell r="A267" t="str">
            <v>L02112V2</v>
          </cell>
          <cell r="B267" t="str">
            <v>Old Fashioned Lemonade Mix V2</v>
          </cell>
          <cell r="E267" t="str">
            <v>Label</v>
          </cell>
          <cell r="F267" t="str">
            <v>EA</v>
          </cell>
          <cell r="G267">
            <v>20000</v>
          </cell>
          <cell r="H267">
            <v>100000</v>
          </cell>
          <cell r="I267">
            <v>0.2</v>
          </cell>
          <cell r="J267">
            <v>6</v>
          </cell>
          <cell r="K267">
            <v>1.2000000000000002</v>
          </cell>
          <cell r="L267">
            <v>3.4991264517144254</v>
          </cell>
          <cell r="M267">
            <v>2.0994758710286555E-4</v>
          </cell>
        </row>
        <row r="268">
          <cell r="A268" t="str">
            <v>L02132V3</v>
          </cell>
          <cell r="B268" t="str">
            <v>LA 3+1 Gln v.3</v>
          </cell>
          <cell r="E268" t="str">
            <v>Label</v>
          </cell>
          <cell r="F268" t="str">
            <v>EA</v>
          </cell>
          <cell r="G268">
            <v>20000</v>
          </cell>
          <cell r="H268">
            <v>100000</v>
          </cell>
          <cell r="I268">
            <v>0.2</v>
          </cell>
          <cell r="J268">
            <v>6</v>
          </cell>
          <cell r="K268">
            <v>1.2000000000000002</v>
          </cell>
          <cell r="L268">
            <v>3.4991264517144254</v>
          </cell>
          <cell r="M268">
            <v>2.0994758710286555E-4</v>
          </cell>
        </row>
        <row r="269">
          <cell r="A269" t="str">
            <v>L030312V2</v>
          </cell>
          <cell r="B269" t="str">
            <v>Sysco Lemon Juice Gln v.2</v>
          </cell>
          <cell r="E269" t="str">
            <v>Label</v>
          </cell>
          <cell r="F269" t="str">
            <v>EA</v>
          </cell>
          <cell r="G269">
            <v>230000</v>
          </cell>
          <cell r="H269">
            <v>100000</v>
          </cell>
          <cell r="I269">
            <v>2.2999999999999998</v>
          </cell>
          <cell r="J269">
            <v>6</v>
          </cell>
          <cell r="K269">
            <v>13.799999999999999</v>
          </cell>
          <cell r="L269">
            <v>3.4991264517144254</v>
          </cell>
          <cell r="M269">
            <v>2.0994758710286555E-4</v>
          </cell>
        </row>
        <row r="270">
          <cell r="A270" t="str">
            <v>L03032</v>
          </cell>
          <cell r="B270" t="str">
            <v>Lemon Juice HGln</v>
          </cell>
          <cell r="E270" t="str">
            <v>Label</v>
          </cell>
          <cell r="F270" t="str">
            <v>EA</v>
          </cell>
          <cell r="G270">
            <v>310000</v>
          </cell>
          <cell r="H270">
            <v>100000</v>
          </cell>
          <cell r="I270">
            <v>3.1</v>
          </cell>
          <cell r="J270">
            <v>6</v>
          </cell>
          <cell r="K270">
            <v>18.600000000000001</v>
          </cell>
          <cell r="L270">
            <v>3.4991264517144254</v>
          </cell>
          <cell r="M270">
            <v>2.0994758710286555E-4</v>
          </cell>
        </row>
        <row r="271">
          <cell r="A271" t="str">
            <v>L030412</v>
          </cell>
          <cell r="B271" t="str">
            <v>Sysco Lime Juice Gln v1.</v>
          </cell>
          <cell r="E271" t="str">
            <v>Label</v>
          </cell>
          <cell r="F271" t="str">
            <v>EA</v>
          </cell>
          <cell r="G271">
            <v>240010</v>
          </cell>
          <cell r="H271">
            <v>100000</v>
          </cell>
          <cell r="I271">
            <v>2.4001000000000001</v>
          </cell>
          <cell r="J271">
            <v>6</v>
          </cell>
          <cell r="K271">
            <v>14.400600000000001</v>
          </cell>
          <cell r="L271">
            <v>3.4991264517144254</v>
          </cell>
          <cell r="M271">
            <v>2.0994758710286555E-4</v>
          </cell>
        </row>
        <row r="272">
          <cell r="A272" t="str">
            <v>L03043</v>
          </cell>
          <cell r="B272" t="str">
            <v>Lime Juice Qt [L03043]</v>
          </cell>
          <cell r="E272" t="str">
            <v>Label</v>
          </cell>
          <cell r="F272" t="str">
            <v>EA</v>
          </cell>
          <cell r="G272">
            <v>525000</v>
          </cell>
          <cell r="H272">
            <v>100000</v>
          </cell>
          <cell r="I272">
            <v>5.25</v>
          </cell>
          <cell r="J272">
            <v>6</v>
          </cell>
          <cell r="K272">
            <v>31.5</v>
          </cell>
          <cell r="L272">
            <v>3.4991264517144254</v>
          </cell>
          <cell r="M272">
            <v>2.0994758710286555E-4</v>
          </cell>
        </row>
        <row r="273">
          <cell r="A273" t="str">
            <v>L03101</v>
          </cell>
          <cell r="B273" t="str">
            <v>LA Gln</v>
          </cell>
          <cell r="E273" t="str">
            <v>Label</v>
          </cell>
          <cell r="F273" t="str">
            <v>EA</v>
          </cell>
          <cell r="G273">
            <v>200000</v>
          </cell>
          <cell r="H273">
            <v>100000</v>
          </cell>
          <cell r="I273">
            <v>2</v>
          </cell>
          <cell r="J273">
            <v>6</v>
          </cell>
          <cell r="K273">
            <v>12</v>
          </cell>
          <cell r="L273">
            <v>3.4991264517144254</v>
          </cell>
          <cell r="M273">
            <v>2.0994758710286555E-4</v>
          </cell>
        </row>
        <row r="274">
          <cell r="A274" t="str">
            <v>L03301</v>
          </cell>
          <cell r="B274" t="str">
            <v>Orange Juice Gln</v>
          </cell>
          <cell r="E274" t="str">
            <v>Label</v>
          </cell>
          <cell r="F274" t="str">
            <v>EA</v>
          </cell>
          <cell r="G274">
            <v>630000</v>
          </cell>
          <cell r="H274">
            <v>100000</v>
          </cell>
          <cell r="I274">
            <v>6.3</v>
          </cell>
          <cell r="J274">
            <v>6</v>
          </cell>
          <cell r="K274">
            <v>37.799999999999997</v>
          </cell>
          <cell r="L274">
            <v>3.4991264517144254</v>
          </cell>
          <cell r="M274">
            <v>2.0994758710286555E-4</v>
          </cell>
        </row>
        <row r="275">
          <cell r="A275" t="str">
            <v>L03301NP</v>
          </cell>
          <cell r="B275" t="str">
            <v>NP Orange Juice Gln v1.</v>
          </cell>
          <cell r="E275" t="str">
            <v>Label</v>
          </cell>
          <cell r="F275" t="str">
            <v>EA</v>
          </cell>
          <cell r="G275">
            <v>235000</v>
          </cell>
          <cell r="H275">
            <v>100000</v>
          </cell>
          <cell r="I275">
            <v>2.35</v>
          </cell>
          <cell r="J275">
            <v>6</v>
          </cell>
          <cell r="K275">
            <v>14.100000000000001</v>
          </cell>
          <cell r="L275">
            <v>3.4991264517144254</v>
          </cell>
          <cell r="M275">
            <v>2.0994758710286555E-4</v>
          </cell>
        </row>
        <row r="276">
          <cell r="A276" t="str">
            <v>L03312</v>
          </cell>
          <cell r="B276" t="str">
            <v>Gft Juice HGln</v>
          </cell>
          <cell r="E276" t="str">
            <v>Label</v>
          </cell>
          <cell r="F276" t="str">
            <v>EA</v>
          </cell>
          <cell r="G276">
            <v>0</v>
          </cell>
          <cell r="H276">
            <v>100000</v>
          </cell>
          <cell r="I276">
            <v>0</v>
          </cell>
          <cell r="J276">
            <v>6</v>
          </cell>
          <cell r="K276">
            <v>0</v>
          </cell>
          <cell r="L276">
            <v>3.4991264517144254</v>
          </cell>
          <cell r="M276">
            <v>2.0994758710286555E-4</v>
          </cell>
        </row>
        <row r="277">
          <cell r="A277" t="str">
            <v>L038503</v>
          </cell>
          <cell r="B277" t="str">
            <v>Pineapple Juice 32oz [L038503]</v>
          </cell>
          <cell r="E277" t="str">
            <v>Label</v>
          </cell>
          <cell r="F277" t="str">
            <v>EA</v>
          </cell>
          <cell r="G277">
            <v>0</v>
          </cell>
          <cell r="H277">
            <v>100000</v>
          </cell>
          <cell r="I277">
            <v>0</v>
          </cell>
          <cell r="J277">
            <v>6</v>
          </cell>
          <cell r="K277">
            <v>0</v>
          </cell>
          <cell r="L277">
            <v>3.4991264517144254</v>
          </cell>
          <cell r="M277">
            <v>2.0994758710286555E-4</v>
          </cell>
        </row>
        <row r="278">
          <cell r="A278" t="str">
            <v>L06031</v>
          </cell>
          <cell r="B278" t="str">
            <v>Lemon Juice Gln</v>
          </cell>
          <cell r="E278" t="str">
            <v>Label</v>
          </cell>
          <cell r="F278" t="str">
            <v>EA</v>
          </cell>
          <cell r="G278">
            <v>0</v>
          </cell>
          <cell r="H278">
            <v>100000</v>
          </cell>
          <cell r="I278">
            <v>0</v>
          </cell>
          <cell r="J278">
            <v>6</v>
          </cell>
          <cell r="K278">
            <v>0</v>
          </cell>
          <cell r="L278">
            <v>3.4991264517144254</v>
          </cell>
          <cell r="M278">
            <v>2.0994758710286555E-4</v>
          </cell>
        </row>
        <row r="279">
          <cell r="A279" t="str">
            <v>L06031V2</v>
          </cell>
          <cell r="B279" t="str">
            <v>Lemon Juice Gln V2</v>
          </cell>
          <cell r="E279" t="str">
            <v>Label</v>
          </cell>
          <cell r="F279" t="str">
            <v>EA</v>
          </cell>
          <cell r="G279">
            <v>115000</v>
          </cell>
          <cell r="H279">
            <v>100000</v>
          </cell>
          <cell r="I279">
            <v>1.1499999999999999</v>
          </cell>
          <cell r="J279">
            <v>6</v>
          </cell>
          <cell r="K279">
            <v>6.8999999999999995</v>
          </cell>
          <cell r="L279">
            <v>3.4991264517144254</v>
          </cell>
          <cell r="M279">
            <v>2.0994758710286555E-4</v>
          </cell>
        </row>
        <row r="280">
          <cell r="A280" t="str">
            <v>L06032</v>
          </cell>
          <cell r="B280" t="str">
            <v>Lemon Juice HGln</v>
          </cell>
          <cell r="E280" t="str">
            <v>Label</v>
          </cell>
          <cell r="F280" t="str">
            <v>EA</v>
          </cell>
          <cell r="G280">
            <v>0</v>
          </cell>
          <cell r="H280">
            <v>100000</v>
          </cell>
          <cell r="I280">
            <v>0</v>
          </cell>
          <cell r="J280">
            <v>6</v>
          </cell>
          <cell r="K280">
            <v>0</v>
          </cell>
          <cell r="L280">
            <v>3.4991264517144254</v>
          </cell>
          <cell r="M280">
            <v>2.0994758710286555E-4</v>
          </cell>
        </row>
        <row r="281">
          <cell r="A281" t="str">
            <v>L06032V2</v>
          </cell>
          <cell r="B281" t="str">
            <v>Lemon Juice HGln V2</v>
          </cell>
          <cell r="E281" t="str">
            <v>Label</v>
          </cell>
          <cell r="F281" t="str">
            <v>EA</v>
          </cell>
          <cell r="G281">
            <v>335000</v>
          </cell>
          <cell r="H281">
            <v>100000</v>
          </cell>
          <cell r="I281">
            <v>3.35</v>
          </cell>
          <cell r="J281">
            <v>6</v>
          </cell>
          <cell r="K281">
            <v>20.100000000000001</v>
          </cell>
          <cell r="L281">
            <v>3.4991264517144254</v>
          </cell>
          <cell r="M281">
            <v>2.0994758710286555E-4</v>
          </cell>
        </row>
        <row r="282">
          <cell r="A282" t="str">
            <v>L06041</v>
          </cell>
          <cell r="B282" t="str">
            <v>Lime Juice Gln [L06041]</v>
          </cell>
          <cell r="E282" t="str">
            <v>Label</v>
          </cell>
          <cell r="F282" t="str">
            <v>EA</v>
          </cell>
          <cell r="G282">
            <v>0</v>
          </cell>
          <cell r="H282">
            <v>100000</v>
          </cell>
          <cell r="I282">
            <v>0</v>
          </cell>
          <cell r="J282">
            <v>6</v>
          </cell>
          <cell r="K282">
            <v>0</v>
          </cell>
          <cell r="L282">
            <v>3.4991264517144254</v>
          </cell>
          <cell r="M282">
            <v>2.0994758710286555E-4</v>
          </cell>
        </row>
        <row r="283">
          <cell r="A283" t="str">
            <v>L06041V2</v>
          </cell>
          <cell r="B283" t="str">
            <v>Lime Juice Gln V2</v>
          </cell>
          <cell r="E283" t="str">
            <v>Label</v>
          </cell>
          <cell r="F283" t="str">
            <v>EA</v>
          </cell>
          <cell r="G283">
            <v>210000</v>
          </cell>
          <cell r="H283">
            <v>100000</v>
          </cell>
          <cell r="I283">
            <v>2.1</v>
          </cell>
          <cell r="J283">
            <v>6</v>
          </cell>
          <cell r="K283">
            <v>12.600000000000001</v>
          </cell>
          <cell r="L283">
            <v>3.4991264517144254</v>
          </cell>
          <cell r="M283">
            <v>2.0994758710286555E-4</v>
          </cell>
        </row>
        <row r="284">
          <cell r="A284" t="str">
            <v>L06042</v>
          </cell>
          <cell r="B284" t="str">
            <v>Lime Juice HGln [L06042]</v>
          </cell>
          <cell r="E284" t="str">
            <v>Label</v>
          </cell>
          <cell r="F284" t="str">
            <v>EA</v>
          </cell>
          <cell r="G284">
            <v>0</v>
          </cell>
          <cell r="H284">
            <v>100000</v>
          </cell>
          <cell r="I284">
            <v>0</v>
          </cell>
          <cell r="J284">
            <v>6</v>
          </cell>
          <cell r="K284">
            <v>0</v>
          </cell>
          <cell r="L284">
            <v>3.4991264517144254</v>
          </cell>
          <cell r="M284">
            <v>2.0994758710286555E-4</v>
          </cell>
        </row>
        <row r="285">
          <cell r="A285" t="str">
            <v>L06042V2</v>
          </cell>
          <cell r="B285" t="str">
            <v>Lime Juice HGln V2</v>
          </cell>
          <cell r="E285" t="str">
            <v>Label</v>
          </cell>
          <cell r="F285" t="str">
            <v>EA</v>
          </cell>
          <cell r="G285">
            <v>480000</v>
          </cell>
          <cell r="H285">
            <v>100000</v>
          </cell>
          <cell r="I285">
            <v>4.8</v>
          </cell>
          <cell r="J285">
            <v>6</v>
          </cell>
          <cell r="K285">
            <v>28.799999999999997</v>
          </cell>
          <cell r="L285">
            <v>3.4991264517144254</v>
          </cell>
          <cell r="M285">
            <v>2.0994758710286555E-4</v>
          </cell>
        </row>
        <row r="286">
          <cell r="A286" t="str">
            <v>L06043</v>
          </cell>
          <cell r="B286" t="str">
            <v>Lime Juice Qt</v>
          </cell>
          <cell r="E286" t="str">
            <v>Label</v>
          </cell>
          <cell r="F286" t="str">
            <v>EA</v>
          </cell>
          <cell r="G286">
            <v>0</v>
          </cell>
          <cell r="H286">
            <v>100000</v>
          </cell>
          <cell r="I286">
            <v>0</v>
          </cell>
          <cell r="J286">
            <v>6</v>
          </cell>
          <cell r="K286">
            <v>0</v>
          </cell>
          <cell r="L286">
            <v>3.4991264517144254</v>
          </cell>
          <cell r="M286">
            <v>2.0994758710286555E-4</v>
          </cell>
        </row>
        <row r="287">
          <cell r="A287" t="str">
            <v>L06051</v>
          </cell>
          <cell r="B287" t="str">
            <v>Marg Mix Gln</v>
          </cell>
          <cell r="E287" t="str">
            <v>Label</v>
          </cell>
          <cell r="F287" t="str">
            <v>EA</v>
          </cell>
          <cell r="G287">
            <v>0</v>
          </cell>
          <cell r="H287">
            <v>100000</v>
          </cell>
          <cell r="I287">
            <v>0</v>
          </cell>
          <cell r="J287">
            <v>6</v>
          </cell>
          <cell r="K287">
            <v>0</v>
          </cell>
          <cell r="L287">
            <v>3.4991264517144254</v>
          </cell>
          <cell r="M287">
            <v>2.0994758710286555E-4</v>
          </cell>
        </row>
        <row r="288">
          <cell r="A288" t="str">
            <v>L06051V2</v>
          </cell>
          <cell r="B288" t="str">
            <v>Marg Mix Gln V2</v>
          </cell>
          <cell r="E288" t="str">
            <v>Label</v>
          </cell>
          <cell r="F288" t="str">
            <v>EA</v>
          </cell>
          <cell r="G288">
            <v>90000</v>
          </cell>
          <cell r="H288">
            <v>100000</v>
          </cell>
          <cell r="I288">
            <v>0.9</v>
          </cell>
          <cell r="J288">
            <v>6</v>
          </cell>
          <cell r="K288">
            <v>5.4</v>
          </cell>
          <cell r="L288">
            <v>3.4991264517144254</v>
          </cell>
          <cell r="M288">
            <v>2.0994758710286555E-4</v>
          </cell>
        </row>
        <row r="289">
          <cell r="A289" t="str">
            <v>L06101</v>
          </cell>
          <cell r="B289" t="str">
            <v>LA Gln</v>
          </cell>
          <cell r="E289" t="str">
            <v>Label</v>
          </cell>
          <cell r="F289" t="str">
            <v>EA</v>
          </cell>
          <cell r="G289">
            <v>0</v>
          </cell>
          <cell r="H289">
            <v>100000</v>
          </cell>
          <cell r="I289">
            <v>0</v>
          </cell>
          <cell r="J289">
            <v>6</v>
          </cell>
          <cell r="K289">
            <v>0</v>
          </cell>
          <cell r="L289">
            <v>3.4991264517144254</v>
          </cell>
          <cell r="M289">
            <v>2.0994758710286555E-4</v>
          </cell>
        </row>
        <row r="290">
          <cell r="A290" t="str">
            <v>L06101V2</v>
          </cell>
          <cell r="B290" t="str">
            <v>LA Gln V2</v>
          </cell>
          <cell r="E290" t="str">
            <v>Label</v>
          </cell>
          <cell r="F290" t="str">
            <v>EA</v>
          </cell>
          <cell r="G290">
            <v>155000</v>
          </cell>
          <cell r="H290">
            <v>100000</v>
          </cell>
          <cell r="I290">
            <v>1.55</v>
          </cell>
          <cell r="J290">
            <v>6</v>
          </cell>
          <cell r="K290">
            <v>9.3000000000000007</v>
          </cell>
          <cell r="L290">
            <v>3.4991264517144254</v>
          </cell>
          <cell r="M290">
            <v>2.0994758710286555E-4</v>
          </cell>
        </row>
        <row r="291">
          <cell r="A291" t="str">
            <v>L06301</v>
          </cell>
          <cell r="B291" t="str">
            <v>Orange Juice Gln</v>
          </cell>
          <cell r="E291" t="str">
            <v>Label</v>
          </cell>
          <cell r="F291" t="str">
            <v>EA</v>
          </cell>
          <cell r="G291">
            <v>0</v>
          </cell>
          <cell r="H291">
            <v>100000</v>
          </cell>
          <cell r="I291">
            <v>0</v>
          </cell>
          <cell r="J291">
            <v>6</v>
          </cell>
          <cell r="K291">
            <v>0</v>
          </cell>
          <cell r="L291">
            <v>3.4991264517144254</v>
          </cell>
          <cell r="M291">
            <v>2.0994758710286555E-4</v>
          </cell>
        </row>
        <row r="292">
          <cell r="A292" t="str">
            <v>L06301V2</v>
          </cell>
          <cell r="B292" t="str">
            <v>Orange Juice Gln V2</v>
          </cell>
          <cell r="E292" t="str">
            <v>Label</v>
          </cell>
          <cell r="F292" t="str">
            <v>EA</v>
          </cell>
          <cell r="G292">
            <v>660000</v>
          </cell>
          <cell r="H292">
            <v>100000</v>
          </cell>
          <cell r="I292">
            <v>6.6</v>
          </cell>
          <cell r="J292">
            <v>6</v>
          </cell>
          <cell r="K292">
            <v>39.599999999999994</v>
          </cell>
          <cell r="L292">
            <v>3.4991264517144254</v>
          </cell>
          <cell r="M292">
            <v>2.0994758710286555E-4</v>
          </cell>
        </row>
        <row r="293">
          <cell r="A293" t="str">
            <v>L06312</v>
          </cell>
          <cell r="B293" t="str">
            <v>Gft Juice HGln</v>
          </cell>
          <cell r="E293" t="str">
            <v>Label</v>
          </cell>
          <cell r="F293" t="str">
            <v>EA</v>
          </cell>
          <cell r="G293">
            <v>0</v>
          </cell>
          <cell r="H293">
            <v>100000</v>
          </cell>
          <cell r="I293">
            <v>0</v>
          </cell>
          <cell r="J293">
            <v>6</v>
          </cell>
          <cell r="K293">
            <v>0</v>
          </cell>
          <cell r="L293">
            <v>3.4991264517144254</v>
          </cell>
          <cell r="M293">
            <v>2.0994758710286555E-4</v>
          </cell>
        </row>
        <row r="294">
          <cell r="A294" t="str">
            <v>L0801</v>
          </cell>
          <cell r="B294" t="str">
            <v>SO Mixed Berry Omija 6+1 HGln 6pk Label</v>
          </cell>
          <cell r="E294" t="str">
            <v>Label</v>
          </cell>
          <cell r="F294" t="str">
            <v>EA</v>
          </cell>
          <cell r="G294">
            <v>0</v>
          </cell>
          <cell r="H294">
            <v>100000</v>
          </cell>
          <cell r="I294">
            <v>0</v>
          </cell>
          <cell r="J294">
            <v>6</v>
          </cell>
          <cell r="K294">
            <v>0</v>
          </cell>
          <cell r="L294">
            <v>3.4991264517144254</v>
          </cell>
          <cell r="M294">
            <v>2.0994758710286555E-4</v>
          </cell>
        </row>
        <row r="295">
          <cell r="A295" t="str">
            <v>L11701FV2</v>
          </cell>
          <cell r="B295" t="str">
            <v>Cava Blueberry Lavender Puree Label V2</v>
          </cell>
          <cell r="E295" t="str">
            <v>Label</v>
          </cell>
          <cell r="F295" t="str">
            <v>EA</v>
          </cell>
          <cell r="G295">
            <v>0</v>
          </cell>
          <cell r="H295">
            <v>100000</v>
          </cell>
          <cell r="I295">
            <v>0</v>
          </cell>
          <cell r="J295">
            <v>6</v>
          </cell>
          <cell r="K295">
            <v>0</v>
          </cell>
          <cell r="L295">
            <v>3.4991264517144254</v>
          </cell>
          <cell r="M295">
            <v>2.0994758710286555E-4</v>
          </cell>
        </row>
        <row r="296">
          <cell r="A296" t="str">
            <v>L1230LN</v>
          </cell>
          <cell r="B296" t="str">
            <v>Orange Juice Gln Nutrition</v>
          </cell>
          <cell r="E296" t="str">
            <v>Label</v>
          </cell>
          <cell r="F296" t="str">
            <v>EA</v>
          </cell>
          <cell r="G296">
            <v>395127</v>
          </cell>
          <cell r="H296">
            <v>100000</v>
          </cell>
          <cell r="I296">
            <v>3.9512700000000001</v>
          </cell>
          <cell r="J296">
            <v>6</v>
          </cell>
          <cell r="K296">
            <v>23.707619999999999</v>
          </cell>
          <cell r="L296">
            <v>3.4991264517144254</v>
          </cell>
          <cell r="M296">
            <v>2.0994758710286555E-4</v>
          </cell>
        </row>
        <row r="297">
          <cell r="A297" t="str">
            <v>L1230LV2</v>
          </cell>
          <cell r="B297" t="str">
            <v>Orange Juice Gln V2</v>
          </cell>
          <cell r="E297" t="str">
            <v>Label</v>
          </cell>
          <cell r="F297" t="str">
            <v>EA</v>
          </cell>
          <cell r="G297">
            <v>327847</v>
          </cell>
          <cell r="H297">
            <v>100000</v>
          </cell>
          <cell r="I297">
            <v>3.27847</v>
          </cell>
          <cell r="J297">
            <v>6</v>
          </cell>
          <cell r="K297">
            <v>19.670819999999999</v>
          </cell>
          <cell r="L297">
            <v>3.4991264517144254</v>
          </cell>
          <cell r="M297">
            <v>2.0994758710286555E-4</v>
          </cell>
        </row>
        <row r="298">
          <cell r="A298" t="str">
            <v>L1230NV2</v>
          </cell>
          <cell r="B298" t="str">
            <v>Orange Juice HGln V2</v>
          </cell>
          <cell r="E298" t="str">
            <v>Label</v>
          </cell>
          <cell r="F298" t="str">
            <v>EA</v>
          </cell>
          <cell r="G298">
            <v>0</v>
          </cell>
          <cell r="H298">
            <v>100000</v>
          </cell>
          <cell r="I298">
            <v>0</v>
          </cell>
          <cell r="J298">
            <v>6</v>
          </cell>
          <cell r="K298">
            <v>0</v>
          </cell>
          <cell r="L298">
            <v>3.4991264517144254</v>
          </cell>
          <cell r="M298">
            <v>2.0994758710286555E-4</v>
          </cell>
        </row>
        <row r="299">
          <cell r="A299" t="str">
            <v>L14132</v>
          </cell>
          <cell r="B299" t="str">
            <v>LA 3+1 HGln  v2</v>
          </cell>
          <cell r="E299" t="str">
            <v>Label</v>
          </cell>
          <cell r="F299" t="str">
            <v>EA</v>
          </cell>
          <cell r="G299">
            <v>290000</v>
          </cell>
          <cell r="H299">
            <v>100000</v>
          </cell>
          <cell r="I299">
            <v>2.9</v>
          </cell>
          <cell r="J299">
            <v>6</v>
          </cell>
          <cell r="K299">
            <v>17.399999999999999</v>
          </cell>
          <cell r="L299">
            <v>3.4991264517144254</v>
          </cell>
          <cell r="M299">
            <v>2.0994758710286555E-4</v>
          </cell>
        </row>
        <row r="300">
          <cell r="A300" t="str">
            <v>L1461</v>
          </cell>
          <cell r="B300" t="str">
            <v>70/30 Lime Lemon Juice Gln v.1 [L1461]</v>
          </cell>
          <cell r="E300" t="str">
            <v>Label</v>
          </cell>
          <cell r="F300" t="str">
            <v>EA</v>
          </cell>
          <cell r="G300">
            <v>618240</v>
          </cell>
          <cell r="H300">
            <v>100000</v>
          </cell>
          <cell r="I300">
            <v>6.1824000000000003</v>
          </cell>
          <cell r="J300">
            <v>6</v>
          </cell>
          <cell r="K300">
            <v>37.0944</v>
          </cell>
          <cell r="L300">
            <v>3.4991264517144254</v>
          </cell>
          <cell r="M300">
            <v>2.0994758710286555E-4</v>
          </cell>
        </row>
        <row r="301">
          <cell r="A301" t="str">
            <v>L1919F</v>
          </cell>
          <cell r="B301" t="str">
            <v>LA 4+1 HGln FZN Label</v>
          </cell>
          <cell r="E301" t="str">
            <v>Label</v>
          </cell>
          <cell r="F301" t="str">
            <v>EA</v>
          </cell>
          <cell r="G301">
            <v>0</v>
          </cell>
          <cell r="H301">
            <v>100000</v>
          </cell>
          <cell r="I301">
            <v>0</v>
          </cell>
          <cell r="J301">
            <v>6</v>
          </cell>
          <cell r="K301">
            <v>0</v>
          </cell>
          <cell r="L301">
            <v>3.4991264517144254</v>
          </cell>
          <cell r="M301">
            <v>2.0994758710286555E-4</v>
          </cell>
        </row>
        <row r="302">
          <cell r="A302" t="str">
            <v>L1919LV2</v>
          </cell>
          <cell r="B302" t="str">
            <v>FB LA 4+1 Gln V2</v>
          </cell>
          <cell r="E302" t="str">
            <v>Label</v>
          </cell>
          <cell r="F302" t="str">
            <v>EA</v>
          </cell>
          <cell r="G302">
            <v>0</v>
          </cell>
          <cell r="H302">
            <v>100000</v>
          </cell>
          <cell r="I302">
            <v>0</v>
          </cell>
          <cell r="J302">
            <v>6</v>
          </cell>
          <cell r="K302">
            <v>0</v>
          </cell>
          <cell r="L302">
            <v>3.4991264517144254</v>
          </cell>
          <cell r="M302">
            <v>2.0994758710286555E-4</v>
          </cell>
        </row>
        <row r="303">
          <cell r="A303" t="str">
            <v>L21121FV2</v>
          </cell>
          <cell r="B303" t="str">
            <v>LA 4+1 Gln Fzn v2</v>
          </cell>
          <cell r="E303" t="str">
            <v>Label</v>
          </cell>
          <cell r="F303" t="str">
            <v>EA</v>
          </cell>
          <cell r="G303">
            <v>0</v>
          </cell>
          <cell r="H303">
            <v>100000</v>
          </cell>
          <cell r="I303">
            <v>0</v>
          </cell>
          <cell r="J303">
            <v>6</v>
          </cell>
          <cell r="K303">
            <v>0</v>
          </cell>
          <cell r="L303">
            <v>3.4991264517144254</v>
          </cell>
          <cell r="M303">
            <v>2.0994758710286555E-4</v>
          </cell>
        </row>
        <row r="304">
          <cell r="A304" t="str">
            <v>L21121FV3</v>
          </cell>
          <cell r="B304" t="str">
            <v>LA 4+1 Gln Fzn V3</v>
          </cell>
          <cell r="E304" t="str">
            <v>Label</v>
          </cell>
          <cell r="F304" t="str">
            <v>EA</v>
          </cell>
          <cell r="G304">
            <v>30000</v>
          </cell>
          <cell r="H304">
            <v>100000</v>
          </cell>
          <cell r="I304">
            <v>0.3</v>
          </cell>
          <cell r="J304">
            <v>6</v>
          </cell>
          <cell r="K304">
            <v>1.7999999999999998</v>
          </cell>
          <cell r="L304">
            <v>3.4991264517144254</v>
          </cell>
          <cell r="M304">
            <v>2.0994758710286555E-4</v>
          </cell>
        </row>
        <row r="305">
          <cell r="A305" t="str">
            <v>L21121V2</v>
          </cell>
          <cell r="B305" t="str">
            <v>LA 4+1 Gln v2</v>
          </cell>
          <cell r="E305" t="str">
            <v>Label</v>
          </cell>
          <cell r="F305" t="str">
            <v>EA</v>
          </cell>
          <cell r="G305">
            <v>0</v>
          </cell>
          <cell r="H305">
            <v>100000</v>
          </cell>
          <cell r="I305">
            <v>0</v>
          </cell>
          <cell r="J305">
            <v>6</v>
          </cell>
          <cell r="K305">
            <v>0</v>
          </cell>
          <cell r="L305">
            <v>3.4991264517144254</v>
          </cell>
          <cell r="M305">
            <v>2.0994758710286555E-4</v>
          </cell>
        </row>
        <row r="306">
          <cell r="A306" t="str">
            <v>L3114519V3</v>
          </cell>
          <cell r="B306" t="str">
            <v>MM Reduced Sugar &amp; added Fiber Green Smoothie Label V3</v>
          </cell>
          <cell r="E306" t="str">
            <v>Label</v>
          </cell>
          <cell r="F306" t="str">
            <v>EA</v>
          </cell>
          <cell r="G306">
            <v>35000</v>
          </cell>
          <cell r="H306">
            <v>100000</v>
          </cell>
          <cell r="I306">
            <v>0.35</v>
          </cell>
          <cell r="J306">
            <v>6</v>
          </cell>
          <cell r="K306">
            <v>2.0999999999999996</v>
          </cell>
          <cell r="L306">
            <v>3.4991264517144254</v>
          </cell>
          <cell r="M306">
            <v>2.0994758710286555E-4</v>
          </cell>
        </row>
        <row r="307">
          <cell r="A307" t="str">
            <v>L3114719V3</v>
          </cell>
          <cell r="B307" t="str">
            <v>MM Reduced Sugar &amp; added Fiber Strw Banana Smoothie Label V3</v>
          </cell>
          <cell r="E307" t="str">
            <v>Label</v>
          </cell>
          <cell r="F307" t="str">
            <v>EA</v>
          </cell>
          <cell r="G307">
            <v>34000</v>
          </cell>
          <cell r="H307">
            <v>100000</v>
          </cell>
          <cell r="I307">
            <v>0.34</v>
          </cell>
          <cell r="J307">
            <v>6</v>
          </cell>
          <cell r="K307">
            <v>2.04</v>
          </cell>
          <cell r="L307">
            <v>3.4991264517144254</v>
          </cell>
          <cell r="M307">
            <v>2.0994758710286555E-4</v>
          </cell>
        </row>
        <row r="308">
          <cell r="A308" t="str">
            <v>L44041</v>
          </cell>
          <cell r="B308" t="str">
            <v>Lime Juice Gln</v>
          </cell>
          <cell r="E308" t="str">
            <v>Label</v>
          </cell>
          <cell r="F308" t="str">
            <v>EA</v>
          </cell>
          <cell r="G308">
            <v>35000</v>
          </cell>
          <cell r="H308">
            <v>100000</v>
          </cell>
          <cell r="I308">
            <v>0.35</v>
          </cell>
          <cell r="J308">
            <v>6</v>
          </cell>
          <cell r="K308">
            <v>2.0999999999999996</v>
          </cell>
          <cell r="L308">
            <v>3.4991264517144254</v>
          </cell>
          <cell r="M308">
            <v>2.0994758710286555E-4</v>
          </cell>
        </row>
        <row r="309">
          <cell r="A309" t="str">
            <v>L55010</v>
          </cell>
          <cell r="B309" t="str">
            <v>i-Squeeze Valencia OJ 61.5oz FZN</v>
          </cell>
          <cell r="E309" t="str">
            <v>Label</v>
          </cell>
          <cell r="F309" t="str">
            <v>EA</v>
          </cell>
          <cell r="G309">
            <v>0</v>
          </cell>
          <cell r="H309">
            <v>100000</v>
          </cell>
          <cell r="I309">
            <v>0</v>
          </cell>
          <cell r="J309">
            <v>6</v>
          </cell>
          <cell r="K309">
            <v>0</v>
          </cell>
          <cell r="L309">
            <v>3.4991264517144254</v>
          </cell>
          <cell r="M309">
            <v>2.0994758710286555E-4</v>
          </cell>
        </row>
        <row r="310">
          <cell r="A310" t="str">
            <v>L55010N</v>
          </cell>
          <cell r="B310" t="str">
            <v>i-Squeeze Valencia OJ 61.5oz FZN Nutrition</v>
          </cell>
          <cell r="E310" t="str">
            <v>Label</v>
          </cell>
          <cell r="F310" t="str">
            <v>EA</v>
          </cell>
          <cell r="G310">
            <v>0</v>
          </cell>
          <cell r="H310">
            <v>100000</v>
          </cell>
          <cell r="I310">
            <v>0</v>
          </cell>
          <cell r="J310">
            <v>6</v>
          </cell>
          <cell r="K310">
            <v>0</v>
          </cell>
          <cell r="L310">
            <v>3.4991264517144254</v>
          </cell>
          <cell r="M310">
            <v>2.0994758710286555E-4</v>
          </cell>
        </row>
        <row r="311">
          <cell r="A311" t="str">
            <v>L620114N</v>
          </cell>
          <cell r="B311" t="str">
            <v>Back Label Panera Orange Juice 11.5oz RTS [L620114N]</v>
          </cell>
          <cell r="E311" t="str">
            <v>Label</v>
          </cell>
          <cell r="F311" t="str">
            <v>EA</v>
          </cell>
          <cell r="G311">
            <v>0</v>
          </cell>
          <cell r="H311">
            <v>100000</v>
          </cell>
          <cell r="I311">
            <v>0</v>
          </cell>
          <cell r="J311">
            <v>6</v>
          </cell>
          <cell r="K311">
            <v>0</v>
          </cell>
          <cell r="L311">
            <v>3.4991264517144254</v>
          </cell>
          <cell r="M311">
            <v>2.0994758710286555E-4</v>
          </cell>
        </row>
        <row r="312">
          <cell r="A312" t="str">
            <v>L620114V4</v>
          </cell>
          <cell r="B312" t="str">
            <v>Panera Orange Juice 11.5oz RTS V4</v>
          </cell>
          <cell r="E312" t="str">
            <v>Label</v>
          </cell>
          <cell r="F312" t="str">
            <v>EA</v>
          </cell>
          <cell r="G312">
            <v>0</v>
          </cell>
          <cell r="H312">
            <v>100000</v>
          </cell>
          <cell r="I312">
            <v>0</v>
          </cell>
          <cell r="J312">
            <v>6</v>
          </cell>
          <cell r="K312">
            <v>0</v>
          </cell>
          <cell r="L312">
            <v>3.4991264517144254</v>
          </cell>
          <cell r="M312">
            <v>2.0994758710286555E-4</v>
          </cell>
        </row>
        <row r="313">
          <cell r="A313" t="str">
            <v>L62012NV3</v>
          </cell>
          <cell r="B313" t="str">
            <v>Panera Orange Juice 64oz NUT RTS v3 [L62012NV3]</v>
          </cell>
          <cell r="E313" t="str">
            <v>Label</v>
          </cell>
          <cell r="F313" t="str">
            <v>EA</v>
          </cell>
          <cell r="G313">
            <v>0</v>
          </cell>
          <cell r="H313">
            <v>100000</v>
          </cell>
          <cell r="I313">
            <v>0</v>
          </cell>
          <cell r="J313">
            <v>6</v>
          </cell>
          <cell r="K313">
            <v>0</v>
          </cell>
          <cell r="L313">
            <v>3.4991264517144254</v>
          </cell>
          <cell r="M313">
            <v>2.0994758710286555E-4</v>
          </cell>
        </row>
        <row r="314">
          <cell r="A314" t="str">
            <v>L62012V3</v>
          </cell>
          <cell r="B314" t="str">
            <v>Panera Orange Juice 64oz RTS V3</v>
          </cell>
          <cell r="E314" t="str">
            <v>Label</v>
          </cell>
          <cell r="F314" t="str">
            <v>EA</v>
          </cell>
          <cell r="G314">
            <v>10000</v>
          </cell>
          <cell r="H314">
            <v>100000</v>
          </cell>
          <cell r="I314">
            <v>0.1</v>
          </cell>
          <cell r="J314">
            <v>6</v>
          </cell>
          <cell r="K314">
            <v>0.60000000000000009</v>
          </cell>
          <cell r="L314">
            <v>3.4991264517144254</v>
          </cell>
          <cell r="M314">
            <v>2.0994758710286555E-4</v>
          </cell>
        </row>
        <row r="315">
          <cell r="A315" t="str">
            <v>L621077V2</v>
          </cell>
          <cell r="B315" t="str">
            <v>Panera 5+1 Prickly Pear Hib Lime Agua Fresca NSA 61.5oz V2</v>
          </cell>
          <cell r="E315" t="str">
            <v>Label</v>
          </cell>
          <cell r="F315" t="str">
            <v>EA</v>
          </cell>
          <cell r="G315">
            <v>10000</v>
          </cell>
          <cell r="H315">
            <v>100000</v>
          </cell>
          <cell r="I315">
            <v>0.1</v>
          </cell>
          <cell r="J315">
            <v>6</v>
          </cell>
          <cell r="K315">
            <v>0.60000000000000009</v>
          </cell>
          <cell r="L315">
            <v>3.4991264517144254</v>
          </cell>
          <cell r="M315">
            <v>2.0994758710286555E-4</v>
          </cell>
        </row>
        <row r="316">
          <cell r="A316" t="str">
            <v>L62202FV2</v>
          </cell>
          <cell r="B316" t="str">
            <v>5+1 Agave Lemonade Hgln V2</v>
          </cell>
          <cell r="E316" t="str">
            <v>Label</v>
          </cell>
          <cell r="F316" t="str">
            <v>EA</v>
          </cell>
          <cell r="G316">
            <v>480000</v>
          </cell>
          <cell r="H316">
            <v>100000</v>
          </cell>
          <cell r="I316">
            <v>4.8</v>
          </cell>
          <cell r="J316">
            <v>6</v>
          </cell>
          <cell r="K316">
            <v>28.799999999999997</v>
          </cell>
          <cell r="L316">
            <v>3.4991264517144254</v>
          </cell>
          <cell r="M316">
            <v>2.0994758710286555E-4</v>
          </cell>
        </row>
        <row r="317">
          <cell r="A317" t="str">
            <v>L62210F</v>
          </cell>
          <cell r="B317" t="str">
            <v>5+1 Agave Lemonade Hgln Alt Spec 3</v>
          </cell>
          <cell r="E317" t="str">
            <v>Label</v>
          </cell>
          <cell r="F317" t="str">
            <v>EA</v>
          </cell>
          <cell r="G317">
            <v>0</v>
          </cell>
          <cell r="H317">
            <v>100000</v>
          </cell>
          <cell r="I317">
            <v>0</v>
          </cell>
          <cell r="J317">
            <v>6</v>
          </cell>
          <cell r="K317">
            <v>0</v>
          </cell>
          <cell r="L317">
            <v>3.4991264517144254</v>
          </cell>
          <cell r="M317">
            <v>2.0994758710286555E-4</v>
          </cell>
        </row>
        <row r="318">
          <cell r="A318" t="str">
            <v>L62227FV2</v>
          </cell>
          <cell r="B318" t="str">
            <v>Panera 3+1 Blood Orange Carrot LA 61.5oz v2</v>
          </cell>
          <cell r="E318" t="str">
            <v>Label</v>
          </cell>
          <cell r="F318" t="str">
            <v>EA</v>
          </cell>
          <cell r="G318">
            <v>0</v>
          </cell>
          <cell r="H318">
            <v>100000</v>
          </cell>
          <cell r="I318">
            <v>0</v>
          </cell>
          <cell r="J318">
            <v>6</v>
          </cell>
          <cell r="K318">
            <v>0</v>
          </cell>
          <cell r="L318">
            <v>3.4991264517144254</v>
          </cell>
          <cell r="M318">
            <v>2.0994758710286555E-4</v>
          </cell>
        </row>
        <row r="319">
          <cell r="A319" t="str">
            <v>L62387FV2</v>
          </cell>
          <cell r="B319" t="str">
            <v>Panera Peach Mango 61.5 oz V2</v>
          </cell>
          <cell r="E319" t="str">
            <v>Label</v>
          </cell>
          <cell r="F319" t="str">
            <v>EA</v>
          </cell>
          <cell r="G319">
            <v>115000</v>
          </cell>
          <cell r="H319">
            <v>100000</v>
          </cell>
          <cell r="I319">
            <v>1.1499999999999999</v>
          </cell>
          <cell r="J319">
            <v>6</v>
          </cell>
          <cell r="K319">
            <v>6.8999999999999995</v>
          </cell>
          <cell r="L319">
            <v>3.4991264517144254</v>
          </cell>
          <cell r="M319">
            <v>2.0994758710286555E-4</v>
          </cell>
        </row>
        <row r="320">
          <cell r="A320" t="str">
            <v>L62407V2</v>
          </cell>
          <cell r="B320" t="str">
            <v>Panera Mango NSA 61.5oz V2</v>
          </cell>
          <cell r="E320" t="str">
            <v>Label</v>
          </cell>
          <cell r="F320" t="str">
            <v>EA</v>
          </cell>
          <cell r="G320">
            <v>5000</v>
          </cell>
          <cell r="H320">
            <v>100000</v>
          </cell>
          <cell r="I320">
            <v>0.05</v>
          </cell>
          <cell r="J320">
            <v>6</v>
          </cell>
          <cell r="K320">
            <v>0.30000000000000004</v>
          </cell>
          <cell r="L320">
            <v>3.4991264517144254</v>
          </cell>
          <cell r="M320">
            <v>2.0994758710286555E-4</v>
          </cell>
        </row>
        <row r="321">
          <cell r="A321" t="str">
            <v>L62417V2</v>
          </cell>
          <cell r="B321" t="str">
            <v>Panera Strawberry NSA 61.5oz V2</v>
          </cell>
          <cell r="E321" t="str">
            <v>Label</v>
          </cell>
          <cell r="F321" t="str">
            <v>EA</v>
          </cell>
          <cell r="G321">
            <v>50000</v>
          </cell>
          <cell r="H321">
            <v>100000</v>
          </cell>
          <cell r="I321">
            <v>0.5</v>
          </cell>
          <cell r="J321">
            <v>6</v>
          </cell>
          <cell r="K321">
            <v>3</v>
          </cell>
          <cell r="L321">
            <v>3.4991264517144254</v>
          </cell>
          <cell r="M321">
            <v>2.0994758710286555E-4</v>
          </cell>
        </row>
        <row r="322">
          <cell r="A322" t="str">
            <v>L69012ANV2</v>
          </cell>
          <cell r="B322" t="str">
            <v>AZ Valencia Orange Juice 65oz Nutrition V2</v>
          </cell>
          <cell r="E322" t="str">
            <v>Label</v>
          </cell>
          <cell r="F322" t="str">
            <v>EA</v>
          </cell>
          <cell r="G322">
            <v>336856</v>
          </cell>
          <cell r="H322">
            <v>100000</v>
          </cell>
          <cell r="I322">
            <v>3.36856</v>
          </cell>
          <cell r="J322">
            <v>6</v>
          </cell>
          <cell r="K322">
            <v>20.211359999999999</v>
          </cell>
          <cell r="L322">
            <v>3.4991264517144254</v>
          </cell>
          <cell r="M322">
            <v>2.0994758710286555E-4</v>
          </cell>
        </row>
        <row r="323">
          <cell r="A323" t="str">
            <v>L69012AV2</v>
          </cell>
          <cell r="B323" t="str">
            <v>AZ Valencia Orange Juice 65oz V2 [L69012AV2]</v>
          </cell>
          <cell r="E323" t="str">
            <v>Label</v>
          </cell>
          <cell r="F323" t="str">
            <v>EA</v>
          </cell>
          <cell r="G323">
            <v>380000</v>
          </cell>
          <cell r="H323">
            <v>100000</v>
          </cell>
          <cell r="I323">
            <v>3.8</v>
          </cell>
          <cell r="J323">
            <v>6</v>
          </cell>
          <cell r="K323">
            <v>22.799999999999997</v>
          </cell>
          <cell r="L323">
            <v>3.4991264517144254</v>
          </cell>
          <cell r="M323">
            <v>2.0994758710286555E-4</v>
          </cell>
        </row>
        <row r="324">
          <cell r="A324" t="str">
            <v>L690202NV2</v>
          </cell>
          <cell r="B324" t="str">
            <v>RS 100% Premium Red Gft Juice 64oz Nut V2</v>
          </cell>
          <cell r="E324" t="str">
            <v>Label</v>
          </cell>
          <cell r="F324" t="str">
            <v>EA</v>
          </cell>
          <cell r="G324">
            <v>0</v>
          </cell>
          <cell r="H324">
            <v>100000</v>
          </cell>
          <cell r="I324">
            <v>0</v>
          </cell>
          <cell r="J324">
            <v>6</v>
          </cell>
          <cell r="K324">
            <v>0</v>
          </cell>
          <cell r="L324">
            <v>3.4991264517144254</v>
          </cell>
          <cell r="M324">
            <v>2.0994758710286555E-4</v>
          </cell>
        </row>
        <row r="325">
          <cell r="A325" t="str">
            <v>L690202V2</v>
          </cell>
          <cell r="B325" t="str">
            <v>RS 100% Premium Red Gft Juice 64oz V2</v>
          </cell>
          <cell r="E325" t="str">
            <v>Label</v>
          </cell>
          <cell r="F325" t="str">
            <v>EA</v>
          </cell>
          <cell r="G325">
            <v>0</v>
          </cell>
          <cell r="H325">
            <v>100000</v>
          </cell>
          <cell r="I325">
            <v>0</v>
          </cell>
          <cell r="J325">
            <v>6</v>
          </cell>
          <cell r="K325">
            <v>0</v>
          </cell>
          <cell r="L325">
            <v>3.4991264517144254</v>
          </cell>
          <cell r="M325">
            <v>2.0994758710286555E-4</v>
          </cell>
        </row>
        <row r="326">
          <cell r="A326" t="str">
            <v>L69052NV2</v>
          </cell>
          <cell r="B326" t="str">
            <v>Rykoff Sexton Marg Mix 64oz Nutrition V2</v>
          </cell>
          <cell r="E326" t="str">
            <v>Label</v>
          </cell>
          <cell r="F326" t="str">
            <v>EA</v>
          </cell>
          <cell r="G326">
            <v>70000</v>
          </cell>
          <cell r="H326">
            <v>100000</v>
          </cell>
          <cell r="I326">
            <v>0.7</v>
          </cell>
          <cell r="J326">
            <v>6</v>
          </cell>
          <cell r="K326">
            <v>4.1999999999999993</v>
          </cell>
          <cell r="L326">
            <v>3.4991264517144254</v>
          </cell>
          <cell r="M326">
            <v>2.0994758710286555E-4</v>
          </cell>
        </row>
        <row r="327">
          <cell r="A327" t="str">
            <v>L69052V2</v>
          </cell>
          <cell r="B327" t="str">
            <v>Rykoff Sexton Margarita Mix 64oz V2</v>
          </cell>
          <cell r="E327" t="str">
            <v>Label</v>
          </cell>
          <cell r="F327" t="str">
            <v>EA</v>
          </cell>
          <cell r="G327">
            <v>70000</v>
          </cell>
          <cell r="H327">
            <v>100000</v>
          </cell>
          <cell r="I327">
            <v>0.7</v>
          </cell>
          <cell r="J327">
            <v>6</v>
          </cell>
          <cell r="K327">
            <v>4.1999999999999993</v>
          </cell>
          <cell r="L327">
            <v>3.4991264517144254</v>
          </cell>
          <cell r="M327">
            <v>2.0994758710286555E-4</v>
          </cell>
        </row>
        <row r="328">
          <cell r="A328" t="str">
            <v>L691042NV2</v>
          </cell>
          <cell r="B328" t="str">
            <v>Bloody Mary Mix 64oz Nutrition V2</v>
          </cell>
          <cell r="E328" t="str">
            <v>Label</v>
          </cell>
          <cell r="F328" t="str">
            <v>EA</v>
          </cell>
          <cell r="G328">
            <v>50000</v>
          </cell>
          <cell r="H328">
            <v>100000</v>
          </cell>
          <cell r="I328">
            <v>0.5</v>
          </cell>
          <cell r="J328">
            <v>6</v>
          </cell>
          <cell r="K328">
            <v>3</v>
          </cell>
          <cell r="L328">
            <v>3.4991264517144254</v>
          </cell>
          <cell r="M328">
            <v>2.0994758710286555E-4</v>
          </cell>
        </row>
        <row r="329">
          <cell r="A329" t="str">
            <v>L691042V2</v>
          </cell>
          <cell r="B329" t="str">
            <v>Bloody Mary Mix 64oz V2 [L691042V2]</v>
          </cell>
          <cell r="E329" t="str">
            <v>Label</v>
          </cell>
          <cell r="F329" t="str">
            <v>EA</v>
          </cell>
          <cell r="G329">
            <v>50000</v>
          </cell>
          <cell r="H329">
            <v>100000</v>
          </cell>
          <cell r="I329">
            <v>0.5</v>
          </cell>
          <cell r="J329">
            <v>6</v>
          </cell>
          <cell r="K329">
            <v>3</v>
          </cell>
          <cell r="L329">
            <v>3.4991264517144254</v>
          </cell>
          <cell r="M329">
            <v>2.0994758710286555E-4</v>
          </cell>
        </row>
        <row r="330">
          <cell r="A330" t="str">
            <v>L69563NV2</v>
          </cell>
          <cell r="B330" t="str">
            <v>Key Lime Juice 32oz Nutrition V2</v>
          </cell>
          <cell r="E330" t="str">
            <v>Label</v>
          </cell>
          <cell r="F330" t="str">
            <v>EA</v>
          </cell>
          <cell r="G330">
            <v>100000</v>
          </cell>
          <cell r="H330">
            <v>100000</v>
          </cell>
          <cell r="I330">
            <v>1</v>
          </cell>
          <cell r="J330">
            <v>6</v>
          </cell>
          <cell r="K330">
            <v>6</v>
          </cell>
          <cell r="L330">
            <v>3.4991264517144254</v>
          </cell>
          <cell r="M330">
            <v>2.0994758710286555E-4</v>
          </cell>
        </row>
        <row r="331">
          <cell r="A331" t="str">
            <v>L69563V2</v>
          </cell>
          <cell r="B331" t="str">
            <v>Key Lime Juice 32oz V2 [L69563V2]</v>
          </cell>
          <cell r="E331" t="str">
            <v>Label</v>
          </cell>
          <cell r="F331" t="str">
            <v>EA</v>
          </cell>
          <cell r="G331">
            <v>110000</v>
          </cell>
          <cell r="H331">
            <v>100000</v>
          </cell>
          <cell r="I331">
            <v>1.1000000000000001</v>
          </cell>
          <cell r="J331">
            <v>6</v>
          </cell>
          <cell r="K331">
            <v>6.6000000000000005</v>
          </cell>
          <cell r="L331">
            <v>3.4991264517144254</v>
          </cell>
          <cell r="M331">
            <v>2.0994758710286555E-4</v>
          </cell>
        </row>
        <row r="332">
          <cell r="A332" t="str">
            <v>L69572NV2</v>
          </cell>
          <cell r="B332" t="str">
            <v>Meyer LA 64oz Nutrition V2</v>
          </cell>
          <cell r="E332" t="str">
            <v>Label</v>
          </cell>
          <cell r="F332" t="str">
            <v>EA</v>
          </cell>
          <cell r="G332">
            <v>100000</v>
          </cell>
          <cell r="H332">
            <v>100000</v>
          </cell>
          <cell r="I332">
            <v>1</v>
          </cell>
          <cell r="J332">
            <v>6</v>
          </cell>
          <cell r="K332">
            <v>6</v>
          </cell>
          <cell r="L332">
            <v>3.4991264517144254</v>
          </cell>
          <cell r="M332">
            <v>2.0994758710286555E-4</v>
          </cell>
        </row>
        <row r="333">
          <cell r="A333" t="str">
            <v>L69572V2</v>
          </cell>
          <cell r="B333" t="str">
            <v>Meyer LA 64oz</v>
          </cell>
          <cell r="E333" t="str">
            <v>Label</v>
          </cell>
          <cell r="F333" t="str">
            <v>EA</v>
          </cell>
          <cell r="G333">
            <v>120000</v>
          </cell>
          <cell r="H333">
            <v>100000</v>
          </cell>
          <cell r="I333">
            <v>1.2</v>
          </cell>
          <cell r="J333">
            <v>6</v>
          </cell>
          <cell r="K333">
            <v>7.1999999999999993</v>
          </cell>
          <cell r="L333">
            <v>3.4991264517144254</v>
          </cell>
          <cell r="M333">
            <v>2.0994758710286555E-4</v>
          </cell>
        </row>
        <row r="334">
          <cell r="A334" t="str">
            <v>L69573NV2</v>
          </cell>
          <cell r="B334" t="str">
            <v>Meyer Lemon Juice 32oz Nutritiion V2</v>
          </cell>
          <cell r="E334" t="str">
            <v>Label</v>
          </cell>
          <cell r="F334" t="str">
            <v>EA</v>
          </cell>
          <cell r="G334">
            <v>70000</v>
          </cell>
          <cell r="H334">
            <v>100000</v>
          </cell>
          <cell r="I334">
            <v>0.7</v>
          </cell>
          <cell r="J334">
            <v>6</v>
          </cell>
          <cell r="K334">
            <v>4.1999999999999993</v>
          </cell>
          <cell r="L334">
            <v>3.4991264517144254</v>
          </cell>
          <cell r="M334">
            <v>2.0994758710286555E-4</v>
          </cell>
        </row>
        <row r="335">
          <cell r="A335" t="str">
            <v>L69573V2</v>
          </cell>
          <cell r="B335" t="str">
            <v>Meyer Lemon Juice 32oz V2</v>
          </cell>
          <cell r="E335" t="str">
            <v>Label</v>
          </cell>
          <cell r="F335" t="str">
            <v>EA</v>
          </cell>
          <cell r="G335">
            <v>50000</v>
          </cell>
          <cell r="H335">
            <v>100000</v>
          </cell>
          <cell r="I335">
            <v>0.5</v>
          </cell>
          <cell r="J335">
            <v>6</v>
          </cell>
          <cell r="K335">
            <v>3</v>
          </cell>
          <cell r="L335">
            <v>3.4991264517144254</v>
          </cell>
          <cell r="M335">
            <v>2.0994758710286555E-4</v>
          </cell>
        </row>
        <row r="336">
          <cell r="A336" t="str">
            <v>L94132FW</v>
          </cell>
          <cell r="B336" t="str">
            <v>Wendy's LA 3+1 HGln</v>
          </cell>
          <cell r="E336" t="str">
            <v>Label</v>
          </cell>
          <cell r="F336" t="str">
            <v>EA</v>
          </cell>
          <cell r="G336">
            <v>0</v>
          </cell>
          <cell r="H336">
            <v>100000</v>
          </cell>
          <cell r="I336">
            <v>0</v>
          </cell>
          <cell r="J336">
            <v>6</v>
          </cell>
          <cell r="K336">
            <v>0</v>
          </cell>
          <cell r="L336">
            <v>3.4991264517144254</v>
          </cell>
          <cell r="M336">
            <v>2.0994758710286555E-4</v>
          </cell>
        </row>
        <row r="337">
          <cell r="A337" t="str">
            <v>L02020</v>
          </cell>
          <cell r="B337" t="str">
            <v>SO Bloody Mary Mix 64oz</v>
          </cell>
          <cell r="E337" t="str">
            <v>Label</v>
          </cell>
          <cell r="F337" t="str">
            <v>EA</v>
          </cell>
          <cell r="G337">
            <v>30000</v>
          </cell>
          <cell r="H337">
            <v>100000</v>
          </cell>
          <cell r="I337">
            <v>0.3</v>
          </cell>
          <cell r="J337">
            <v>6</v>
          </cell>
          <cell r="K337">
            <v>1.7999999999999998</v>
          </cell>
          <cell r="L337">
            <v>3.4991264517144254</v>
          </cell>
          <cell r="M337">
            <v>2.0994758710286555E-4</v>
          </cell>
        </row>
        <row r="338">
          <cell r="A338" t="str">
            <v>L44041V2</v>
          </cell>
          <cell r="B338" t="str">
            <v>Lime Juice Gln V2</v>
          </cell>
          <cell r="E338" t="str">
            <v>Label</v>
          </cell>
          <cell r="F338" t="str">
            <v>EA</v>
          </cell>
          <cell r="G338">
            <v>70000</v>
          </cell>
          <cell r="H338">
            <v>100000</v>
          </cell>
          <cell r="I338">
            <v>0.7</v>
          </cell>
          <cell r="J338">
            <v>6</v>
          </cell>
          <cell r="K338">
            <v>4.1999999999999993</v>
          </cell>
          <cell r="L338">
            <v>3.4991264517144254</v>
          </cell>
          <cell r="M338">
            <v>2.0994758710286555E-4</v>
          </cell>
        </row>
        <row r="339">
          <cell r="A339" t="str">
            <v>LIN003</v>
          </cell>
          <cell r="B339" t="str">
            <v>Drum Liner .003 ML Clear Length 38"W X 72" L</v>
          </cell>
          <cell r="E339" t="str">
            <v>Liners</v>
          </cell>
          <cell r="F339" t="str">
            <v>EA</v>
          </cell>
          <cell r="G339">
            <v>57000</v>
          </cell>
          <cell r="H339">
            <v>100001</v>
          </cell>
          <cell r="I339">
            <v>0.56999430005699947</v>
          </cell>
          <cell r="J339">
            <v>8</v>
          </cell>
          <cell r="K339">
            <v>4.5599544004559958</v>
          </cell>
          <cell r="L339">
            <v>3.4991264517144254</v>
          </cell>
          <cell r="M339">
            <v>2.7992731686398537E-4</v>
          </cell>
        </row>
        <row r="340">
          <cell r="A340" t="str">
            <v>LMLT4</v>
          </cell>
          <cell r="B340" t="str">
            <v>4X6 Box Label</v>
          </cell>
          <cell r="E340" t="str">
            <v>Label</v>
          </cell>
          <cell r="F340" t="str">
            <v>EA</v>
          </cell>
          <cell r="G340">
            <v>554200</v>
          </cell>
          <cell r="H340">
            <v>100000</v>
          </cell>
          <cell r="I340">
            <v>5.5419999999999998</v>
          </cell>
          <cell r="J340">
            <v>6</v>
          </cell>
          <cell r="K340">
            <v>33.251999999999995</v>
          </cell>
          <cell r="L340">
            <v>3.4991264517144254</v>
          </cell>
          <cell r="M340">
            <v>2.0994758710286555E-4</v>
          </cell>
        </row>
        <row r="341">
          <cell r="A341" t="str">
            <v>LMLT5</v>
          </cell>
          <cell r="B341" t="str">
            <v>4X6 RFID Box Label</v>
          </cell>
          <cell r="E341" t="str">
            <v>Label</v>
          </cell>
          <cell r="F341" t="str">
            <v>EA</v>
          </cell>
          <cell r="G341">
            <v>97120</v>
          </cell>
          <cell r="H341">
            <v>100000</v>
          </cell>
          <cell r="I341">
            <v>0.97119999999999995</v>
          </cell>
          <cell r="J341">
            <v>6</v>
          </cell>
          <cell r="K341">
            <v>5.8271999999999995</v>
          </cell>
          <cell r="L341">
            <v>3.4991264517144254</v>
          </cell>
          <cell r="M341">
            <v>2.0994758710286555E-4</v>
          </cell>
        </row>
        <row r="342">
          <cell r="A342" t="str">
            <v>MRM001</v>
          </cell>
          <cell r="B342" t="str">
            <v>Citric Acid [MRM001]</v>
          </cell>
          <cell r="E342" t="str">
            <v>MRM</v>
          </cell>
          <cell r="F342" t="str">
            <v>LB</v>
          </cell>
          <cell r="G342">
            <v>33850</v>
          </cell>
          <cell r="H342">
            <v>1666.6666666666667</v>
          </cell>
          <cell r="I342">
            <v>20.309999999999999</v>
          </cell>
          <cell r="J342">
            <v>12.899999999999999</v>
          </cell>
          <cell r="K342">
            <v>261.99899999999997</v>
          </cell>
          <cell r="L342">
            <v>3.4991264517144254</v>
          </cell>
          <cell r="M342">
            <v>2.7083238736269648E-2</v>
          </cell>
        </row>
        <row r="343">
          <cell r="A343" t="str">
            <v>MRM002</v>
          </cell>
          <cell r="B343" t="str">
            <v>Orange Aroma</v>
          </cell>
          <cell r="E343" t="str">
            <v>MRM</v>
          </cell>
          <cell r="F343" t="str">
            <v>LB</v>
          </cell>
          <cell r="G343">
            <v>777</v>
          </cell>
          <cell r="H343">
            <v>33</v>
          </cell>
          <cell r="I343">
            <v>23.545454545454547</v>
          </cell>
          <cell r="J343">
            <v>12.899999999999999</v>
          </cell>
          <cell r="K343">
            <v>303.73636363636359</v>
          </cell>
          <cell r="L343">
            <v>3.4991264517144254</v>
          </cell>
          <cell r="M343">
            <v>1.3678403402156389</v>
          </cell>
        </row>
        <row r="344">
          <cell r="A344" t="str">
            <v>MRM008</v>
          </cell>
          <cell r="B344" t="str">
            <v>Ascorbic Acid [MRM008]</v>
          </cell>
          <cell r="E344" t="str">
            <v>MRM</v>
          </cell>
          <cell r="F344" t="str">
            <v>LB</v>
          </cell>
          <cell r="G344">
            <v>0</v>
          </cell>
          <cell r="H344">
            <v>55.1</v>
          </cell>
          <cell r="I344">
            <v>0</v>
          </cell>
          <cell r="J344">
            <v>12.899999999999999</v>
          </cell>
          <cell r="K344">
            <v>0</v>
          </cell>
          <cell r="L344">
            <v>3.4991264517144254</v>
          </cell>
          <cell r="M344">
            <v>0.81921472281517393</v>
          </cell>
        </row>
        <row r="345">
          <cell r="A345" t="str">
            <v>MRM013</v>
          </cell>
          <cell r="B345" t="str">
            <v>Enzyme Processing Aid</v>
          </cell>
          <cell r="E345" t="str">
            <v>MRM</v>
          </cell>
          <cell r="F345" t="str">
            <v>LB</v>
          </cell>
          <cell r="G345">
            <v>165.3</v>
          </cell>
          <cell r="H345">
            <v>110</v>
          </cell>
          <cell r="I345">
            <v>1.5027272727272729</v>
          </cell>
          <cell r="J345">
            <v>12.899999999999999</v>
          </cell>
          <cell r="K345">
            <v>19.385181818181817</v>
          </cell>
          <cell r="L345">
            <v>3.4991264517144254</v>
          </cell>
          <cell r="M345">
            <v>0.41035210206469164</v>
          </cell>
        </row>
        <row r="346">
          <cell r="A346" t="str">
            <v>MRM033</v>
          </cell>
          <cell r="B346" t="str">
            <v>Hibiscus Extract  HIB222 [MRM033]</v>
          </cell>
          <cell r="E346" t="str">
            <v>MRM</v>
          </cell>
          <cell r="F346" t="str">
            <v>LB</v>
          </cell>
          <cell r="G346">
            <v>0</v>
          </cell>
          <cell r="H346">
            <v>250</v>
          </cell>
          <cell r="I346">
            <v>0</v>
          </cell>
          <cell r="J346">
            <v>12.899999999999999</v>
          </cell>
          <cell r="K346">
            <v>0</v>
          </cell>
          <cell r="L346">
            <v>3.4991264517144254</v>
          </cell>
          <cell r="M346">
            <v>0.18055492490846434</v>
          </cell>
        </row>
        <row r="347">
          <cell r="A347" t="str">
            <v>MRM041</v>
          </cell>
          <cell r="B347" t="str">
            <v>Tumeric Root Powder [MRM041]</v>
          </cell>
          <cell r="E347" t="str">
            <v>MRM</v>
          </cell>
          <cell r="F347" t="str">
            <v>LB</v>
          </cell>
          <cell r="G347">
            <v>0</v>
          </cell>
          <cell r="H347">
            <v>55</v>
          </cell>
          <cell r="I347">
            <v>0</v>
          </cell>
          <cell r="J347">
            <v>12.899999999999999</v>
          </cell>
          <cell r="K347">
            <v>0</v>
          </cell>
          <cell r="L347">
            <v>3.4991264517144254</v>
          </cell>
          <cell r="M347">
            <v>0.82070420412938327</v>
          </cell>
        </row>
        <row r="348">
          <cell r="A348" t="str">
            <v>MRM043</v>
          </cell>
          <cell r="B348" t="str">
            <v>Protab VIT Premix w\o maltodextrin 001780 [MRM043]</v>
          </cell>
          <cell r="E348" t="str">
            <v>MRM</v>
          </cell>
          <cell r="F348" t="str">
            <v>LB</v>
          </cell>
          <cell r="G348">
            <v>1358.96</v>
          </cell>
          <cell r="H348">
            <v>52.353846153846156</v>
          </cell>
          <cell r="I348">
            <v>25.957214222744636</v>
          </cell>
          <cell r="J348">
            <v>12.899999999999999</v>
          </cell>
          <cell r="K348">
            <v>334.84806347340577</v>
          </cell>
          <cell r="L348">
            <v>3.4991264517144254</v>
          </cell>
          <cell r="M348">
            <v>0.86218558030048342</v>
          </cell>
        </row>
        <row r="349">
          <cell r="A349" t="str">
            <v>MRM057</v>
          </cell>
          <cell r="B349" t="str">
            <v>Green Premix w/o WheatG &amp; Garlic  001973</v>
          </cell>
          <cell r="E349" t="str">
            <v>MRM</v>
          </cell>
          <cell r="F349" t="str">
            <v>LB</v>
          </cell>
          <cell r="G349">
            <v>0</v>
          </cell>
          <cell r="H349">
            <v>55</v>
          </cell>
          <cell r="I349">
            <v>0</v>
          </cell>
          <cell r="J349">
            <v>12.899999999999999</v>
          </cell>
          <cell r="K349">
            <v>0</v>
          </cell>
          <cell r="L349">
            <v>3.4991264517144254</v>
          </cell>
          <cell r="M349">
            <v>0.82070420412938327</v>
          </cell>
        </row>
        <row r="350">
          <cell r="A350" t="str">
            <v>MRM061</v>
          </cell>
          <cell r="B350" t="str">
            <v>Honey</v>
          </cell>
          <cell r="E350" t="str">
            <v>MRM</v>
          </cell>
          <cell r="F350" t="str">
            <v>LB</v>
          </cell>
          <cell r="G350">
            <v>0</v>
          </cell>
          <cell r="H350">
            <v>660</v>
          </cell>
          <cell r="I350">
            <v>0</v>
          </cell>
          <cell r="J350">
            <v>12.899999999999999</v>
          </cell>
          <cell r="K350">
            <v>0</v>
          </cell>
          <cell r="L350">
            <v>3.4991264517144254</v>
          </cell>
          <cell r="M350">
            <v>6.8392017010781944E-2</v>
          </cell>
        </row>
        <row r="351">
          <cell r="A351" t="str">
            <v>NUT004</v>
          </cell>
          <cell r="B351" t="str">
            <v>Coconut Water 4 Brix</v>
          </cell>
          <cell r="E351" t="str">
            <v>MRM</v>
          </cell>
          <cell r="F351" t="str">
            <v>LB</v>
          </cell>
          <cell r="G351">
            <v>0</v>
          </cell>
          <cell r="H351">
            <v>660</v>
          </cell>
          <cell r="I351">
            <v>0</v>
          </cell>
          <cell r="J351">
            <v>12.899999999999999</v>
          </cell>
          <cell r="K351">
            <v>0</v>
          </cell>
          <cell r="L351">
            <v>3.4991264517144254</v>
          </cell>
          <cell r="M351">
            <v>6.8392017010781944E-2</v>
          </cell>
        </row>
        <row r="352">
          <cell r="A352" t="str">
            <v>PLP001</v>
          </cell>
          <cell r="B352" t="str">
            <v>Lemon Cells [PLP001]</v>
          </cell>
          <cell r="E352" t="str">
            <v>Pulp</v>
          </cell>
          <cell r="F352" t="str">
            <v>LB</v>
          </cell>
          <cell r="G352">
            <v>111000</v>
          </cell>
          <cell r="H352">
            <v>1751.5757575757575</v>
          </cell>
          <cell r="I352">
            <v>63.371509636344769</v>
          </cell>
          <cell r="J352">
            <v>12.899999999999999</v>
          </cell>
          <cell r="K352">
            <v>817.49247430884748</v>
          </cell>
          <cell r="L352">
            <v>3.4991264517144254</v>
          </cell>
          <cell r="M352">
            <v>2.5770356224608677E-2</v>
          </cell>
        </row>
        <row r="353">
          <cell r="A353" t="str">
            <v>PLP001REF</v>
          </cell>
          <cell r="B353" t="str">
            <v>Lemon Cells REFRIGERATED</v>
          </cell>
          <cell r="E353" t="str">
            <v>Pulp</v>
          </cell>
          <cell r="F353" t="str">
            <v>LB</v>
          </cell>
          <cell r="G353">
            <v>0</v>
          </cell>
          <cell r="H353">
            <v>1414.2857142857142</v>
          </cell>
          <cell r="I353">
            <v>0</v>
          </cell>
          <cell r="J353">
            <v>12.899999999999999</v>
          </cell>
          <cell r="K353">
            <v>0</v>
          </cell>
          <cell r="L353">
            <v>3.4991264517144254</v>
          </cell>
          <cell r="M353">
            <v>3.1916274605031575E-2</v>
          </cell>
        </row>
        <row r="354">
          <cell r="A354" t="str">
            <v>PLP002</v>
          </cell>
          <cell r="B354" t="str">
            <v>Valencia Cells</v>
          </cell>
          <cell r="E354" t="str">
            <v>Pulp</v>
          </cell>
          <cell r="F354" t="str">
            <v>LB</v>
          </cell>
          <cell r="G354">
            <v>39000</v>
          </cell>
          <cell r="H354">
            <v>1500</v>
          </cell>
          <cell r="I354">
            <v>26</v>
          </cell>
          <cell r="J354">
            <v>12.899999999999999</v>
          </cell>
          <cell r="K354">
            <v>335.4</v>
          </cell>
          <cell r="L354">
            <v>3.4991264517144254</v>
          </cell>
          <cell r="M354">
            <v>3.0092487484744055E-2</v>
          </cell>
        </row>
        <row r="355">
          <cell r="A355" t="str">
            <v>PLP002CA</v>
          </cell>
          <cell r="B355" t="str">
            <v>Valencia Cells - California [PLP002CA]</v>
          </cell>
          <cell r="E355" t="str">
            <v>Pulp</v>
          </cell>
          <cell r="F355" t="str">
            <v>LB</v>
          </cell>
          <cell r="G355">
            <v>149625</v>
          </cell>
          <cell r="H355">
            <v>1500</v>
          </cell>
          <cell r="I355">
            <v>99.75</v>
          </cell>
          <cell r="J355">
            <v>12.899999999999999</v>
          </cell>
          <cell r="K355">
            <v>1286.7749999999999</v>
          </cell>
          <cell r="L355">
            <v>3.4991264517144254</v>
          </cell>
          <cell r="M355">
            <v>3.0092487484744055E-2</v>
          </cell>
        </row>
        <row r="356">
          <cell r="A356" t="str">
            <v>PLP005</v>
          </cell>
          <cell r="B356" t="str">
            <v>Blended Orange Pulp Cells</v>
          </cell>
          <cell r="E356" t="str">
            <v>Pulp</v>
          </cell>
          <cell r="F356" t="str">
            <v>LB</v>
          </cell>
          <cell r="G356">
            <v>195790</v>
          </cell>
          <cell r="H356">
            <v>1500</v>
          </cell>
          <cell r="I356">
            <v>130.52666666666667</v>
          </cell>
          <cell r="J356">
            <v>12.899999999999999</v>
          </cell>
          <cell r="K356">
            <v>1683.7939999999999</v>
          </cell>
          <cell r="L356">
            <v>3.4991264517144254</v>
          </cell>
          <cell r="M356">
            <v>3.0092487484744055E-2</v>
          </cell>
        </row>
        <row r="357">
          <cell r="A357" t="str">
            <v>PUR001</v>
          </cell>
          <cell r="B357" t="str">
            <v>Strw Puree w/seeds [PUR001]</v>
          </cell>
          <cell r="E357" t="str">
            <v>Puree</v>
          </cell>
          <cell r="F357" t="str">
            <v>LB</v>
          </cell>
          <cell r="G357">
            <v>134445</v>
          </cell>
          <cell r="H357">
            <v>1749.3333333333333</v>
          </cell>
          <cell r="I357">
            <v>76.854992378048777</v>
          </cell>
          <cell r="J357">
            <v>12.899999999999999</v>
          </cell>
          <cell r="K357">
            <v>991.42940167682912</v>
          </cell>
          <cell r="L357">
            <v>3.4991264517144254</v>
          </cell>
          <cell r="M357">
            <v>2.5803390564281298E-2</v>
          </cell>
        </row>
        <row r="358">
          <cell r="A358" t="str">
            <v>PUR009</v>
          </cell>
          <cell r="B358" t="str">
            <v>Banana Puree [PUR009]</v>
          </cell>
          <cell r="E358" t="str">
            <v>Puree</v>
          </cell>
          <cell r="F358" t="str">
            <v>LB</v>
          </cell>
          <cell r="G358">
            <v>8320</v>
          </cell>
          <cell r="H358">
            <v>2063.8918918918921</v>
          </cell>
          <cell r="I358">
            <v>4.0312188989576239</v>
          </cell>
          <cell r="J358">
            <v>12.899999999999999</v>
          </cell>
          <cell r="K358">
            <v>52.00272379655334</v>
          </cell>
          <cell r="L358">
            <v>3.4991264517144254</v>
          </cell>
          <cell r="M358">
            <v>2.1870685865110456E-2</v>
          </cell>
        </row>
        <row r="359">
          <cell r="A359" t="str">
            <v>PUR013</v>
          </cell>
          <cell r="B359" t="str">
            <v>Blueberry Puree</v>
          </cell>
          <cell r="E359" t="str">
            <v>Puree</v>
          </cell>
          <cell r="F359" t="str">
            <v>LB</v>
          </cell>
          <cell r="G359">
            <v>0</v>
          </cell>
          <cell r="H359">
            <v>1600</v>
          </cell>
          <cell r="I359">
            <v>0</v>
          </cell>
          <cell r="J359">
            <v>12.899999999999999</v>
          </cell>
          <cell r="K359">
            <v>0</v>
          </cell>
          <cell r="L359">
            <v>3.4991264517144254</v>
          </cell>
          <cell r="M359">
            <v>2.821170701694755E-2</v>
          </cell>
        </row>
        <row r="360">
          <cell r="A360" t="str">
            <v>PUR015</v>
          </cell>
          <cell r="B360" t="str">
            <v>Mango Puree 16 Brix [PUR015]</v>
          </cell>
          <cell r="E360" t="str">
            <v>Puree</v>
          </cell>
          <cell r="F360" t="str">
            <v>LB</v>
          </cell>
          <cell r="G360">
            <v>0</v>
          </cell>
          <cell r="H360">
            <v>1600</v>
          </cell>
          <cell r="I360">
            <v>0</v>
          </cell>
          <cell r="J360">
            <v>12.899999999999999</v>
          </cell>
          <cell r="K360">
            <v>0</v>
          </cell>
          <cell r="L360">
            <v>3.4991264517144254</v>
          </cell>
          <cell r="M360">
            <v>2.821170701694755E-2</v>
          </cell>
        </row>
        <row r="361">
          <cell r="A361" t="str">
            <v>PUR017</v>
          </cell>
          <cell r="B361" t="str">
            <v>Strw Puree 7 Brix - seedless [PUR017]</v>
          </cell>
          <cell r="E361" t="str">
            <v>Puree</v>
          </cell>
          <cell r="F361" t="str">
            <v>LB</v>
          </cell>
          <cell r="G361">
            <v>177522</v>
          </cell>
          <cell r="H361">
            <v>1764</v>
          </cell>
          <cell r="I361">
            <v>100.6360544217687</v>
          </cell>
          <cell r="J361">
            <v>12.899999999999999</v>
          </cell>
          <cell r="K361">
            <v>1298.2051020408162</v>
          </cell>
          <cell r="L361">
            <v>3.4991264517144254</v>
          </cell>
          <cell r="M361">
            <v>2.5588849901993244E-2</v>
          </cell>
        </row>
        <row r="362">
          <cell r="A362" t="str">
            <v>PUR020</v>
          </cell>
          <cell r="B362" t="str">
            <v>Apple Puree .033 screen [PUR020]</v>
          </cell>
          <cell r="E362" t="str">
            <v>Puree</v>
          </cell>
          <cell r="F362" t="str">
            <v>LB</v>
          </cell>
          <cell r="G362">
            <v>40983</v>
          </cell>
          <cell r="H362">
            <v>1403.1111111111111</v>
          </cell>
          <cell r="I362">
            <v>29.208663287931582</v>
          </cell>
          <cell r="J362">
            <v>12.899999999999999</v>
          </cell>
          <cell r="K362">
            <v>376.79175641431738</v>
          </cell>
          <cell r="L362">
            <v>3.4991264517144254</v>
          </cell>
          <cell r="M362">
            <v>3.2170460963259796E-2</v>
          </cell>
        </row>
        <row r="363">
          <cell r="A363" t="str">
            <v>PUR032</v>
          </cell>
          <cell r="B363" t="str">
            <v>Aseptic Peach Puree [PUR032]</v>
          </cell>
          <cell r="E363" t="str">
            <v>Puree</v>
          </cell>
          <cell r="F363" t="str">
            <v>LB</v>
          </cell>
          <cell r="G363">
            <v>175062</v>
          </cell>
          <cell r="H363">
            <v>1896</v>
          </cell>
          <cell r="I363">
            <v>92.332278481012665</v>
          </cell>
          <cell r="J363">
            <v>12.899999999999999</v>
          </cell>
          <cell r="K363">
            <v>1191.0863924050632</v>
          </cell>
          <cell r="L363">
            <v>3.4991264517144254</v>
          </cell>
          <cell r="M363">
            <v>2.3807347693626624E-2</v>
          </cell>
        </row>
        <row r="364">
          <cell r="A364" t="str">
            <v>PUR035</v>
          </cell>
          <cell r="B364" t="str">
            <v>Carrot Puree w/Citric Acid 8 Brix [PUR035]</v>
          </cell>
          <cell r="E364" t="str">
            <v>Puree</v>
          </cell>
          <cell r="F364" t="str">
            <v>LB</v>
          </cell>
          <cell r="G364">
            <v>0</v>
          </cell>
          <cell r="H364">
            <v>1600</v>
          </cell>
          <cell r="I364">
            <v>0</v>
          </cell>
          <cell r="J364">
            <v>12.899999999999999</v>
          </cell>
          <cell r="K364">
            <v>0</v>
          </cell>
          <cell r="L364">
            <v>3.4991264517144254</v>
          </cell>
          <cell r="M364">
            <v>2.821170701694755E-2</v>
          </cell>
        </row>
        <row r="365">
          <cell r="A365" t="str">
            <v>PUR046</v>
          </cell>
          <cell r="B365" t="str">
            <v>Aseptic Mango Puree 16 Brix [PUR046]</v>
          </cell>
          <cell r="E365" t="str">
            <v>Puree</v>
          </cell>
          <cell r="F365" t="str">
            <v>LB</v>
          </cell>
          <cell r="G365">
            <v>243894</v>
          </cell>
          <cell r="H365">
            <v>1862.3982300884957</v>
          </cell>
          <cell r="I365">
            <v>130.95695435041887</v>
          </cell>
          <cell r="J365">
            <v>12.899999999999999</v>
          </cell>
          <cell r="K365">
            <v>1689.3447111204032</v>
          </cell>
          <cell r="L365">
            <v>3.4991264517144254</v>
          </cell>
          <cell r="M365">
            <v>2.423688473166731E-2</v>
          </cell>
        </row>
        <row r="366">
          <cell r="A366" t="str">
            <v>PUR050</v>
          </cell>
          <cell r="B366" t="str">
            <v>Prickly Pear Puree Blend 12 Brix - Dom/Imp [PUR050]</v>
          </cell>
          <cell r="E366" t="str">
            <v>Puree</v>
          </cell>
          <cell r="F366" t="str">
            <v>LB</v>
          </cell>
          <cell r="G366">
            <v>0</v>
          </cell>
          <cell r="H366">
            <v>1333.3333333333333</v>
          </cell>
          <cell r="I366">
            <v>0</v>
          </cell>
          <cell r="J366">
            <v>12.899999999999999</v>
          </cell>
          <cell r="K366">
            <v>0</v>
          </cell>
          <cell r="L366">
            <v>3.4991264517144254</v>
          </cell>
          <cell r="M366">
            <v>3.3854048420337061E-2</v>
          </cell>
        </row>
        <row r="367">
          <cell r="A367" t="str">
            <v>PUR056</v>
          </cell>
          <cell r="B367" t="str">
            <v>Premium Imported Prickly Pear Puree [PUR056]</v>
          </cell>
          <cell r="E367" t="str">
            <v>Puree</v>
          </cell>
          <cell r="F367" t="str">
            <v>LB</v>
          </cell>
          <cell r="G367">
            <v>0</v>
          </cell>
          <cell r="H367">
            <v>2028</v>
          </cell>
          <cell r="I367">
            <v>0</v>
          </cell>
          <cell r="J367">
            <v>12.899999999999999</v>
          </cell>
          <cell r="K367">
            <v>0</v>
          </cell>
          <cell r="L367">
            <v>3.4991264517144254</v>
          </cell>
          <cell r="M367">
            <v>2.2257757015343237E-2</v>
          </cell>
        </row>
        <row r="368">
          <cell r="A368" t="str">
            <v>SEA001</v>
          </cell>
          <cell r="B368" t="str">
            <v>Sea Salt [SEA001]</v>
          </cell>
          <cell r="E368" t="str">
            <v>Seasoning</v>
          </cell>
          <cell r="F368" t="str">
            <v>LB</v>
          </cell>
          <cell r="G368">
            <v>3100</v>
          </cell>
          <cell r="H368">
            <v>50</v>
          </cell>
          <cell r="I368">
            <v>62</v>
          </cell>
          <cell r="J368">
            <v>39</v>
          </cell>
          <cell r="K368">
            <v>2418</v>
          </cell>
          <cell r="L368">
            <v>3.4991264517144254</v>
          </cell>
          <cell r="M368">
            <v>2.7293186323372516</v>
          </cell>
        </row>
        <row r="369">
          <cell r="A369" t="str">
            <v>SEA002</v>
          </cell>
          <cell r="B369" t="str">
            <v>Whole Celery Seed [SEA002]</v>
          </cell>
          <cell r="E369" t="str">
            <v>Seasoning</v>
          </cell>
          <cell r="F369" t="str">
            <v>LB</v>
          </cell>
          <cell r="G369">
            <v>850</v>
          </cell>
          <cell r="H369">
            <v>500</v>
          </cell>
          <cell r="I369">
            <v>1.7</v>
          </cell>
          <cell r="J369">
            <v>39</v>
          </cell>
          <cell r="K369">
            <v>66.3</v>
          </cell>
          <cell r="L369">
            <v>3.4991264517144254</v>
          </cell>
          <cell r="M369">
            <v>0.27293186323372515</v>
          </cell>
        </row>
        <row r="370">
          <cell r="A370" t="str">
            <v>SEA003</v>
          </cell>
          <cell r="B370" t="str">
            <v>Black Pepper, 22 mesh grind</v>
          </cell>
          <cell r="E370" t="str">
            <v>Seasoning</v>
          </cell>
          <cell r="F370" t="str">
            <v>LB</v>
          </cell>
          <cell r="G370">
            <v>260</v>
          </cell>
          <cell r="H370">
            <v>40</v>
          </cell>
          <cell r="I370">
            <v>6.5</v>
          </cell>
          <cell r="J370">
            <v>39</v>
          </cell>
          <cell r="K370">
            <v>253.5</v>
          </cell>
          <cell r="L370">
            <v>3.4991264517144254</v>
          </cell>
          <cell r="M370">
            <v>3.4116482904215646</v>
          </cell>
        </row>
        <row r="371">
          <cell r="A371" t="str">
            <v>SEA004</v>
          </cell>
          <cell r="B371" t="str">
            <v>Ground Cloves</v>
          </cell>
          <cell r="E371" t="str">
            <v>Seasoning</v>
          </cell>
          <cell r="F371" t="str">
            <v>LB</v>
          </cell>
          <cell r="G371">
            <v>100</v>
          </cell>
          <cell r="H371">
            <v>50</v>
          </cell>
          <cell r="I371">
            <v>2</v>
          </cell>
          <cell r="J371">
            <v>39</v>
          </cell>
          <cell r="K371">
            <v>78</v>
          </cell>
          <cell r="L371">
            <v>3.4991264517144254</v>
          </cell>
          <cell r="M371">
            <v>2.7293186323372516</v>
          </cell>
        </row>
        <row r="372">
          <cell r="A372" t="str">
            <v>SEA005</v>
          </cell>
          <cell r="B372" t="str">
            <v>Onion Powder</v>
          </cell>
          <cell r="E372" t="str">
            <v>Seasoning</v>
          </cell>
          <cell r="F372" t="str">
            <v>LB</v>
          </cell>
          <cell r="G372">
            <v>255</v>
          </cell>
          <cell r="H372">
            <v>50</v>
          </cell>
          <cell r="I372">
            <v>5.0999999999999996</v>
          </cell>
          <cell r="J372">
            <v>39</v>
          </cell>
          <cell r="K372">
            <v>198.89999999999998</v>
          </cell>
          <cell r="L372">
            <v>3.4991264517144254</v>
          </cell>
          <cell r="M372">
            <v>2.7293186323372516</v>
          </cell>
        </row>
        <row r="373">
          <cell r="A373" t="str">
            <v>SEA006</v>
          </cell>
          <cell r="B373" t="str">
            <v>Ground Cayenne Pepper</v>
          </cell>
          <cell r="E373" t="str">
            <v>Seasoning</v>
          </cell>
          <cell r="F373" t="str">
            <v>LB</v>
          </cell>
          <cell r="G373">
            <v>50</v>
          </cell>
          <cell r="H373">
            <v>50</v>
          </cell>
          <cell r="I373">
            <v>1</v>
          </cell>
          <cell r="J373">
            <v>39</v>
          </cell>
          <cell r="K373">
            <v>39</v>
          </cell>
          <cell r="L373">
            <v>3.4991264517144254</v>
          </cell>
          <cell r="M373">
            <v>2.7293186323372516</v>
          </cell>
        </row>
        <row r="374">
          <cell r="A374" t="str">
            <v>SEA007</v>
          </cell>
          <cell r="B374" t="str">
            <v>Garlic Powder</v>
          </cell>
          <cell r="E374" t="str">
            <v>Seasoning</v>
          </cell>
          <cell r="F374" t="str">
            <v>LB</v>
          </cell>
          <cell r="G374">
            <v>150</v>
          </cell>
          <cell r="H374">
            <v>25</v>
          </cell>
          <cell r="I374">
            <v>6</v>
          </cell>
          <cell r="J374">
            <v>39</v>
          </cell>
          <cell r="K374">
            <v>234</v>
          </cell>
          <cell r="L374">
            <v>3.4991264517144254</v>
          </cell>
          <cell r="M374">
            <v>5.4586372646745032</v>
          </cell>
        </row>
        <row r="375">
          <cell r="A375" t="str">
            <v>SEA009</v>
          </cell>
          <cell r="B375" t="str">
            <v>Balsamic Vinegar, 60 grain [SEA009]</v>
          </cell>
          <cell r="E375" t="str">
            <v>Seasoning</v>
          </cell>
          <cell r="F375" t="str">
            <v>LB</v>
          </cell>
          <cell r="G375">
            <v>2115.25</v>
          </cell>
          <cell r="H375">
            <v>37</v>
          </cell>
          <cell r="I375">
            <v>57.168918918918919</v>
          </cell>
          <cell r="J375">
            <v>39</v>
          </cell>
          <cell r="K375">
            <v>2229.5878378378379</v>
          </cell>
          <cell r="L375">
            <v>3.4991264517144254</v>
          </cell>
          <cell r="M375">
            <v>3.6882684220773667</v>
          </cell>
        </row>
        <row r="376">
          <cell r="A376" t="str">
            <v>SEA010</v>
          </cell>
          <cell r="B376" t="str">
            <v>Cholula Hot Sauce [SEA010]</v>
          </cell>
          <cell r="E376" t="str">
            <v>Seasoning</v>
          </cell>
          <cell r="F376" t="str">
            <v>LB</v>
          </cell>
          <cell r="G376">
            <v>7480</v>
          </cell>
          <cell r="H376">
            <v>1940</v>
          </cell>
          <cell r="I376">
            <v>3.8556701030927836</v>
          </cell>
          <cell r="J376">
            <v>39</v>
          </cell>
          <cell r="K376">
            <v>150.37113402061857</v>
          </cell>
          <cell r="L376">
            <v>3.4991264517144254</v>
          </cell>
          <cell r="M376">
            <v>7.0343263720032259E-2</v>
          </cell>
        </row>
        <row r="377">
          <cell r="A377" t="str">
            <v>SEA013</v>
          </cell>
          <cell r="B377" t="str">
            <v>White Vinegar, 100 grain distilled</v>
          </cell>
          <cell r="E377" t="str">
            <v>Seasoning</v>
          </cell>
          <cell r="F377" t="str">
            <v>LB</v>
          </cell>
          <cell r="G377">
            <v>3716</v>
          </cell>
          <cell r="H377">
            <v>1940</v>
          </cell>
          <cell r="I377">
            <v>1.9154639175257733</v>
          </cell>
          <cell r="J377">
            <v>39</v>
          </cell>
          <cell r="K377">
            <v>74.703092783505156</v>
          </cell>
          <cell r="L377">
            <v>3.4991264517144254</v>
          </cell>
          <cell r="M377">
            <v>7.0343263720032259E-2</v>
          </cell>
        </row>
        <row r="378">
          <cell r="A378" t="str">
            <v>SWT004</v>
          </cell>
          <cell r="B378" t="str">
            <v>Organic Agave Syrup in Drums [SWT004]</v>
          </cell>
          <cell r="E378" t="str">
            <v>Sweetener</v>
          </cell>
          <cell r="F378" t="str">
            <v>LB</v>
          </cell>
          <cell r="G378">
            <v>84560</v>
          </cell>
          <cell r="H378">
            <v>2695.1363636363635</v>
          </cell>
          <cell r="I378">
            <v>31.37503583896919</v>
          </cell>
          <cell r="J378">
            <v>4</v>
          </cell>
          <cell r="K378">
            <v>125.50014335587676</v>
          </cell>
          <cell r="L378">
            <v>3.4991264517144254</v>
          </cell>
          <cell r="M378">
            <v>5.1932458764250324E-3</v>
          </cell>
        </row>
        <row r="379">
          <cell r="A379" t="str">
            <v>SWT004T</v>
          </cell>
          <cell r="B379" t="str">
            <v>Organic Agave Syrup in Totes</v>
          </cell>
          <cell r="E379" t="str">
            <v>Sweetener</v>
          </cell>
          <cell r="F379" t="str">
            <v>LB</v>
          </cell>
          <cell r="G379">
            <v>227984</v>
          </cell>
          <cell r="H379">
            <v>2976</v>
          </cell>
          <cell r="I379">
            <v>76.607526881720432</v>
          </cell>
          <cell r="J379">
            <v>4</v>
          </cell>
          <cell r="K379">
            <v>306.43010752688173</v>
          </cell>
          <cell r="L379">
            <v>3.4991264517144254</v>
          </cell>
          <cell r="M379">
            <v>4.7031269512290662E-3</v>
          </cell>
        </row>
        <row r="380">
          <cell r="A380" t="str">
            <v>SWT008</v>
          </cell>
          <cell r="B380" t="str">
            <v>Evaporated Cane Juice [SWT008]</v>
          </cell>
          <cell r="E380" t="str">
            <v>Sweetener</v>
          </cell>
          <cell r="F380" t="str">
            <v>LB</v>
          </cell>
          <cell r="G380">
            <v>0</v>
          </cell>
          <cell r="H380">
            <v>2500</v>
          </cell>
          <cell r="I380">
            <v>0</v>
          </cell>
          <cell r="J380">
            <v>4</v>
          </cell>
          <cell r="K380">
            <v>0</v>
          </cell>
          <cell r="L380">
            <v>3.4991264517144254</v>
          </cell>
          <cell r="M380">
            <v>5.5986023227430808E-3</v>
          </cell>
        </row>
        <row r="381">
          <cell r="A381" t="str">
            <v>SWT008T</v>
          </cell>
          <cell r="B381" t="str">
            <v>Evaporated Cane Juice Tote</v>
          </cell>
          <cell r="E381" t="str">
            <v>Sweetener</v>
          </cell>
          <cell r="F381" t="str">
            <v>LB</v>
          </cell>
          <cell r="G381">
            <v>1128925</v>
          </cell>
          <cell r="H381">
            <v>2215</v>
          </cell>
          <cell r="I381">
            <v>509.6726862302483</v>
          </cell>
          <cell r="J381">
            <v>4</v>
          </cell>
          <cell r="K381">
            <v>2038.6907449209932</v>
          </cell>
          <cell r="L381">
            <v>3.4991264517144254</v>
          </cell>
          <cell r="M381">
            <v>6.3189642468883525E-3</v>
          </cell>
        </row>
        <row r="382">
          <cell r="A382" t="str">
            <v>SWT009</v>
          </cell>
          <cell r="B382" t="str">
            <v>Cane Sugar Totes [SWT009]</v>
          </cell>
          <cell r="E382" t="str">
            <v>Sweetener</v>
          </cell>
          <cell r="F382" t="str">
            <v>LB</v>
          </cell>
          <cell r="G382">
            <v>2929058.4</v>
          </cell>
          <cell r="H382">
            <v>2198.9920634920636</v>
          </cell>
          <cell r="I382">
            <v>1332.0004417608354</v>
          </cell>
          <cell r="J382">
            <v>4</v>
          </cell>
          <cell r="K382">
            <v>5328.0017670433417</v>
          </cell>
          <cell r="L382">
            <v>3.4991264517144254</v>
          </cell>
          <cell r="M382">
            <v>6.3649642212127138E-3</v>
          </cell>
        </row>
        <row r="383">
          <cell r="A383" t="str">
            <v>SWT012</v>
          </cell>
          <cell r="B383" t="str">
            <v>Molasses [SWT012]</v>
          </cell>
          <cell r="E383" t="str">
            <v>Sweetener</v>
          </cell>
          <cell r="F383" t="str">
            <v>LB</v>
          </cell>
          <cell r="G383">
            <v>5782</v>
          </cell>
          <cell r="H383">
            <v>59</v>
          </cell>
          <cell r="I383">
            <v>98</v>
          </cell>
          <cell r="J383">
            <v>4</v>
          </cell>
          <cell r="K383">
            <v>392</v>
          </cell>
          <cell r="L383">
            <v>3.4991264517144254</v>
          </cell>
          <cell r="M383">
            <v>0.237228911980639</v>
          </cell>
        </row>
        <row r="384">
          <cell r="A384" t="str">
            <v>SWT013</v>
          </cell>
          <cell r="B384" t="str">
            <v>Tasteva Stevia [SWT013]</v>
          </cell>
          <cell r="E384" t="str">
            <v>Sweetener</v>
          </cell>
          <cell r="F384" t="str">
            <v>LB</v>
          </cell>
          <cell r="G384">
            <v>0</v>
          </cell>
          <cell r="H384">
            <v>22</v>
          </cell>
          <cell r="I384">
            <v>0</v>
          </cell>
          <cell r="J384">
            <v>4</v>
          </cell>
          <cell r="K384">
            <v>0</v>
          </cell>
          <cell r="L384">
            <v>3.4991264517144254</v>
          </cell>
          <cell r="M384">
            <v>0.63620480940262281</v>
          </cell>
        </row>
        <row r="385">
          <cell r="A385" t="str">
            <v>VEG001</v>
          </cell>
          <cell r="B385" t="str">
            <v>Tomato Paste 37% NTSS .33 Screen [VEG001]</v>
          </cell>
          <cell r="E385" t="str">
            <v>Veggie</v>
          </cell>
          <cell r="F385" t="str">
            <v>LB</v>
          </cell>
          <cell r="G385">
            <v>54966</v>
          </cell>
          <cell r="H385">
            <v>534</v>
          </cell>
          <cell r="I385">
            <v>102.93258426966293</v>
          </cell>
          <cell r="J385">
            <v>12.899999999999999</v>
          </cell>
          <cell r="K385">
            <v>1327.8303370786516</v>
          </cell>
          <cell r="L385">
            <v>3.4991264517144254</v>
          </cell>
          <cell r="M385">
            <v>8.4529459226809142E-2</v>
          </cell>
        </row>
        <row r="386">
          <cell r="A386" t="str">
            <v>VEG013</v>
          </cell>
          <cell r="B386" t="str">
            <v>Horseradish [VEG013]</v>
          </cell>
          <cell r="E386" t="str">
            <v>Veggie</v>
          </cell>
          <cell r="F386" t="str">
            <v>LB</v>
          </cell>
          <cell r="G386">
            <v>630</v>
          </cell>
          <cell r="H386">
            <v>480</v>
          </cell>
          <cell r="I386">
            <v>1.3125</v>
          </cell>
          <cell r="J386">
            <v>12.899999999999999</v>
          </cell>
          <cell r="K386">
            <v>16.931249999999999</v>
          </cell>
          <cell r="L386">
            <v>3.4991264517144254</v>
          </cell>
          <cell r="M386">
            <v>9.4039023389825172E-2</v>
          </cell>
        </row>
        <row r="387">
          <cell r="A387" t="str">
            <v>VEG018</v>
          </cell>
          <cell r="B387" t="str">
            <v>Chili Pepper Puree</v>
          </cell>
          <cell r="E387" t="str">
            <v>Veggie</v>
          </cell>
          <cell r="F387" t="str">
            <v>LB</v>
          </cell>
          <cell r="G387">
            <v>4108</v>
          </cell>
          <cell r="H387">
            <v>2032</v>
          </cell>
          <cell r="I387">
            <v>2.0216535433070866</v>
          </cell>
          <cell r="J387">
            <v>12.899999999999999</v>
          </cell>
          <cell r="K387">
            <v>26.079330708661413</v>
          </cell>
          <cell r="L387">
            <v>3.4991264517144254</v>
          </cell>
          <cell r="M387">
            <v>2.2213942533029569E-2</v>
          </cell>
        </row>
        <row r="388">
          <cell r="A388" t="str">
            <v>W03645</v>
          </cell>
          <cell r="B388" t="str">
            <v>Wendy's 3+1 LA Box Label</v>
          </cell>
          <cell r="E388" t="str">
            <v>Label</v>
          </cell>
          <cell r="F388" t="str">
            <v>EA</v>
          </cell>
          <cell r="G388">
            <v>5000</v>
          </cell>
          <cell r="H388">
            <v>100000</v>
          </cell>
          <cell r="I388">
            <v>0.05</v>
          </cell>
          <cell r="J388">
            <v>6</v>
          </cell>
          <cell r="K388">
            <v>0.30000000000000004</v>
          </cell>
          <cell r="L388">
            <v>3.4991264517144254</v>
          </cell>
          <cell r="M388">
            <v>2.0994758710286555E-4</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riable Cost Allocation"/>
    </sheetNames>
    <sheetDataSet>
      <sheetData sheetId="0">
        <row r="45">
          <cell r="I45">
            <v>20198838.183101781</v>
          </cell>
        </row>
      </sheetData>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el Fuentes" refreshedDate="45876.413394212963" createdVersion="8" refreshedVersion="8" minRefreshableVersion="3" recordCount="1253" xr:uid="{119FE1CD-BDEC-4D04-B0E7-90BE5423B0EF}">
  <cacheSource type="worksheet">
    <worksheetSource ref="A6:L1259" sheet="Detail"/>
  </cacheSource>
  <cacheFields count="12">
    <cacheField name="Whs" numFmtId="0">
      <sharedItems containsSemiMixedTypes="0" containsString="0" containsNumber="1" containsInteger="1" minValue="1" maxValue="603" count="17">
        <n v="201"/>
        <n v="288"/>
        <n v="1"/>
        <n v="11"/>
        <n v="88"/>
        <n v="223"/>
        <n v="204"/>
        <n v="211"/>
        <n v="99"/>
        <n v="601"/>
        <n v="602"/>
        <n v="603"/>
        <n v="205"/>
        <n v="289"/>
        <n v="488"/>
        <n v="222"/>
        <n v="221"/>
      </sharedItems>
    </cacheField>
    <cacheField name="Product" numFmtId="0">
      <sharedItems containsMixedTypes="1" containsNumber="1" containsInteger="1" minValue="197" maxValue="9955" count="424">
        <s v="BOX321WAV2"/>
        <s v="CON005"/>
        <s v="L69052NV2"/>
        <n v="5142"/>
        <s v="CPBK08"/>
        <n v="7502"/>
        <n v="6617"/>
        <s v="L4136"/>
        <n v="4617"/>
        <s v="L03033"/>
        <s v="L69563NV2"/>
        <s v="PUR017"/>
        <s v="CON003B"/>
        <s v="L06051V2"/>
        <s v="L0104SFV2"/>
        <s v="L3114829NV3"/>
        <s v="L4143N"/>
        <s v="FLV089"/>
        <s v="MRM059"/>
        <s v="J7043"/>
        <s v="L03301"/>
        <s v="L03043"/>
        <s v="L06101V2"/>
        <n v="6590"/>
        <n v="9814"/>
        <s v="CPGD08"/>
        <n v="5815"/>
        <s v="J8504"/>
        <s v="BOX322WAV2"/>
        <n v="4151"/>
        <s v="L03101"/>
        <s v="L4151"/>
        <s v="BTL012"/>
        <n v="9456"/>
        <s v="L0106LV3"/>
        <s v="L3114629NV3"/>
        <s v="L03390"/>
        <s v="L06301V2"/>
        <s v="L4136N"/>
        <s v="PUR032"/>
        <n v="4161"/>
        <s v="L0104LFV3"/>
        <s v="BOX323WAV2"/>
        <s v="MRM060"/>
        <n v="5314"/>
        <n v="4138"/>
        <s v="L69573NV2"/>
        <s v="L011492"/>
        <n v="9131"/>
        <s v="BOX700WA"/>
        <n v="7506"/>
        <s v="L03301NP"/>
        <s v="BOX169WAV2"/>
        <n v="8225"/>
        <s v="L030412"/>
        <s v="MRM001"/>
        <s v="SWT013"/>
        <n v="7515"/>
        <s v="L0103SF"/>
        <n v="4513"/>
        <n v="4516"/>
        <s v="CON017"/>
        <s v="L0110LV2"/>
        <s v="FLV090"/>
        <s v="PLP001"/>
        <s v="SWT012"/>
        <s v="PUR020"/>
        <s v="L4173N"/>
        <s v="PLP005"/>
        <n v="4593"/>
        <n v="2753"/>
        <n v="5002"/>
        <s v="L62210F"/>
        <s v="L3114829V4"/>
        <n v="9823"/>
        <s v="SWT009"/>
        <s v="J4003"/>
        <s v="J7544"/>
        <n v="7415"/>
        <s v="L013112"/>
        <n v="1335"/>
        <s v="LMLT5"/>
        <s v="BOX164AWAV3"/>
        <s v="L01333"/>
        <s v="L1369"/>
        <n v="6955"/>
        <n v="8554"/>
        <n v="1701"/>
        <n v="4591"/>
        <s v="J7512"/>
        <s v="SHF03V3"/>
        <s v="J7916"/>
        <n v="7542"/>
        <s v="J6003"/>
        <s v="LIN006"/>
        <s v="SWT018"/>
        <s v="BOX522"/>
        <n v="9820"/>
        <s v="L690202V2"/>
        <s v="L0111LV3"/>
        <s v="FLV091"/>
        <s v="J2752"/>
        <s v="FLV080"/>
        <n v="5806"/>
        <n v="4225"/>
        <n v="7591"/>
        <n v="4800"/>
        <s v="J4100"/>
        <s v="PUR007"/>
        <s v="SWT008T"/>
        <s v="VEG018"/>
        <s v="CON008"/>
        <s v="CON016"/>
        <s v="J7540"/>
        <s v="J7912"/>
        <s v="L01652F"/>
        <s v="L01132F"/>
        <s v="MRM013"/>
        <s v="VEG013"/>
        <s v="LIN003"/>
        <s v="L11701FV2"/>
        <s v="L69012AV2"/>
        <s v="DRM006"/>
        <s v="L01062FV3"/>
        <s v="FF405"/>
        <s v="VEG009"/>
        <s v="L69012ANV2"/>
        <s v="SEA001"/>
        <n v="7416"/>
        <n v="9166"/>
        <n v="4945"/>
        <n v="9123"/>
        <s v="L011183"/>
        <s v="J8506"/>
        <s v="NUT004T"/>
        <s v="SWT001"/>
        <s v="DRM002"/>
        <s v="5142F"/>
        <s v="SEA002"/>
        <s v="SEA013"/>
        <s v="PUR009"/>
        <s v="MRM043"/>
        <n v="9910"/>
        <s v="L44041V2"/>
        <s v="FLV157"/>
        <n v="9660"/>
        <n v="4202"/>
        <s v="SEA005"/>
        <s v="J7053"/>
        <s v="J6903"/>
        <s v="BOX165WAV3"/>
        <s v="COL015"/>
        <s v="L1462"/>
        <s v="L02112V3"/>
        <n v="9314"/>
        <s v="CON003"/>
        <s v="J3401"/>
        <n v="4113"/>
        <n v="4101"/>
        <s v="L01372V4"/>
        <n v="4106"/>
        <s v="L02132V3"/>
        <s v="L06031V2"/>
        <s v="SEA009"/>
        <s v="J6146"/>
        <s v="TRAY012"/>
        <s v="L4106"/>
        <s v="4502F"/>
        <s v="LMLT4"/>
        <s v="PLP002"/>
        <s v="FLV146"/>
        <s v="FLV153"/>
        <n v="7602"/>
        <s v="PUR001FRZ"/>
        <s v="J9400"/>
        <s v="J1331"/>
        <n v="2520"/>
        <s v="L01303V2"/>
        <s v="L0103LFV3"/>
        <s v="J4955"/>
        <s v="J7930"/>
        <s v="VEG001"/>
        <s v="NUT004"/>
        <s v="DRM111"/>
        <s v="L03391NV2"/>
        <s v="FLV138"/>
        <s v="MRM012"/>
        <n v="2752"/>
        <s v="J4008"/>
        <s v="J6041"/>
        <s v="J4105"/>
        <s v="J4009"/>
        <s v="PUR001"/>
        <n v="5016"/>
        <n v="6202"/>
        <s v="BOX322"/>
        <n v="7540"/>
        <s v="L01307F"/>
        <s v="L01031F"/>
        <s v="FLV063"/>
        <s v="J7099"/>
        <s v="PLP002CA"/>
        <s v="1335B"/>
        <s v="MRM009"/>
        <s v="PUR046"/>
        <n v="5807"/>
        <n v="5204"/>
        <s v="SEA003"/>
        <s v="CPMN08"/>
        <s v="BOX410WAV2"/>
        <s v="L0103LV3"/>
        <s v="L01333N"/>
        <s v="SWT004T"/>
        <s v="1335A"/>
        <s v="L01282F"/>
        <s v="PUR057"/>
        <s v="L011402"/>
        <s v="CPGR08"/>
        <n v="6227"/>
        <s v="L1370"/>
        <n v="9942"/>
        <s v="L01303N"/>
        <s v="L01378"/>
        <s v="L06032V2"/>
        <s v="MRM002"/>
        <n v="197"/>
        <s v="L0103LFV2"/>
        <s v="L94132FW"/>
        <s v="FLV092"/>
        <s v="PUR008"/>
        <s v="BTL212"/>
        <s v="BTL211"/>
        <s v="J6040"/>
        <n v="4141"/>
        <s v="L69053"/>
        <s v="W03645"/>
        <s v="L3114529V4"/>
        <s v="BOX100"/>
        <s v="L62018V2"/>
        <n v="4227"/>
        <s v="1335C"/>
        <n v="6225"/>
        <s v="L03390NV2"/>
        <s v="1335D"/>
        <s v="L02112V2"/>
        <n v="9454"/>
        <n v="4845"/>
        <s v="4177T"/>
        <s v="CON020"/>
        <n v="5014"/>
        <s v="J3701"/>
        <s v="BTL008"/>
        <s v="L0105LV2"/>
        <s v="DRL01V2"/>
        <s v="L4141"/>
        <n v="4102"/>
        <s v="L21121FV3"/>
        <n v="9091"/>
        <n v="9955"/>
        <s v="BOX132WAV3"/>
        <n v="9952"/>
        <s v="MRM020"/>
        <s v="SEA004"/>
        <s v="CPRD08"/>
        <s v="L4106N"/>
        <s v="FLV009"/>
        <s v="CPWT08"/>
        <s v="CPWT10"/>
        <s v="L3114729V4"/>
        <s v="L0801"/>
        <s v="L0104LV2"/>
        <s v="CPOG08"/>
        <s v="L62018N"/>
        <s v="CPYL08"/>
        <s v="L0104SV2"/>
        <s v="J6001"/>
        <n v="9630"/>
        <s v="PUR017FRZ"/>
        <s v="BOX133WAV3"/>
        <n v="4116"/>
        <s v="J4046"/>
        <s v="L3114529NV3"/>
        <s v="BOX212WAV3"/>
        <s v="J3400"/>
        <s v="L0103SNV3"/>
        <s v="L06041V2"/>
        <n v="5315"/>
        <n v="6591"/>
        <n v="4114"/>
        <n v="198"/>
        <n v="7593"/>
        <s v="J9604"/>
        <s v="L690202NV2"/>
        <s v="J2520"/>
        <s v="BTL213"/>
        <s v="L4142"/>
        <n v="4143"/>
        <s v="BOX211WAV3"/>
        <n v="7900"/>
        <s v="SEA006"/>
        <s v="COL003"/>
        <n v="4502"/>
        <s v="L4116"/>
        <s v="COL004"/>
        <s v="BOX411"/>
        <s v="L0110LN"/>
        <s v="BOX415WA"/>
        <s v="BOX412"/>
        <s v="L3114629V4"/>
        <s v="L69572NV2"/>
        <n v="5170"/>
        <s v="L06042V2"/>
        <s v="DRM003"/>
        <s v="BOX150WAV3"/>
        <n v="4508"/>
        <n v="4103"/>
        <n v="4132"/>
        <s v="L0103SV3"/>
        <s v="FLV147"/>
        <s v="L01062FV2"/>
        <s v="SEA007"/>
        <s v="L4143"/>
        <s v="L3114729NV3"/>
        <s v="FLV136"/>
        <s v="FLV156"/>
        <n v="4506"/>
        <s v="L4116N"/>
        <n v="6501"/>
        <s v="L0104SNV2"/>
        <n v="6593"/>
        <n v="4134"/>
        <n v="4147"/>
        <s v="L01133FV2"/>
        <n v="6516"/>
        <n v="6502"/>
        <n v="4136"/>
        <s v="CPBU08"/>
        <s v="PUR010"/>
        <n v="6508"/>
        <n v="4104"/>
        <s v="BOX152WAV3"/>
        <s v="J7500"/>
        <s v="L4152"/>
        <s v="BOX420WAV2"/>
        <n v="9006"/>
        <n v="4152"/>
        <s v="FLV109"/>
        <s v="L4138"/>
        <s v="L03391"/>
        <s v="J7510"/>
        <s v="L030312V2"/>
        <s v="BOX532WAV2"/>
        <s v="J8040"/>
        <n v="9818"/>
        <s v="DRM001"/>
        <s v="FLV110"/>
        <s v="L4153"/>
        <s v="MRM057"/>
        <s v="L01652FNV2"/>
        <s v="L14132"/>
        <s v="L4138N"/>
        <s v="BOX412WAV2"/>
        <n v="4153"/>
        <n v="4121"/>
        <s v="J5170"/>
        <n v="9002"/>
        <s v="L01132FV2"/>
        <s v="L4153N"/>
        <n v="6506"/>
        <s v="L62407V2"/>
        <s v="L03032"/>
        <s v="L4177"/>
        <s v="BOX414WAV2"/>
        <s v="FLV042"/>
        <s v="L4173"/>
        <s v="L62417V2"/>
        <n v="4157"/>
        <s v="L01282FV2"/>
        <n v="6513"/>
        <s v="BOX414V2"/>
        <s v="L0131LV2"/>
        <s v="J4102"/>
        <s v="4173B"/>
        <s v="L0128LV2"/>
        <s v="J4040"/>
        <s v="L4175"/>
        <s v="J6585"/>
        <s v="L01301V2"/>
        <n v="4175"/>
        <s v="BOX169WA"/>
        <s v="L01307FV2"/>
        <s v="J5005"/>
        <s v="J5806"/>
        <s v="L5170"/>
        <s v="L69052V3"/>
        <n v="4952"/>
        <s v="J8500"/>
        <s v="FLV120"/>
        <n v="4177"/>
        <n v="8513"/>
        <s v="L0131LNV2"/>
        <s v="L69563V3"/>
        <s v="L691042NV3"/>
        <s v="J4001"/>
        <s v="J2753"/>
        <s v="FLV122"/>
        <s v="L691042V3"/>
        <s v="J9410"/>
        <s v="L02020V2"/>
        <s v="FLV124"/>
        <n v="5006"/>
        <s v="L02132V4"/>
        <s v="L69572V3"/>
        <s v="L1230LNV2"/>
        <n v="4142"/>
        <s v="FLV125"/>
        <n v="9102"/>
        <s v="J9000"/>
        <s v="L69573V3"/>
        <s v="L1230LV3"/>
        <s v="L1461V2"/>
        <n v="4514"/>
        <s v="L1230NV3"/>
        <n v="7554"/>
      </sharedItems>
    </cacheField>
    <cacheField name="Description" numFmtId="0">
      <sharedItems/>
    </cacheField>
    <cacheField name="UM" numFmtId="0">
      <sharedItems/>
    </cacheField>
    <cacheField name="Pack" numFmtId="0">
      <sharedItems containsBlank="1"/>
    </cacheField>
    <cacheField name="Qty" numFmtId="0">
      <sharedItems containsSemiMixedTypes="0" containsString="0" containsNumber="1" minValue="-120524" maxValue="1472500"/>
    </cacheField>
    <cacheField name="Weight" numFmtId="0">
      <sharedItems containsSemiMixedTypes="0" containsString="0" containsNumber="1" minValue="-120960" maxValue="2894268.96"/>
    </cacheField>
    <cacheField name="$" numFmtId="0">
      <sharedItems containsSemiMixedTypes="0" containsString="0" containsNumber="1" minValue="-79695.17" maxValue="1128179.49"/>
    </cacheField>
    <cacheField name="Category" numFmtId="0">
      <sharedItems count="5">
        <s v="Packaging"/>
        <s v="RM"/>
        <s v="FG"/>
        <s v="WIP"/>
        <s v="FF"/>
      </sharedItems>
    </cacheField>
    <cacheField name="FL/AZ" numFmtId="0">
      <sharedItems count="4">
        <s v="FL"/>
        <s v="AZ"/>
        <s v="TX"/>
        <s v="DAV"/>
      </sharedItems>
    </cacheField>
    <cacheField name="$/UM" numFmtId="43">
      <sharedItems containsMixedTypes="1" containsNumber="1" minValue="-1604.31" maxValue="1372.125"/>
    </cacheField>
    <cacheField name="No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3">
  <r>
    <x v="0"/>
    <x v="0"/>
    <s v="WHT 4/Gln Wrap Around V2"/>
    <s v="EA"/>
    <s v="500/PLT"/>
    <n v="1377"/>
    <n v="1377"/>
    <n v="1098.5"/>
    <x v="0"/>
    <x v="0"/>
    <n v="0.79774872912127814"/>
    <m/>
  </r>
  <r>
    <x v="1"/>
    <x v="1"/>
    <s v="Lemon Juice Concentrate 400 GPL"/>
    <s v="GL"/>
    <s v="54/Drum"/>
    <n v="0"/>
    <n v="0"/>
    <n v="-3.63"/>
    <x v="1"/>
    <x v="0"/>
    <e v="#DIV/0!"/>
    <m/>
  </r>
  <r>
    <x v="2"/>
    <x v="0"/>
    <s v="WHT 4/Gln Wrap Around V2"/>
    <s v="EA"/>
    <s v="500/PLT"/>
    <n v="8001"/>
    <n v="8001"/>
    <n v="5255.06"/>
    <x v="0"/>
    <x v="1"/>
    <n v="0.65680039995000628"/>
    <m/>
  </r>
  <r>
    <x v="3"/>
    <x v="2"/>
    <s v="Rykoff Sexton Marg Mix 64oz Nutrition V2"/>
    <s v="EA"/>
    <s v="5,000/RL"/>
    <n v="20000"/>
    <n v="2"/>
    <n v="308"/>
    <x v="0"/>
    <x v="1"/>
    <n v="1.54E-2"/>
    <m/>
  </r>
  <r>
    <x v="3"/>
    <x v="0"/>
    <s v="WHT 4/Gln Wrap Around V2"/>
    <s v="EA"/>
    <s v="500/PLT"/>
    <n v="17600"/>
    <n v="17600"/>
    <n v="11563.2"/>
    <x v="0"/>
    <x v="1"/>
    <n v="0.65700000000000003"/>
    <m/>
  </r>
  <r>
    <x v="2"/>
    <x v="3"/>
    <s v="SOI Marg Mix Cond 3+1 HGln 9pk"/>
    <s v="CS"/>
    <s v="9/CS"/>
    <n v="2"/>
    <n v="101.6"/>
    <n v="57.59"/>
    <x v="2"/>
    <x v="1"/>
    <n v="28.795000000000002"/>
    <m/>
  </r>
  <r>
    <x v="1"/>
    <x v="4"/>
    <s v="BLACK DBJ Cap"/>
    <s v="EA"/>
    <s v="2,500/Box"/>
    <n v="0"/>
    <n v="0"/>
    <n v="0"/>
    <x v="0"/>
    <x v="0"/>
    <e v="#DIV/0!"/>
    <m/>
  </r>
  <r>
    <x v="0"/>
    <x v="4"/>
    <s v="BLACK DBJ Cap"/>
    <s v="EA"/>
    <s v="2,500/Box"/>
    <n v="91106"/>
    <n v="91.11"/>
    <n v="2159.21"/>
    <x v="0"/>
    <x v="0"/>
    <n v="2.369997585230391E-2"/>
    <m/>
  </r>
  <r>
    <x v="2"/>
    <x v="4"/>
    <s v="BLACK DBJ Cap"/>
    <s v="EA"/>
    <s v="2,500/Box"/>
    <n v="6176"/>
    <n v="6.18"/>
    <n v="145.75"/>
    <x v="0"/>
    <x v="1"/>
    <n v="2.3599417098445596E-2"/>
    <m/>
  </r>
  <r>
    <x v="3"/>
    <x v="5"/>
    <s v="SOI Orange Juice Gln 4pk"/>
    <s v="CS"/>
    <s v="4/CS"/>
    <n v="2549"/>
    <n v="92885.56"/>
    <n v="61903.57"/>
    <x v="2"/>
    <x v="1"/>
    <n v="24.285433503334641"/>
    <m/>
  </r>
  <r>
    <x v="3"/>
    <x v="6"/>
    <s v="Key Lime Juice 12pk Qt Rykoff Sexton"/>
    <s v="CS"/>
    <s v="12/CS"/>
    <n v="345"/>
    <n v="9453"/>
    <n v="4844.63"/>
    <x v="2"/>
    <x v="1"/>
    <n v="14.04240579710145"/>
    <m/>
  </r>
  <r>
    <x v="4"/>
    <x v="0"/>
    <s v="WHT 4/Gln Wrap Around V2"/>
    <s v="EA"/>
    <s v="500/PLT"/>
    <n v="214"/>
    <n v="214"/>
    <n v="140.56"/>
    <x v="0"/>
    <x v="1"/>
    <n v="0.65682242990654205"/>
    <m/>
  </r>
  <r>
    <x v="2"/>
    <x v="2"/>
    <s v="Rykoff Sexton Marg Mix 64oz Nutrition V2"/>
    <s v="EA"/>
    <s v="5,000/RL"/>
    <n v="9950"/>
    <n v="1"/>
    <n v="153.22999999999999"/>
    <x v="0"/>
    <x v="1"/>
    <n v="1.5399999999999999E-2"/>
    <m/>
  </r>
  <r>
    <x v="5"/>
    <x v="7"/>
    <s v="NB Lemonade 12oz"/>
    <s v="EA"/>
    <s v="5,000/RL"/>
    <n v="15000"/>
    <n v="1.5"/>
    <n v="204"/>
    <x v="0"/>
    <x v="0"/>
    <n v="1.3599999999999999E-2"/>
    <m/>
  </r>
  <r>
    <x v="0"/>
    <x v="2"/>
    <s v="Rykoff Sexton Marg Mix 64oz Nutrition V2"/>
    <s v="EA"/>
    <s v="5,000/RL"/>
    <n v="16418"/>
    <n v="1.64"/>
    <n v="252.84"/>
    <x v="0"/>
    <x v="0"/>
    <n v="1.5400170544524304E-2"/>
    <m/>
  </r>
  <r>
    <x v="3"/>
    <x v="8"/>
    <s v="Meyer Lemon Juice Blend 12pk Qt Rykoff Sexton"/>
    <s v="CS"/>
    <s v="12/CS"/>
    <n v="368"/>
    <n v="10083.200000000001"/>
    <n v="5502.85"/>
    <x v="2"/>
    <x v="1"/>
    <n v="14.953396739130437"/>
    <m/>
  </r>
  <r>
    <x v="0"/>
    <x v="9"/>
    <s v="Lemon Juice Qt"/>
    <s v="EA"/>
    <s v="5,000/RL"/>
    <n v="26491"/>
    <n v="2.65"/>
    <n v="349.68"/>
    <x v="0"/>
    <x v="0"/>
    <n v="1.3199954701596768E-2"/>
    <m/>
  </r>
  <r>
    <x v="1"/>
    <x v="0"/>
    <s v="WHT 4/Gln Wrap Around V2"/>
    <s v="EA"/>
    <s v="500/PLT"/>
    <n v="-529"/>
    <n v="-529"/>
    <n v="-422.97"/>
    <x v="0"/>
    <x v="0"/>
    <n v="0.79956521739130437"/>
    <m/>
  </r>
  <r>
    <x v="5"/>
    <x v="10"/>
    <s v="Key Lime Juice 32oz Nutrition V2"/>
    <s v="EA"/>
    <s v="5,000/RL"/>
    <n v="40000"/>
    <n v="4"/>
    <n v="692"/>
    <x v="0"/>
    <x v="0"/>
    <n v="1.7299999999999999E-2"/>
    <m/>
  </r>
  <r>
    <x v="1"/>
    <x v="11"/>
    <s v="Strw Puree 7 Brix - seedless Chilled Aseptic"/>
    <s v="LB"/>
    <m/>
    <n v="-23322.560000000001"/>
    <n v="-23322.54"/>
    <n v="-14576.38"/>
    <x v="1"/>
    <x v="0"/>
    <n v="0.62499056707325429"/>
    <m/>
  </r>
  <r>
    <x v="1"/>
    <x v="12"/>
    <s v="White Grape Juice Con Bin Brix 68"/>
    <s v="GL"/>
    <m/>
    <n v="-1014"/>
    <n v="-8112"/>
    <n v="-10330.450000000001"/>
    <x v="1"/>
    <x v="0"/>
    <n v="10.187820512820513"/>
    <m/>
  </r>
  <r>
    <x v="2"/>
    <x v="13"/>
    <s v="Marg Mix Gln V2"/>
    <s v="EA"/>
    <s v="5,000/RL"/>
    <n v="12241"/>
    <n v="1.22"/>
    <n v="164.03"/>
    <x v="0"/>
    <x v="1"/>
    <n v="1.3400049015603301E-2"/>
    <m/>
  </r>
  <r>
    <x v="2"/>
    <x v="14"/>
    <s v="Lime Juice Qt FZN Version 2"/>
    <s v="EA"/>
    <s v="5,000/RL"/>
    <n v="8061"/>
    <n v="0.81"/>
    <n v="106.41"/>
    <x v="0"/>
    <x v="1"/>
    <n v="1.3200595459620395E-2"/>
    <m/>
  </r>
  <r>
    <x v="0"/>
    <x v="15"/>
    <s v="MM Mixed Berries Smoothie Label 10oz Nutrition V3"/>
    <s v="EA"/>
    <s v="5,000/RL"/>
    <n v="48183"/>
    <n v="4.82"/>
    <n v="318.01"/>
    <x v="0"/>
    <x v="0"/>
    <n v="6.600045659257414E-3"/>
    <m/>
  </r>
  <r>
    <x v="3"/>
    <x v="16"/>
    <s v="Natural Brands Lemon Juice Qt Nutrition"/>
    <s v="EA"/>
    <s v="5,000/RL"/>
    <n v="50000"/>
    <n v="5"/>
    <n v="525"/>
    <x v="0"/>
    <x v="2"/>
    <n v="1.0500000000000001E-2"/>
    <m/>
  </r>
  <r>
    <x v="0"/>
    <x v="7"/>
    <s v="NB Lemonade 12oz"/>
    <s v="EA"/>
    <s v="5,000/RL"/>
    <n v="45031"/>
    <n v="4.5"/>
    <n v="612.41999999999996"/>
    <x v="0"/>
    <x v="0"/>
    <n v="1.3599964468921409E-2"/>
    <m/>
  </r>
  <r>
    <x v="3"/>
    <x v="17"/>
    <s v="Mango (Bell) 85.20948 (no PG) Panera"/>
    <s v="LB"/>
    <m/>
    <n v="80"/>
    <n v="80"/>
    <n v="1055.2"/>
    <x v="1"/>
    <x v="1"/>
    <n v="13.190000000000001"/>
    <m/>
  </r>
  <r>
    <x v="0"/>
    <x v="14"/>
    <s v="Lime Juice Qt FZN Version 2"/>
    <s v="EA"/>
    <s v="5,000/RL"/>
    <n v="26289"/>
    <n v="2.63"/>
    <n v="323.35000000000002"/>
    <x v="0"/>
    <x v="0"/>
    <n v="1.2299821217999924E-2"/>
    <m/>
  </r>
  <r>
    <x v="0"/>
    <x v="16"/>
    <s v="Natural Brands Lemon Juice Qt Nutrition"/>
    <s v="EA"/>
    <s v="5,000/RL"/>
    <n v="29584"/>
    <n v="2.96"/>
    <n v="310.63"/>
    <x v="0"/>
    <x v="2"/>
    <n v="1.049993239588967E-2"/>
    <m/>
  </r>
  <r>
    <x v="5"/>
    <x v="18"/>
    <s v="Inulin"/>
    <s v="LB"/>
    <m/>
    <n v="28659.8"/>
    <n v="28659.8"/>
    <n v="52160.84"/>
    <x v="1"/>
    <x v="0"/>
    <n v="1.8200001395683152"/>
    <m/>
  </r>
  <r>
    <x v="4"/>
    <x v="19"/>
    <s v="OJ Mexican Valencia Tanker"/>
    <s v="GL"/>
    <s v="0/Tanker"/>
    <n v="-890"/>
    <n v="-7921"/>
    <n v="-5696"/>
    <x v="3"/>
    <x v="1"/>
    <n v="6.4"/>
    <m/>
  </r>
  <r>
    <x v="0"/>
    <x v="20"/>
    <s v="Orange Juice Gln"/>
    <s v="EA"/>
    <s v="5,000/RL"/>
    <n v="34980"/>
    <n v="3.5"/>
    <n v="468.73"/>
    <x v="0"/>
    <x v="0"/>
    <n v="1.3399942824471127E-2"/>
    <m/>
  </r>
  <r>
    <x v="3"/>
    <x v="14"/>
    <s v="Lime Juice Qt FZN Version 2"/>
    <s v="EA"/>
    <s v="5,000/RL"/>
    <n v="40000"/>
    <n v="4"/>
    <n v="528"/>
    <x v="0"/>
    <x v="1"/>
    <n v="1.32E-2"/>
    <m/>
  </r>
  <r>
    <x v="3"/>
    <x v="3"/>
    <s v="SOI Marg Mix Cond 3+1 HGln 9pk"/>
    <s v="CS"/>
    <s v="9/CS"/>
    <n v="226"/>
    <n v="11480.8"/>
    <n v="6507.76"/>
    <x v="2"/>
    <x v="1"/>
    <n v="28.795398230088498"/>
    <m/>
  </r>
  <r>
    <x v="3"/>
    <x v="3"/>
    <s v="SOI Marg Mix Cond 3+1 HGln 9pk"/>
    <s v="EA"/>
    <s v="1/EA"/>
    <n v="-2"/>
    <n v="-11.32"/>
    <n v="-6.24"/>
    <x v="2"/>
    <x v="1"/>
    <n v="3.12"/>
    <m/>
  </r>
  <r>
    <x v="0"/>
    <x v="21"/>
    <s v="Lime Juice Qt"/>
    <s v="EA"/>
    <s v="5,000/RL"/>
    <n v="63692"/>
    <n v="6.37"/>
    <n v="840.73"/>
    <x v="0"/>
    <x v="0"/>
    <n v="1.3199930917540665E-2"/>
    <m/>
  </r>
  <r>
    <x v="0"/>
    <x v="22"/>
    <s v="LA Gln V2"/>
    <s v="EA"/>
    <s v="5,000/RL"/>
    <n v="11185"/>
    <n v="1.1200000000000001"/>
    <n v="149.88"/>
    <x v="0"/>
    <x v="0"/>
    <n v="1.3400089405453732E-2"/>
    <m/>
  </r>
  <r>
    <x v="6"/>
    <x v="23"/>
    <s v="SO Limeade Base 3+1 FZN HGln 6pk"/>
    <s v="CS"/>
    <s v="6/CS"/>
    <n v="327"/>
    <n v="10398.6"/>
    <n v="4368.82"/>
    <x v="2"/>
    <x v="0"/>
    <n v="13.360305810397552"/>
    <m/>
  </r>
  <r>
    <x v="4"/>
    <x v="24"/>
    <s v="SOI 3+1 Sweet LA Mix FZN HGln 9pk"/>
    <s v="CS"/>
    <s v="9/CS"/>
    <n v="0"/>
    <n v="0"/>
    <n v="0"/>
    <x v="2"/>
    <x v="1"/>
    <e v="#DIV/0!"/>
    <m/>
  </r>
  <r>
    <x v="0"/>
    <x v="25"/>
    <s v="GOLD DBJ Cap"/>
    <s v="EA"/>
    <s v="2,500/Box"/>
    <n v="53376"/>
    <n v="53.38"/>
    <n v="1259.67"/>
    <x v="0"/>
    <x v="0"/>
    <n v="2.3599932553956836E-2"/>
    <m/>
  </r>
  <r>
    <x v="2"/>
    <x v="25"/>
    <s v="GOLD DBJ Cap"/>
    <s v="EA"/>
    <s v="2,500/Box"/>
    <n v="53818"/>
    <n v="53.82"/>
    <n v="1270.0999999999999"/>
    <x v="0"/>
    <x v="1"/>
    <n v="2.3599910810509495E-2"/>
    <m/>
  </r>
  <r>
    <x v="0"/>
    <x v="26"/>
    <s v="SOI 50/50 Lemon Lime Juice HGln 6pk"/>
    <s v="CS"/>
    <s v="6/CS"/>
    <n v="45"/>
    <n v="1212.75"/>
    <n v="525.14"/>
    <x v="2"/>
    <x v="0"/>
    <n v="11.669777777777778"/>
    <m/>
  </r>
  <r>
    <x v="3"/>
    <x v="27"/>
    <s v="Texas Rio Red Grapefruit Juice Drum"/>
    <s v="GL"/>
    <m/>
    <n v="50760"/>
    <n v="451764"/>
    <n v="168467.36"/>
    <x v="3"/>
    <x v="1"/>
    <n v="3.3188999211977932"/>
    <m/>
  </r>
  <r>
    <x v="3"/>
    <x v="22"/>
    <s v="LA Gln V2"/>
    <s v="EA"/>
    <s v="5,000/RL"/>
    <n v="50000"/>
    <n v="5"/>
    <n v="670"/>
    <x v="0"/>
    <x v="1"/>
    <n v="1.34E-2"/>
    <m/>
  </r>
  <r>
    <x v="7"/>
    <x v="26"/>
    <s v="SOI 50/50 Lemon Lime Juice HGln 6pk"/>
    <s v="CS"/>
    <s v="6/CS"/>
    <n v="205"/>
    <n v="5524.75"/>
    <n v="2392.29"/>
    <x v="2"/>
    <x v="0"/>
    <n v="11.66970731707317"/>
    <m/>
  </r>
  <r>
    <x v="0"/>
    <x v="27"/>
    <s v="Texas Rio Red Grapefruit Juice Drum"/>
    <s v="GL"/>
    <m/>
    <n v="90"/>
    <n v="801"/>
    <n v="305.02"/>
    <x v="3"/>
    <x v="0"/>
    <n v="3.3891111111111107"/>
    <m/>
  </r>
  <r>
    <x v="2"/>
    <x v="28"/>
    <s v="WHT 6 HGln Wrap Around V2"/>
    <s v="EA"/>
    <s v="500/PLT"/>
    <n v="1528"/>
    <n v="1528"/>
    <n v="847.88"/>
    <x v="0"/>
    <x v="1"/>
    <n v="0.55489528795811516"/>
    <m/>
  </r>
  <r>
    <x v="1"/>
    <x v="27"/>
    <s v="Texas Rio Red Grapefruit Juice Drum"/>
    <s v="GL"/>
    <m/>
    <n v="0"/>
    <n v="0"/>
    <n v="0"/>
    <x v="3"/>
    <x v="0"/>
    <e v="#DIV/0!"/>
    <m/>
  </r>
  <r>
    <x v="2"/>
    <x v="22"/>
    <s v="LA Gln V2"/>
    <s v="EA"/>
    <s v="5,000/RL"/>
    <n v="9316"/>
    <n v="0.93"/>
    <n v="124.83"/>
    <x v="0"/>
    <x v="1"/>
    <n v="1.3399527694289395E-2"/>
    <m/>
  </r>
  <r>
    <x v="3"/>
    <x v="28"/>
    <s v="WHT 6 HGln Wrap Around V2"/>
    <s v="EA"/>
    <s v="500/PLT"/>
    <n v="2120"/>
    <n v="2120"/>
    <n v="1178.73"/>
    <x v="0"/>
    <x v="1"/>
    <n v="0.55600471698113207"/>
    <m/>
  </r>
  <r>
    <x v="1"/>
    <x v="29"/>
    <s v="Natural Brands Lime Juice Gln 4pk"/>
    <s v="CS"/>
    <s v="4/CS"/>
    <n v="0"/>
    <n v="0"/>
    <n v="7.39"/>
    <x v="2"/>
    <x v="2"/>
    <e v="#DIV/0!"/>
    <m/>
  </r>
  <r>
    <x v="0"/>
    <x v="30"/>
    <s v="LA Gln"/>
    <s v="EA"/>
    <s v="5,000/RL"/>
    <n v="19230"/>
    <n v="1.92"/>
    <n v="257.68"/>
    <x v="0"/>
    <x v="0"/>
    <n v="1.3399895995839834E-2"/>
    <m/>
  </r>
  <r>
    <x v="8"/>
    <x v="29"/>
    <s v="Natural Brands Lime Juice Gln 4pk"/>
    <s v="CS"/>
    <s v="4/CS"/>
    <n v="420"/>
    <n v="15128.4"/>
    <n v="5789.62"/>
    <x v="2"/>
    <x v="2"/>
    <n v="13.784809523809523"/>
    <m/>
  </r>
  <r>
    <x v="3"/>
    <x v="31"/>
    <s v="Natural Brands Lime Juice Gln"/>
    <s v="EA"/>
    <s v="5,000/RL"/>
    <n v="40000"/>
    <n v="4"/>
    <n v="1116"/>
    <x v="0"/>
    <x v="2"/>
    <n v="2.7900000000000001E-2"/>
    <m/>
  </r>
  <r>
    <x v="0"/>
    <x v="32"/>
    <s v="12oz PET Bottle DBJ Neck"/>
    <s v="EA"/>
    <m/>
    <n v="13798"/>
    <n v="6336.04"/>
    <n v="1814.44"/>
    <x v="0"/>
    <x v="0"/>
    <n v="0.1315002174228149"/>
    <m/>
  </r>
  <r>
    <x v="3"/>
    <x v="33"/>
    <s v="SOI 3+1 Sweet Strw LA FZN 9pk HGln 61.5oz"/>
    <s v="CS"/>
    <s v="9/CS"/>
    <n v="473"/>
    <n v="20830.919999999998"/>
    <n v="12761.21"/>
    <x v="2"/>
    <x v="1"/>
    <n v="26.979302325581394"/>
    <m/>
  </r>
  <r>
    <x v="0"/>
    <x v="34"/>
    <s v="Marg Mix Cond Gln V3"/>
    <s v="EA"/>
    <s v="5,000/RL"/>
    <n v="18505"/>
    <n v="1.85"/>
    <n v="247.97"/>
    <x v="0"/>
    <x v="0"/>
    <n v="1.3400162118346394E-2"/>
    <m/>
  </r>
  <r>
    <x v="0"/>
    <x v="35"/>
    <s v="MM Mango Smoothie Label 10oz Nutrition V3"/>
    <s v="EA"/>
    <s v="5,000/RL"/>
    <n v="43137"/>
    <n v="4.3099999999999996"/>
    <n v="289.02"/>
    <x v="0"/>
    <x v="0"/>
    <n v="6.7000486821058485E-3"/>
    <m/>
  </r>
  <r>
    <x v="2"/>
    <x v="36"/>
    <s v="Blueberry Lavender Tea 6pk/64oz"/>
    <s v="EA"/>
    <s v="5,000/RL"/>
    <n v="8664"/>
    <n v="0.87"/>
    <n v="116.1"/>
    <x v="0"/>
    <x v="1"/>
    <n v="1.3400277008310249E-2"/>
    <m/>
  </r>
  <r>
    <x v="3"/>
    <x v="37"/>
    <s v="Orange Juice Gln V2"/>
    <s v="EA"/>
    <s v="5,000/RL"/>
    <n v="70000"/>
    <n v="7"/>
    <n v="938"/>
    <x v="0"/>
    <x v="1"/>
    <n v="1.34E-2"/>
    <m/>
  </r>
  <r>
    <x v="0"/>
    <x v="38"/>
    <s v="NB Lemonade 12oz Nutrition"/>
    <s v="EA"/>
    <s v="5,000/RL"/>
    <n v="50184"/>
    <n v="5.0199999999999996"/>
    <n v="682.5"/>
    <x v="0"/>
    <x v="0"/>
    <n v="1.3599952175992348E-2"/>
    <m/>
  </r>
  <r>
    <x v="1"/>
    <x v="39"/>
    <s v="Aseptic Peach Puree"/>
    <s v="LB"/>
    <m/>
    <n v="-476"/>
    <n v="-476"/>
    <n v="-368.8"/>
    <x v="1"/>
    <x v="0"/>
    <n v="0.77478991596638658"/>
    <m/>
  </r>
  <r>
    <x v="9"/>
    <x v="40"/>
    <s v="Natural Brands Margarita Lime Sour Gln 4pk"/>
    <s v="CS"/>
    <s v="4/CS"/>
    <n v="480"/>
    <n v="21120"/>
    <n v="13440"/>
    <x v="2"/>
    <x v="2"/>
    <n v="28"/>
    <m/>
  </r>
  <r>
    <x v="10"/>
    <x v="40"/>
    <s v="Natural Brands Margarita Lime Sour Gln 4pk"/>
    <s v="CS"/>
    <s v="4/CS"/>
    <n v="168"/>
    <n v="7392"/>
    <n v="4704"/>
    <x v="2"/>
    <x v="2"/>
    <n v="28"/>
    <m/>
  </r>
  <r>
    <x v="10"/>
    <x v="29"/>
    <s v="Natural Brands Lime Juice Gln 4pk"/>
    <s v="CS"/>
    <s v="4/CS"/>
    <n v="24"/>
    <n v="864.48"/>
    <n v="329.87"/>
    <x v="2"/>
    <x v="2"/>
    <n v="13.744583333333333"/>
    <m/>
  </r>
  <r>
    <x v="11"/>
    <x v="40"/>
    <s v="Natural Brands Margarita Lime Sour Gln 4pk"/>
    <s v="CS"/>
    <s v="4/CS"/>
    <n v="144"/>
    <n v="6336"/>
    <n v="4032"/>
    <x v="2"/>
    <x v="2"/>
    <n v="28"/>
    <m/>
  </r>
  <r>
    <x v="11"/>
    <x v="29"/>
    <s v="Natural Brands Lime Juice Gln 4pk"/>
    <s v="CS"/>
    <s v="4/CS"/>
    <n v="116"/>
    <n v="4178.32"/>
    <n v="1594.24"/>
    <x v="2"/>
    <x v="2"/>
    <n v="13.743448275862068"/>
    <m/>
  </r>
  <r>
    <x v="0"/>
    <x v="31"/>
    <s v="Natural Brands Lime Juice Gln"/>
    <s v="EA"/>
    <s v="5,000/RL"/>
    <n v="11567"/>
    <n v="1.1599999999999999"/>
    <n v="322.72000000000003"/>
    <x v="0"/>
    <x v="2"/>
    <n v="2.7900060516987985E-2"/>
    <m/>
  </r>
  <r>
    <x v="2"/>
    <x v="31"/>
    <s v="Natural Brands Lime Juice Gln"/>
    <s v="EA"/>
    <s v="5,000/RL"/>
    <n v="20000"/>
    <n v="2"/>
    <n v="558"/>
    <x v="0"/>
    <x v="2"/>
    <n v="2.7900000000000001E-2"/>
    <m/>
  </r>
  <r>
    <x v="0"/>
    <x v="41"/>
    <s v="100 % Lime Juice HGln FZN V3"/>
    <s v="EA"/>
    <s v="5,000/RL"/>
    <n v="18638"/>
    <n v="1.86"/>
    <n v="236.7"/>
    <x v="0"/>
    <x v="0"/>
    <n v="1.2699860500053653E-2"/>
    <m/>
  </r>
  <r>
    <x v="2"/>
    <x v="34"/>
    <s v="Marg Mix Cond Gln V3"/>
    <s v="EA"/>
    <s v="5,000/RL"/>
    <n v="14945"/>
    <n v="1.49"/>
    <n v="200.26"/>
    <x v="0"/>
    <x v="1"/>
    <n v="1.3399799263967881E-2"/>
    <m/>
  </r>
  <r>
    <x v="0"/>
    <x v="42"/>
    <s v="WHT 6/Qt Wrap Around V2"/>
    <s v="EA"/>
    <s v="750/PLT"/>
    <n v="2055"/>
    <n v="2055"/>
    <n v="796.92"/>
    <x v="0"/>
    <x v="0"/>
    <n v="0.38779562043795618"/>
    <m/>
  </r>
  <r>
    <x v="2"/>
    <x v="37"/>
    <s v="Orange Juice Gln V2"/>
    <s v="EA"/>
    <s v="5,000/RL"/>
    <n v="32207"/>
    <n v="3.22"/>
    <n v="431.57"/>
    <x v="0"/>
    <x v="1"/>
    <n v="1.3399882013226939E-2"/>
    <m/>
  </r>
  <r>
    <x v="5"/>
    <x v="42"/>
    <s v="WHT 6/Qt Wrap Around V2"/>
    <s v="EA"/>
    <s v="750/PLT"/>
    <n v="23490"/>
    <n v="23490"/>
    <n v="9111.77"/>
    <x v="0"/>
    <x v="0"/>
    <n v="0.3878999574286931"/>
    <m/>
  </r>
  <r>
    <x v="0"/>
    <x v="43"/>
    <s v="Beta Carotene No Added Sugar"/>
    <s v="LB"/>
    <m/>
    <n v="50.6"/>
    <n v="50.6"/>
    <n v="3415.5"/>
    <x v="1"/>
    <x v="0"/>
    <n v="67.5"/>
    <m/>
  </r>
  <r>
    <x v="2"/>
    <x v="42"/>
    <s v="WHT 6/Qt Wrap Around V2"/>
    <s v="EA"/>
    <s v="750/PLT"/>
    <n v="2120"/>
    <n v="2120"/>
    <n v="742.21"/>
    <x v="0"/>
    <x v="1"/>
    <n v="0.35009905660377361"/>
    <m/>
  </r>
  <r>
    <x v="3"/>
    <x v="42"/>
    <s v="WHT 6/Qt Wrap Around V2"/>
    <s v="EA"/>
    <s v="750/PLT"/>
    <n v="5989"/>
    <n v="5989"/>
    <n v="2097.35"/>
    <x v="0"/>
    <x v="1"/>
    <n v="0.35020036734012355"/>
    <m/>
  </r>
  <r>
    <x v="3"/>
    <x v="44"/>
    <s v="Bloody Mary Mix 6pk Hgln Rykoff Sexton"/>
    <s v="CS"/>
    <s v="6/CS"/>
    <n v="627"/>
    <n v="16070.01"/>
    <n v="5823.58"/>
    <x v="2"/>
    <x v="1"/>
    <n v="9.288006379585326"/>
    <m/>
  </r>
  <r>
    <x v="0"/>
    <x v="45"/>
    <s v="NB Strawberry Lemonade RTS REF 12oz 12pk"/>
    <s v="CS"/>
    <s v="12/CS"/>
    <n v="120"/>
    <n v="1340.4"/>
    <n v="506.16"/>
    <x v="2"/>
    <x v="0"/>
    <n v="4.218"/>
    <m/>
  </r>
  <r>
    <x v="5"/>
    <x v="46"/>
    <s v="Meyer Lemon Juice 32oz Nutritiion V2"/>
    <s v="EA"/>
    <s v="5,000/RL"/>
    <n v="40000"/>
    <n v="4"/>
    <n v="692"/>
    <x v="0"/>
    <x v="0"/>
    <n v="1.7299999999999999E-2"/>
    <m/>
  </r>
  <r>
    <x v="0"/>
    <x v="47"/>
    <s v="50/50 Lemon Lime Juice HGln v.1"/>
    <s v="EA"/>
    <s v="5,000/RL"/>
    <n v="11986"/>
    <n v="1.2"/>
    <n v="160.61000000000001"/>
    <x v="0"/>
    <x v="0"/>
    <n v="1.3399799766394127E-2"/>
    <m/>
  </r>
  <r>
    <x v="5"/>
    <x v="43"/>
    <s v="Beta Carotene No Added Sugar"/>
    <s v="LB"/>
    <m/>
    <n v="110"/>
    <n v="110"/>
    <n v="7425"/>
    <x v="1"/>
    <x v="0"/>
    <n v="67.5"/>
    <m/>
  </r>
  <r>
    <x v="2"/>
    <x v="47"/>
    <s v="50/50 Lemon Lime Juice HGln v.1"/>
    <s v="EA"/>
    <s v="5,000/RL"/>
    <n v="11896"/>
    <n v="1.19"/>
    <n v="184.39"/>
    <x v="0"/>
    <x v="1"/>
    <n v="1.5500168123739071E-2"/>
    <m/>
  </r>
  <r>
    <x v="7"/>
    <x v="45"/>
    <s v="NB Strawberry Lemonade RTS REF 12oz 12pk"/>
    <s v="CS"/>
    <s v="12/CS"/>
    <n v="375"/>
    <n v="4188.75"/>
    <n v="1581.09"/>
    <x v="2"/>
    <x v="0"/>
    <n v="4.21624"/>
    <m/>
  </r>
  <r>
    <x v="1"/>
    <x v="42"/>
    <s v="WHT 6/Qt Wrap Around V2"/>
    <s v="EA"/>
    <s v="750/PLT"/>
    <n v="0"/>
    <n v="0"/>
    <n v="0.01"/>
    <x v="0"/>
    <x v="0"/>
    <e v="#DIV/0!"/>
    <m/>
  </r>
  <r>
    <x v="3"/>
    <x v="48"/>
    <s v="SOI Old Fashioned 4+1 Lemonade Mix Hgln 6pk FZN"/>
    <s v="CS"/>
    <s v="6/CS"/>
    <n v="396"/>
    <n v="13302.83"/>
    <n v="7241.14"/>
    <x v="2"/>
    <x v="1"/>
    <n v="18.285707070707073"/>
    <m/>
  </r>
  <r>
    <x v="3"/>
    <x v="34"/>
    <s v="Marg Mix Cond Gln V3"/>
    <s v="EA"/>
    <s v="5,000/RL"/>
    <n v="20000"/>
    <n v="2"/>
    <n v="268"/>
    <x v="0"/>
    <x v="1"/>
    <n v="1.34E-2"/>
    <m/>
  </r>
  <r>
    <x v="1"/>
    <x v="45"/>
    <s v="NB Strawberry Lemonade RTS REF 12oz 12pk"/>
    <s v="CS"/>
    <s v="12/CS"/>
    <n v="-1"/>
    <n v="-11.17"/>
    <n v="-4.22"/>
    <x v="2"/>
    <x v="0"/>
    <n v="4.22"/>
    <m/>
  </r>
  <r>
    <x v="7"/>
    <x v="45"/>
    <s v="NB Strawberry Lemonade RTS REF 12oz 12pk"/>
    <s v="EA"/>
    <s v="1/EA"/>
    <n v="-3"/>
    <n v="-2.4500000000000002"/>
    <n v="-1.05"/>
    <x v="2"/>
    <x v="0"/>
    <n v="0.35000000000000003"/>
    <m/>
  </r>
  <r>
    <x v="5"/>
    <x v="49"/>
    <s v="BRN 6pk 1.5L Aseptic Wrap Around"/>
    <s v="EA"/>
    <s v="500/PLT"/>
    <n v="22000"/>
    <n v="22000"/>
    <n v="6969.6"/>
    <x v="0"/>
    <x v="3"/>
    <n v="0.31680000000000003"/>
    <m/>
  </r>
  <r>
    <x v="3"/>
    <x v="45"/>
    <s v="NB Strawberry Lemonade RTS REF 12oz 12pk"/>
    <s v="CS"/>
    <s v="12/CS"/>
    <n v="299"/>
    <n v="3339.83"/>
    <n v="1174.17"/>
    <x v="2"/>
    <x v="1"/>
    <n v="3.9269899665551842"/>
    <m/>
  </r>
  <r>
    <x v="0"/>
    <x v="37"/>
    <s v="Orange Juice Gln V2"/>
    <s v="EA"/>
    <s v="5,000/RL"/>
    <n v="25259"/>
    <n v="2.5299999999999998"/>
    <n v="338.47"/>
    <x v="0"/>
    <x v="0"/>
    <n v="1.3399976246090503E-2"/>
    <m/>
  </r>
  <r>
    <x v="5"/>
    <x v="38"/>
    <s v="NB Lemonade 12oz Nutrition"/>
    <s v="EA"/>
    <s v="5,000/RL"/>
    <n v="15000"/>
    <n v="1.5"/>
    <n v="204"/>
    <x v="0"/>
    <x v="0"/>
    <n v="1.3599999999999999E-2"/>
    <m/>
  </r>
  <r>
    <x v="4"/>
    <x v="50"/>
    <s v="Markon Orange Juice Gln 4pk"/>
    <s v="CS"/>
    <s v="4/CS"/>
    <n v="0"/>
    <n v="0"/>
    <n v="0"/>
    <x v="2"/>
    <x v="1"/>
    <e v="#DIV/0!"/>
    <m/>
  </r>
  <r>
    <x v="3"/>
    <x v="36"/>
    <s v="Blueberry Lavender Tea 6pk/64oz"/>
    <s v="EA"/>
    <s v="5,000/RL"/>
    <n v="20000"/>
    <n v="2"/>
    <n v="268"/>
    <x v="0"/>
    <x v="1"/>
    <n v="1.34E-2"/>
    <m/>
  </r>
  <r>
    <x v="3"/>
    <x v="51"/>
    <s v="NP Orange Juice Gln v1."/>
    <s v="EA"/>
    <s v="5,000/RL"/>
    <n v="40000"/>
    <n v="4"/>
    <n v="536"/>
    <x v="0"/>
    <x v="1"/>
    <n v="1.34E-2"/>
    <m/>
  </r>
  <r>
    <x v="5"/>
    <x v="52"/>
    <s v="6 Hgln 100% Red Gft WA V2"/>
    <s v="EA"/>
    <s v="500/PLT"/>
    <n v="7425"/>
    <n v="7425"/>
    <n v="4521.83"/>
    <x v="0"/>
    <x v="0"/>
    <n v="0.60900067340067343"/>
    <m/>
  </r>
  <r>
    <x v="3"/>
    <x v="53"/>
    <s v="SOI Grapefruit Juice 30.5oz 6pk FZN"/>
    <s v="CS"/>
    <s v="6/CS"/>
    <n v="331"/>
    <n v="4382.4399999999996"/>
    <n v="2197.87"/>
    <x v="2"/>
    <x v="1"/>
    <n v="6.640090634441087"/>
    <m/>
  </r>
  <r>
    <x v="3"/>
    <x v="54"/>
    <s v="Sysco Lime Juice Gln v1."/>
    <s v="EA"/>
    <s v="5,000/RL"/>
    <n v="20000"/>
    <n v="2"/>
    <n v="268"/>
    <x v="0"/>
    <x v="1"/>
    <n v="1.34E-2"/>
    <m/>
  </r>
  <r>
    <x v="4"/>
    <x v="55"/>
    <s v="Citric Acid"/>
    <s v="LB"/>
    <s v="50/BAG"/>
    <n v="0"/>
    <n v="0"/>
    <n v="0"/>
    <x v="1"/>
    <x v="1"/>
    <e v="#DIV/0!"/>
    <m/>
  </r>
  <r>
    <x v="5"/>
    <x v="56"/>
    <s v="Stevia"/>
    <s v="LB"/>
    <m/>
    <n v="66"/>
    <n v="66"/>
    <n v="2814.98"/>
    <x v="1"/>
    <x v="0"/>
    <n v="42.651212121212119"/>
    <m/>
  </r>
  <r>
    <x v="7"/>
    <x v="57"/>
    <s v="SOI Orange Juice HGln 6pk"/>
    <s v="CS"/>
    <s v="6/CS"/>
    <n v="154"/>
    <n v="4312"/>
    <n v="3091.52"/>
    <x v="2"/>
    <x v="0"/>
    <n v="20.074805194805194"/>
    <m/>
  </r>
  <r>
    <x v="1"/>
    <x v="58"/>
    <s v="Lemon Juice Qt FZN"/>
    <s v="EA"/>
    <s v="5,000/RL"/>
    <n v="-18"/>
    <n v="0"/>
    <n v="-0.24"/>
    <x v="0"/>
    <x v="0"/>
    <n v="1.3333333333333332E-2"/>
    <m/>
  </r>
  <r>
    <x v="7"/>
    <x v="59"/>
    <s v="SOI Lemon Juice HGln 6pk"/>
    <s v="CS"/>
    <s v="6/CS"/>
    <n v="234"/>
    <n v="6552"/>
    <n v="2931.34"/>
    <x v="2"/>
    <x v="0"/>
    <n v="12.527094017094019"/>
    <m/>
  </r>
  <r>
    <x v="3"/>
    <x v="53"/>
    <s v="SOI Grapefruit Juice 30.5oz 6pk FZN"/>
    <s v="EA"/>
    <s v="1/EA"/>
    <n v="-1"/>
    <n v="-2.2000000000000002"/>
    <n v="-1.1100000000000001"/>
    <x v="2"/>
    <x v="1"/>
    <n v="1.1100000000000001"/>
    <m/>
  </r>
  <r>
    <x v="1"/>
    <x v="60"/>
    <s v="SOI Lemon Juice Qt 6pk"/>
    <s v="CS"/>
    <s v="6/CS"/>
    <n v="-4"/>
    <n v="-55"/>
    <n v="-41.66"/>
    <x v="2"/>
    <x v="0"/>
    <n v="10.414999999999999"/>
    <m/>
  </r>
  <r>
    <x v="4"/>
    <x v="61"/>
    <s v="Concord Grape Concentrate"/>
    <s v="GL"/>
    <m/>
    <n v="-100"/>
    <n v="-1113"/>
    <n v="-1950"/>
    <x v="1"/>
    <x v="1"/>
    <n v="19.5"/>
    <m/>
  </r>
  <r>
    <x v="3"/>
    <x v="62"/>
    <s v="SOI LA Lg v.2."/>
    <s v="EA"/>
    <s v="5,000/RL"/>
    <n v="310000"/>
    <n v="31"/>
    <n v="3782"/>
    <x v="0"/>
    <x v="1"/>
    <n v="1.2200000000000001E-2"/>
    <m/>
  </r>
  <r>
    <x v="5"/>
    <x v="63"/>
    <s v="Strawberry Flavor 090"/>
    <s v="LB"/>
    <m/>
    <n v="50"/>
    <n v="50"/>
    <n v="741.12"/>
    <x v="1"/>
    <x v="0"/>
    <n v="14.8224"/>
    <m/>
  </r>
  <r>
    <x v="3"/>
    <x v="64"/>
    <s v="Lemon Cells"/>
    <s v="LB"/>
    <m/>
    <n v="32736"/>
    <n v="32736"/>
    <n v="19582.68"/>
    <x v="1"/>
    <x v="1"/>
    <n v="0.59820014662756604"/>
    <m/>
  </r>
  <r>
    <x v="8"/>
    <x v="65"/>
    <s v="Molasses"/>
    <s v="LB"/>
    <m/>
    <n v="-1416"/>
    <n v="-1416"/>
    <n v="-1699.2"/>
    <x v="1"/>
    <x v="1"/>
    <n v="1.2"/>
    <m/>
  </r>
  <r>
    <x v="4"/>
    <x v="66"/>
    <s v="Apple Puree .033 screen"/>
    <s v="LB"/>
    <m/>
    <n v="-7408"/>
    <n v="-7408"/>
    <n v="-2894.31"/>
    <x v="1"/>
    <x v="1"/>
    <n v="0.3907005939524838"/>
    <m/>
  </r>
  <r>
    <x v="1"/>
    <x v="57"/>
    <s v="SOI Orange Juice HGln 6pk"/>
    <s v="CS"/>
    <s v="6/CS"/>
    <n v="0"/>
    <n v="0"/>
    <n v="-2.81"/>
    <x v="2"/>
    <x v="0"/>
    <e v="#DIV/0!"/>
    <m/>
  </r>
  <r>
    <x v="5"/>
    <x v="67"/>
    <s v="Natural Brands Lemon Sour Qt Nutrition"/>
    <s v="EA"/>
    <s v="5,000/RL"/>
    <n v="40000"/>
    <n v="4"/>
    <n v="420"/>
    <x v="0"/>
    <x v="2"/>
    <n v="1.0500000000000001E-2"/>
    <m/>
  </r>
  <r>
    <x v="3"/>
    <x v="68"/>
    <s v="Blended Orange Pulp Cells"/>
    <s v="LB"/>
    <m/>
    <n v="81200"/>
    <n v="81200"/>
    <n v="51034.21"/>
    <x v="1"/>
    <x v="1"/>
    <n v="0.62850012315270931"/>
    <m/>
  </r>
  <r>
    <x v="7"/>
    <x v="69"/>
    <s v="SYSCO Lemon Juice Qt 6pk"/>
    <s v="CS"/>
    <s v="6/CS"/>
    <n v="3770"/>
    <n v="49010"/>
    <n v="26363.98"/>
    <x v="2"/>
    <x v="0"/>
    <n v="6.9930981432360744"/>
    <m/>
  </r>
  <r>
    <x v="4"/>
    <x v="70"/>
    <s v="Panera Strawberry Fruit Base No Refined Sugar Added FZN"/>
    <s v="CS"/>
    <s v="6/CS"/>
    <n v="0"/>
    <n v="0"/>
    <n v="0.01"/>
    <x v="2"/>
    <x v="1"/>
    <e v="#DIV/0!"/>
    <m/>
  </r>
  <r>
    <x v="7"/>
    <x v="71"/>
    <s v="SOI Marg Mix Gln 4pk"/>
    <s v="CS"/>
    <s v="4/CS"/>
    <n v="576"/>
    <n v="20966.400000000001"/>
    <n v="5509.21"/>
    <x v="2"/>
    <x v="0"/>
    <n v="9.5646006944444437"/>
    <m/>
  </r>
  <r>
    <x v="5"/>
    <x v="72"/>
    <s v="5+1 Agave Lemonade Hgln Alt Spec 3"/>
    <s v="EA"/>
    <s v="5,000/RL"/>
    <n v="40000"/>
    <n v="4"/>
    <n v="536"/>
    <x v="0"/>
    <x v="0"/>
    <n v="1.34E-2"/>
    <m/>
  </r>
  <r>
    <x v="5"/>
    <x v="73"/>
    <s v="MM Mixed Berries Smoothie Label 10oz V4"/>
    <s v="EA"/>
    <s v="5,000/RL"/>
    <n v="340000"/>
    <n v="34"/>
    <n v="2414"/>
    <x v="0"/>
    <x v="0"/>
    <n v="7.1000000000000004E-3"/>
    <m/>
  </r>
  <r>
    <x v="0"/>
    <x v="66"/>
    <s v="Apple Puree .033 screen"/>
    <s v="LB"/>
    <m/>
    <n v="21899.82"/>
    <n v="21899.83"/>
    <n v="8628.5300000000007"/>
    <x v="1"/>
    <x v="0"/>
    <n v="0.39400004200947775"/>
    <m/>
  </r>
  <r>
    <x v="6"/>
    <x v="74"/>
    <s v="Wendy's LA 3+1 FZN HGln 6pk"/>
    <s v="CS"/>
    <s v="6/CS"/>
    <n v="1707"/>
    <n v="54772.51"/>
    <n v="27205.65"/>
    <x v="2"/>
    <x v="0"/>
    <n v="15.937697715289984"/>
    <m/>
  </r>
  <r>
    <x v="2"/>
    <x v="75"/>
    <s v="Cane Sugar Totes"/>
    <s v="LB"/>
    <s v="2,204/Tote"/>
    <n v="21439"/>
    <n v="21439"/>
    <n v="13277.17"/>
    <x v="1"/>
    <x v="1"/>
    <n v="0.61929987406129017"/>
    <m/>
  </r>
  <r>
    <x v="0"/>
    <x v="76"/>
    <s v="Lemon Juice-Spanish Aseptic Bins in gals"/>
    <s v="GL"/>
    <s v="0/Tote"/>
    <n v="21144.29"/>
    <n v="188184.18"/>
    <n v="73356.38"/>
    <x v="3"/>
    <x v="0"/>
    <n v="3.4693233965292758"/>
    <m/>
  </r>
  <r>
    <x v="4"/>
    <x v="77"/>
    <s v="Pasteurized California Mixed Varietal Orange Juice Tanker"/>
    <s v="GL"/>
    <s v="0/Tanker"/>
    <n v="-6024"/>
    <n v="-53613.599999999999"/>
    <n v="-27064.63"/>
    <x v="3"/>
    <x v="1"/>
    <n v="4.4928004648074369"/>
    <m/>
  </r>
  <r>
    <x v="7"/>
    <x v="78"/>
    <s v="SO 100% Valencia Orange Juice HGln 6pk"/>
    <s v="CS"/>
    <s v="6/CS"/>
    <n v="180"/>
    <n v="5040"/>
    <n v="3509.17"/>
    <x v="2"/>
    <x v="0"/>
    <n v="19.49538888888889"/>
    <m/>
  </r>
  <r>
    <x v="2"/>
    <x v="79"/>
    <s v="SO Frozen Grapefruit 30.5oz"/>
    <s v="EA"/>
    <s v="5,000/RL"/>
    <n v="15000"/>
    <n v="1.5"/>
    <n v="235.5"/>
    <x v="0"/>
    <x v="1"/>
    <n v="1.5699999999999999E-2"/>
    <m/>
  </r>
  <r>
    <x v="12"/>
    <x v="39"/>
    <s v="Aseptic Peach Puree"/>
    <s v="LB"/>
    <m/>
    <n v="41252"/>
    <n v="41252"/>
    <n v="31962.05"/>
    <x v="1"/>
    <x v="0"/>
    <n v="0.77480000969649954"/>
    <m/>
  </r>
  <r>
    <x v="1"/>
    <x v="80"/>
    <s v="Sams Club MM Reduced Sugar &amp; Fiber Multipack 12pk 10oz"/>
    <s v="CS"/>
    <s v="12/CS"/>
    <n v="192"/>
    <n v="1728"/>
    <n v="1187.27"/>
    <x v="2"/>
    <x v="0"/>
    <n v="6.1836979166666666"/>
    <m/>
  </r>
  <r>
    <x v="4"/>
    <x v="81"/>
    <s v="4X6 RFID Box Label"/>
    <s v="EA"/>
    <s v="5,800/RL"/>
    <n v="181"/>
    <n v="0.02"/>
    <n v="30.5"/>
    <x v="0"/>
    <x v="1"/>
    <n v="0.16850828729281769"/>
    <m/>
  </r>
  <r>
    <x v="3"/>
    <x v="82"/>
    <s v="6 Hgln Val OJ Wrap Around V3"/>
    <s v="EA"/>
    <s v="500/PLT"/>
    <n v="3520"/>
    <n v="3520"/>
    <n v="1810.69"/>
    <x v="0"/>
    <x v="1"/>
    <n v="0.51440056818181823"/>
    <m/>
  </r>
  <r>
    <x v="0"/>
    <x v="83"/>
    <s v="Snooze Orange Juice Gln RTS"/>
    <s v="EA"/>
    <s v="5,000/RL"/>
    <n v="27948"/>
    <n v="2.79"/>
    <n v="374.5"/>
    <x v="0"/>
    <x v="0"/>
    <n v="1.3399885501645914E-2"/>
    <m/>
  </r>
  <r>
    <x v="0"/>
    <x v="84"/>
    <s v="SOI Limeade FZN 30.5 oz Sample Label"/>
    <s v="EA"/>
    <s v="5,000/RL"/>
    <n v="2000"/>
    <n v="0.2"/>
    <n v="34.6"/>
    <x v="0"/>
    <x v="0"/>
    <n v="1.7299999999999999E-2"/>
    <m/>
  </r>
  <r>
    <x v="3"/>
    <x v="85"/>
    <s v="Condensed Limeade Base REF 270Gln Tote"/>
    <s v="TT"/>
    <s v="1/TT"/>
    <n v="0"/>
    <n v="0"/>
    <n v="0"/>
    <x v="2"/>
    <x v="1"/>
    <e v="#DIV/0!"/>
    <m/>
  </r>
  <r>
    <x v="1"/>
    <x v="86"/>
    <s v="Rykoff Sexton 100% Red Grapefruit Juice 6pk HGln"/>
    <s v="CS"/>
    <s v="6/CS"/>
    <n v="0"/>
    <n v="0"/>
    <n v="6.37"/>
    <x v="2"/>
    <x v="0"/>
    <e v="#DIV/0!"/>
    <m/>
  </r>
  <r>
    <x v="1"/>
    <x v="78"/>
    <s v="SO 100% Valencia Orange Juice HGln 6pk"/>
    <s v="CS"/>
    <s v="6/CS"/>
    <n v="0"/>
    <n v="0"/>
    <n v="0"/>
    <x v="2"/>
    <x v="0"/>
    <e v="#DIV/0!"/>
    <m/>
  </r>
  <r>
    <x v="6"/>
    <x v="87"/>
    <s v="CAVA Blueberry Lavender Puree FZN 6pk 30.5oz"/>
    <s v="CS"/>
    <s v="6/CS"/>
    <n v="3395"/>
    <n v="51875.6"/>
    <n v="63392.800000000003"/>
    <x v="2"/>
    <x v="0"/>
    <n v="18.67240058910162"/>
    <m/>
  </r>
  <r>
    <x v="3"/>
    <x v="88"/>
    <s v="SYSCO Lemon Juice Gln 4pk"/>
    <s v="CS"/>
    <s v="4/CS"/>
    <n v="1440"/>
    <n v="52416"/>
    <n v="22009.94"/>
    <x v="2"/>
    <x v="1"/>
    <n v="15.284680555555555"/>
    <m/>
  </r>
  <r>
    <x v="2"/>
    <x v="81"/>
    <s v="4X6 RFID Box Label"/>
    <s v="EA"/>
    <s v="5,800/RL"/>
    <n v="15718"/>
    <n v="1.57"/>
    <n v="2648.48"/>
    <x v="0"/>
    <x v="1"/>
    <n v="0.16849980913602239"/>
    <m/>
  </r>
  <r>
    <x v="3"/>
    <x v="89"/>
    <s v="Debittered Navel OJ USA Internal Drum 45GL"/>
    <s v="GL"/>
    <m/>
    <n v="32360"/>
    <n v="288004"/>
    <n v="128106.77"/>
    <x v="3"/>
    <x v="1"/>
    <n v="3.9588000618046975"/>
    <m/>
  </r>
  <r>
    <x v="0"/>
    <x v="90"/>
    <s v="Shrink Film Sam's 10oz V3 (in impressions/eaches)"/>
    <s v="EA"/>
    <m/>
    <n v="45789"/>
    <n v="4578.8999999999996"/>
    <n v="4111.8599999999997"/>
    <x v="0"/>
    <x v="0"/>
    <n v="8.9800170346589783E-2"/>
    <m/>
  </r>
  <r>
    <x v="2"/>
    <x v="91"/>
    <s v="OJ USA Juice Internal Drum 45GL"/>
    <s v="GL"/>
    <m/>
    <n v="315"/>
    <n v="2803.5"/>
    <n v="1609.43"/>
    <x v="3"/>
    <x v="1"/>
    <n v="5.1093015873015872"/>
    <m/>
  </r>
  <r>
    <x v="2"/>
    <x v="11"/>
    <s v="Strw Puree 7 Brix - seedless Chilled Aseptic"/>
    <s v="LB"/>
    <m/>
    <n v="9218"/>
    <n v="9218"/>
    <n v="5352.89"/>
    <x v="1"/>
    <x v="1"/>
    <n v="0.58069971794315478"/>
    <m/>
  </r>
  <r>
    <x v="0"/>
    <x v="11"/>
    <s v="Strw Puree 7 Brix - seedless Chilled Aseptic"/>
    <s v="LB"/>
    <m/>
    <n v="47883.6"/>
    <n v="47883.6"/>
    <n v="29908.11"/>
    <x v="1"/>
    <x v="0"/>
    <n v="0.62460028068065065"/>
    <m/>
  </r>
  <r>
    <x v="0"/>
    <x v="48"/>
    <s v="SOI Old Fashioned 4+1 Lemonade Mix Hgln 6pk FZN"/>
    <s v="CS"/>
    <s v="6/CS"/>
    <n v="1200"/>
    <n v="40311.599999999999"/>
    <n v="21867.599999999999"/>
    <x v="2"/>
    <x v="0"/>
    <n v="18.222999999999999"/>
    <m/>
  </r>
  <r>
    <x v="6"/>
    <x v="92"/>
    <s v="SOI NP Orange Juice FZN 61.5oz 6pk"/>
    <s v="CS"/>
    <s v="6/CS"/>
    <n v="1953"/>
    <n v="50778"/>
    <n v="39443.370000000003"/>
    <x v="2"/>
    <x v="0"/>
    <n v="20.196298003072197"/>
    <m/>
  </r>
  <r>
    <x v="0"/>
    <x v="93"/>
    <s v="Lime Juice Tote in Gallons Mexico"/>
    <s v="GL"/>
    <m/>
    <n v="3779"/>
    <n v="33633.1"/>
    <n v="13291.88"/>
    <x v="3"/>
    <x v="0"/>
    <n v="3.5173008732468904"/>
    <m/>
  </r>
  <r>
    <x v="0"/>
    <x v="79"/>
    <s v="SO Frozen Grapefruit 30.5oz"/>
    <s v="EA"/>
    <s v="5,000/RL"/>
    <n v="6622"/>
    <n v="0.66"/>
    <n v="101.32"/>
    <x v="0"/>
    <x v="0"/>
    <n v="1.5300513440048322E-2"/>
    <m/>
  </r>
  <r>
    <x v="3"/>
    <x v="65"/>
    <s v="Molasses"/>
    <s v="LB"/>
    <m/>
    <n v="1888"/>
    <n v="1888"/>
    <n v="2265.6"/>
    <x v="1"/>
    <x v="1"/>
    <n v="1.2"/>
    <m/>
  </r>
  <r>
    <x v="0"/>
    <x v="81"/>
    <s v="4X6 RFID Box Label"/>
    <s v="EA"/>
    <s v="5,800/RL"/>
    <n v="126300"/>
    <n v="12.63"/>
    <n v="21281.55"/>
    <x v="0"/>
    <x v="0"/>
    <n v="0.16849999999999998"/>
    <m/>
  </r>
  <r>
    <x v="1"/>
    <x v="94"/>
    <s v="Tote Liner Cassette 275G &amp; Shroud"/>
    <s v="EA"/>
    <s v="24/box"/>
    <n v="-2"/>
    <n v="-1"/>
    <n v="-99.58"/>
    <x v="0"/>
    <x v="0"/>
    <n v="49.79"/>
    <m/>
  </r>
  <r>
    <x v="0"/>
    <x v="95"/>
    <s v="Liquid Sucrose Totes"/>
    <s v="LB"/>
    <s v="2,550/Tote"/>
    <n v="481"/>
    <n v="481"/>
    <n v="252.53"/>
    <x v="1"/>
    <x v="0"/>
    <n v="0.52501039501039504"/>
    <m/>
  </r>
  <r>
    <x v="0"/>
    <x v="96"/>
    <s v="BRN 12pk 12oz RSC"/>
    <s v="EA"/>
    <s v="1,125/PLT"/>
    <n v="1859"/>
    <n v="1859"/>
    <n v="661.62"/>
    <x v="0"/>
    <x v="0"/>
    <n v="0.35590102205486823"/>
    <m/>
  </r>
  <r>
    <x v="6"/>
    <x v="97"/>
    <s v="Auntie Annes FZN LA 3+1 HGln 6pk"/>
    <s v="CS"/>
    <s v="6/CS"/>
    <n v="1592"/>
    <n v="50944"/>
    <n v="21878.54"/>
    <x v="2"/>
    <x v="0"/>
    <n v="13.742801507537688"/>
    <m/>
  </r>
  <r>
    <x v="0"/>
    <x v="98"/>
    <s v="RS 100% Premium Red Gft Juice 64oz V2"/>
    <s v="EA"/>
    <s v="5,000/RL"/>
    <n v="8947"/>
    <n v="0.89"/>
    <n v="144.94"/>
    <x v="0"/>
    <x v="0"/>
    <n v="1.6199843522968594E-2"/>
    <m/>
  </r>
  <r>
    <x v="12"/>
    <x v="12"/>
    <s v="White Grape Juice Con Bin Brix 68"/>
    <s v="GL"/>
    <m/>
    <n v="1200"/>
    <n v="9600"/>
    <n v="12367.08"/>
    <x v="1"/>
    <x v="0"/>
    <n v="10.305899999999999"/>
    <m/>
  </r>
  <r>
    <x v="3"/>
    <x v="99"/>
    <s v="LA 4+1 Gln v3"/>
    <s v="EA"/>
    <s v="5,000/RL"/>
    <n v="20000"/>
    <n v="2"/>
    <n v="268"/>
    <x v="0"/>
    <x v="1"/>
    <n v="1.34E-2"/>
    <m/>
  </r>
  <r>
    <x v="0"/>
    <x v="100"/>
    <s v="Wild Flavors Nat Taste Modifier 223"/>
    <s v="LB"/>
    <m/>
    <n v="53"/>
    <n v="53"/>
    <n v="1806.39"/>
    <x v="1"/>
    <x v="0"/>
    <n v="34.082830188679246"/>
    <m/>
  </r>
  <r>
    <x v="6"/>
    <x v="101"/>
    <s v="Panera Mango Base W\Vitamins NSA"/>
    <s v="GL"/>
    <m/>
    <n v="1025"/>
    <n v="9390.9500000000007"/>
    <n v="5128.08"/>
    <x v="3"/>
    <x v="0"/>
    <n v="5.0030048780487801"/>
    <m/>
  </r>
  <r>
    <x v="3"/>
    <x v="75"/>
    <s v="Cane Sugar Totes"/>
    <s v="LB"/>
    <s v="2,204/Tote"/>
    <n v="193396.4"/>
    <n v="193396.4"/>
    <n v="119751.05"/>
    <x v="1"/>
    <x v="1"/>
    <n v="0.61919999544976023"/>
    <m/>
  </r>
  <r>
    <x v="2"/>
    <x v="102"/>
    <s v="Flavorchem Vanilla 93.7309"/>
    <s v="LB"/>
    <m/>
    <n v="39"/>
    <n v="39"/>
    <n v="671.06"/>
    <x v="1"/>
    <x v="1"/>
    <n v="17.206666666666667"/>
    <m/>
  </r>
  <r>
    <x v="0"/>
    <x v="103"/>
    <s v="Premium Lime Lemon 4pk Gln"/>
    <s v="CS"/>
    <s v="4/CS"/>
    <n v="7318"/>
    <n v="266375.2"/>
    <n v="107042.58"/>
    <x v="2"/>
    <x v="0"/>
    <n v="14.6272998086909"/>
    <m/>
  </r>
  <r>
    <x v="6"/>
    <x v="104"/>
    <s v="SOI Lemon Juice FZN Qt 6pk"/>
    <s v="CS"/>
    <s v="6/CS"/>
    <n v="1339"/>
    <n v="17507.43"/>
    <n v="9064.36"/>
    <x v="2"/>
    <x v="0"/>
    <n v="6.769499626587006"/>
    <m/>
  </r>
  <r>
    <x v="3"/>
    <x v="105"/>
    <s v="SYSCO Orange Juice Gln 4pk"/>
    <s v="EA"/>
    <s v="1/EA"/>
    <n v="-3"/>
    <n v="-27.3"/>
    <n v="-18.22"/>
    <x v="2"/>
    <x v="1"/>
    <n v="6.0733333333333333"/>
    <m/>
  </r>
  <r>
    <x v="3"/>
    <x v="4"/>
    <s v="BLACK DBJ Cap"/>
    <s v="EA"/>
    <s v="2,500/Box"/>
    <n v="225000"/>
    <n v="225"/>
    <n v="5310"/>
    <x v="0"/>
    <x v="1"/>
    <n v="2.3599999999999999E-2"/>
    <m/>
  </r>
  <r>
    <x v="0"/>
    <x v="75"/>
    <s v="Cane Sugar Totes"/>
    <s v="LB"/>
    <s v="2,204/Tote"/>
    <n v="156978.78"/>
    <n v="156978.78"/>
    <n v="90984.98"/>
    <x v="1"/>
    <x v="0"/>
    <n v="0.57960050396620488"/>
    <m/>
  </r>
  <r>
    <x v="12"/>
    <x v="93"/>
    <s v="Lime Juice Tote in Gallons Mexico"/>
    <s v="GL"/>
    <m/>
    <n v="92483.44"/>
    <n v="823102.62"/>
    <n v="319816.98"/>
    <x v="3"/>
    <x v="0"/>
    <n v="3.4580999582195471"/>
    <m/>
  </r>
  <r>
    <x v="12"/>
    <x v="106"/>
    <s v="SOI CP Lemon Oil Drum"/>
    <s v="LB"/>
    <s v="400/LB"/>
    <n v="811"/>
    <n v="811"/>
    <n v="155.47"/>
    <x v="2"/>
    <x v="0"/>
    <n v="0.19170160295930949"/>
    <m/>
  </r>
  <r>
    <x v="12"/>
    <x v="107"/>
    <s v="Meyer Lemon Juice Internal Drum"/>
    <s v="GL"/>
    <s v="45/DR"/>
    <n v="9855"/>
    <n v="87709.5"/>
    <n v="36747.32"/>
    <x v="3"/>
    <x v="0"/>
    <n v="3.7287995941146628"/>
    <m/>
  </r>
  <r>
    <x v="12"/>
    <x v="108"/>
    <s v="Rasp Puree 9 Brix"/>
    <s v="LB"/>
    <m/>
    <n v="18761.099999999999"/>
    <n v="18761.099999999999"/>
    <n v="34225.870000000003"/>
    <x v="1"/>
    <x v="0"/>
    <n v="1.8242997478825871"/>
    <m/>
  </r>
  <r>
    <x v="3"/>
    <x v="109"/>
    <s v="Evaporated Cane Juice Tote"/>
    <s v="LB"/>
    <s v="2,200/Tote"/>
    <n v="46200"/>
    <n v="46200"/>
    <n v="30954"/>
    <x v="1"/>
    <x v="1"/>
    <n v="0.67"/>
    <m/>
  </r>
  <r>
    <x v="3"/>
    <x v="110"/>
    <s v="Chili Pepper Puree"/>
    <s v="LB"/>
    <m/>
    <n v="778.97"/>
    <n v="778.97"/>
    <n v="5319.51"/>
    <x v="1"/>
    <x v="1"/>
    <n v="6.8289022683800402"/>
    <m/>
  </r>
  <r>
    <x v="12"/>
    <x v="111"/>
    <s v="Cran Juice Concentrate"/>
    <s v="GL"/>
    <m/>
    <n v="55"/>
    <n v="55"/>
    <n v="3987.5"/>
    <x v="1"/>
    <x v="0"/>
    <n v="72.5"/>
    <m/>
  </r>
  <r>
    <x v="12"/>
    <x v="112"/>
    <s v="Rasp Juice Concentrate 65 Brix"/>
    <s v="GL"/>
    <m/>
    <n v="35"/>
    <n v="384.2"/>
    <n v="3115"/>
    <x v="1"/>
    <x v="0"/>
    <n v="89"/>
    <m/>
  </r>
  <r>
    <x v="0"/>
    <x v="77"/>
    <s v="Pasteurized California Mixed Varietal Orange Juice Tanker"/>
    <s v="GL"/>
    <s v="0/Tanker"/>
    <n v="16775"/>
    <n v="149297.5"/>
    <n v="77086.17"/>
    <x v="3"/>
    <x v="0"/>
    <n v="4.5953007451564831"/>
    <m/>
  </r>
  <r>
    <x v="12"/>
    <x v="113"/>
    <s v="OJ No Pulp"/>
    <s v="GL"/>
    <m/>
    <n v="5220"/>
    <n v="46458"/>
    <n v="20609.080000000002"/>
    <x v="3"/>
    <x v="0"/>
    <n v="3.9480996168582378"/>
    <m/>
  </r>
  <r>
    <x v="12"/>
    <x v="114"/>
    <s v="OJ USA California Valencia Internal Drum 45GL"/>
    <s v="GL"/>
    <s v="45/DR"/>
    <n v="5415"/>
    <n v="48193.5"/>
    <n v="21275.54"/>
    <x v="3"/>
    <x v="0"/>
    <n v="3.9290009233610341"/>
    <m/>
  </r>
  <r>
    <x v="2"/>
    <x v="115"/>
    <s v="SOI Sweet &amp; Sour Mix 3+1"/>
    <s v="EA"/>
    <s v="5,000/RL"/>
    <n v="10000"/>
    <n v="1"/>
    <n v="98"/>
    <x v="0"/>
    <x v="1"/>
    <n v="9.7999999999999997E-3"/>
    <m/>
  </r>
  <r>
    <x v="2"/>
    <x v="116"/>
    <s v="SOI 3+1 Sweet LA Mix HGln"/>
    <s v="EA"/>
    <s v="5,000/RL"/>
    <n v="11307"/>
    <n v="1.1299999999999999"/>
    <n v="128.9"/>
    <x v="0"/>
    <x v="1"/>
    <n v="1.1400017688157779E-2"/>
    <m/>
  </r>
  <r>
    <x v="0"/>
    <x v="111"/>
    <s v="Cran Juice Concentrate"/>
    <s v="GL"/>
    <m/>
    <n v="10"/>
    <n v="10"/>
    <n v="725.01"/>
    <x v="1"/>
    <x v="0"/>
    <n v="72.501000000000005"/>
    <m/>
  </r>
  <r>
    <x v="0"/>
    <x v="55"/>
    <s v="Citric Acid"/>
    <s v="LB"/>
    <s v="50/BAG"/>
    <n v="507.7"/>
    <n v="507.7"/>
    <n v="674.33"/>
    <x v="1"/>
    <x v="0"/>
    <n v="1.3282056332479812"/>
    <m/>
  </r>
  <r>
    <x v="2"/>
    <x v="117"/>
    <s v="Enzyme Processing Aid"/>
    <s v="LB"/>
    <m/>
    <n v="57.8"/>
    <n v="57.8"/>
    <n v="404.52"/>
    <x v="1"/>
    <x v="1"/>
    <n v="6.9986159169550177"/>
    <m/>
  </r>
  <r>
    <x v="0"/>
    <x v="106"/>
    <s v="SOI CP Lemon Oil Drum"/>
    <s v="LB"/>
    <s v="400/LB"/>
    <n v="1066.22"/>
    <n v="1066.22"/>
    <n v="205.89"/>
    <x v="2"/>
    <x v="0"/>
    <n v="0.19310273677102285"/>
    <m/>
  </r>
  <r>
    <x v="0"/>
    <x v="118"/>
    <s v="Horseradish"/>
    <s v="LB"/>
    <m/>
    <n v="263"/>
    <n v="263"/>
    <n v="239.33"/>
    <x v="1"/>
    <x v="0"/>
    <n v="0.91"/>
    <m/>
  </r>
  <r>
    <x v="2"/>
    <x v="56"/>
    <s v="Stevia"/>
    <s v="LB"/>
    <m/>
    <n v="9"/>
    <n v="9"/>
    <n v="378.45"/>
    <x v="1"/>
    <x v="1"/>
    <n v="42.05"/>
    <m/>
  </r>
  <r>
    <x v="4"/>
    <x v="119"/>
    <s v="Drum Liner .003 ML Clear Length 38&quot;W X 72&quot; L"/>
    <s v="EA"/>
    <s v="75/box"/>
    <n v="1041"/>
    <n v="520.5"/>
    <n v="935.75"/>
    <x v="0"/>
    <x v="1"/>
    <n v="0.89889529298751203"/>
    <m/>
  </r>
  <r>
    <x v="0"/>
    <x v="120"/>
    <s v="Cava Blueberry Lavender Puree Label V2"/>
    <s v="EA"/>
    <s v="5,000/RL"/>
    <n v="39000"/>
    <n v="3.9"/>
    <n v="514.79999999999995"/>
    <x v="0"/>
    <x v="0"/>
    <n v="1.3199999999999998E-2"/>
    <m/>
  </r>
  <r>
    <x v="2"/>
    <x v="121"/>
    <s v="AZ Valencia Orange Juice 64oz V2"/>
    <s v="EA"/>
    <s v="5,000/RL"/>
    <n v="17177"/>
    <n v="1.72"/>
    <n v="298.88"/>
    <x v="0"/>
    <x v="1"/>
    <n v="1.7400011643476741E-2"/>
    <m/>
  </r>
  <r>
    <x v="12"/>
    <x v="122"/>
    <s v="55 Gln Plastic Drum Filled"/>
    <s v="EA"/>
    <s v="1/DRM"/>
    <n v="3669"/>
    <n v="161436"/>
    <n v="102732"/>
    <x v="3"/>
    <x v="0"/>
    <n v="28"/>
    <m/>
  </r>
  <r>
    <x v="3"/>
    <x v="123"/>
    <s v="SOI Margarita Mix 3+1 HGln Version 3"/>
    <s v="EA"/>
    <s v="5,000/RL"/>
    <n v="40000"/>
    <n v="4"/>
    <n v="536"/>
    <x v="0"/>
    <x v="1"/>
    <n v="1.34E-2"/>
    <m/>
  </r>
  <r>
    <x v="12"/>
    <x v="110"/>
    <s v="Chili Pepper Puree"/>
    <s v="LB"/>
    <m/>
    <n v="1220"/>
    <n v="1220"/>
    <n v="6696.82"/>
    <x v="1"/>
    <x v="0"/>
    <n v="5.4891967213114752"/>
    <m/>
  </r>
  <r>
    <x v="0"/>
    <x v="50"/>
    <s v="Markon Orange Juice Gln 4pk"/>
    <s v="CS"/>
    <s v="4/CS"/>
    <n v="2"/>
    <n v="72.8"/>
    <n v="46.84"/>
    <x v="2"/>
    <x v="0"/>
    <n v="23.42"/>
    <m/>
  </r>
  <r>
    <x v="2"/>
    <x v="124"/>
    <s v="CA Lemons"/>
    <s v="LB"/>
    <m/>
    <n v="-120524"/>
    <n v="-120524"/>
    <n v="-15668.12"/>
    <x v="4"/>
    <x v="1"/>
    <n v="0.13"/>
    <m/>
  </r>
  <r>
    <x v="0"/>
    <x v="125"/>
    <s v="Spirulina Powder"/>
    <s v="LB"/>
    <m/>
    <n v="88"/>
    <n v="88"/>
    <n v="368.72"/>
    <x v="1"/>
    <x v="0"/>
    <n v="4.1900000000000004"/>
    <m/>
  </r>
  <r>
    <x v="0"/>
    <x v="56"/>
    <s v="Stevia"/>
    <s v="LB"/>
    <m/>
    <n v="22"/>
    <n v="22"/>
    <n v="925.01"/>
    <x v="1"/>
    <x v="0"/>
    <n v="42.045909090909092"/>
    <m/>
  </r>
  <r>
    <x v="2"/>
    <x v="63"/>
    <s v="Strawberry Flavor 090"/>
    <s v="LB"/>
    <m/>
    <n v="510"/>
    <n v="510"/>
    <n v="7558.4"/>
    <x v="1"/>
    <x v="1"/>
    <n v="14.820392156862745"/>
    <m/>
  </r>
  <r>
    <x v="2"/>
    <x v="126"/>
    <s v="AZ Valencia Orange Juice 64oz Nutrition V2"/>
    <s v="EA"/>
    <s v="5,000/RL"/>
    <n v="16425"/>
    <n v="1.64"/>
    <n v="252.95"/>
    <x v="0"/>
    <x v="1"/>
    <n v="1.5400304414003044E-2"/>
    <m/>
  </r>
  <r>
    <x v="3"/>
    <x v="105"/>
    <s v="SYSCO Orange Juice Gln 4pk"/>
    <s v="CS"/>
    <s v="4/CS"/>
    <n v="1548"/>
    <n v="56347.199999999997"/>
    <n v="37614.39"/>
    <x v="2"/>
    <x v="1"/>
    <n v="24.298701550387598"/>
    <m/>
  </r>
  <r>
    <x v="3"/>
    <x v="127"/>
    <s v="Sea Salt"/>
    <s v="LB"/>
    <m/>
    <n v="550"/>
    <n v="550"/>
    <n v="764.5"/>
    <x v="1"/>
    <x v="1"/>
    <n v="1.39"/>
    <m/>
  </r>
  <r>
    <x v="7"/>
    <x v="128"/>
    <s v="Sun Orchard Orange Juice Qt 6pk"/>
    <s v="CS"/>
    <s v="6/CS"/>
    <n v="481"/>
    <n v="6734"/>
    <n v="5239.1899999999996"/>
    <x v="2"/>
    <x v="0"/>
    <n v="10.892286902286902"/>
    <m/>
  </r>
  <r>
    <x v="6"/>
    <x v="129"/>
    <s v="Panera 5+1 Agave Lemonade with Concentrate FZN 64 oz 6pk"/>
    <s v="CS"/>
    <s v="6/CS"/>
    <n v="7228"/>
    <n v="222991.03"/>
    <n v="115349.44"/>
    <x v="2"/>
    <x v="0"/>
    <n v="15.958693967902601"/>
    <m/>
  </r>
  <r>
    <x v="3"/>
    <x v="130"/>
    <s v="High-Acid Lemon Juice with Concentrate REF 270Gln Tote"/>
    <s v="TT"/>
    <s v="1/TT"/>
    <n v="31"/>
    <n v="74755.88"/>
    <n v="33164.99"/>
    <x v="2"/>
    <x v="1"/>
    <n v="1069.8383870967741"/>
    <m/>
  </r>
  <r>
    <x v="0"/>
    <x v="131"/>
    <s v="GOSH Ent. LA Cond FZN 4+1 Gln 4pk"/>
    <s v="CS"/>
    <s v="4/CS"/>
    <n v="0"/>
    <n v="0"/>
    <n v="0.01"/>
    <x v="2"/>
    <x v="0"/>
    <e v="#DIV/0!"/>
    <m/>
  </r>
  <r>
    <x v="2"/>
    <x v="118"/>
    <s v="Horseradish"/>
    <s v="LB"/>
    <m/>
    <n v="6"/>
    <n v="6"/>
    <n v="5.46"/>
    <x v="1"/>
    <x v="1"/>
    <n v="0.91"/>
    <m/>
  </r>
  <r>
    <x v="2"/>
    <x v="77"/>
    <s v="Pasteurized California Mixed Varietal Orange Juice Tanker"/>
    <s v="GL"/>
    <s v="0/Tanker"/>
    <n v="24"/>
    <n v="213.6"/>
    <n v="107.83"/>
    <x v="3"/>
    <x v="1"/>
    <n v="4.4929166666666669"/>
    <m/>
  </r>
  <r>
    <x v="3"/>
    <x v="25"/>
    <s v="GOLD DBJ Cap"/>
    <s v="EA"/>
    <s v="2,500/Box"/>
    <n v="115000"/>
    <n v="115"/>
    <n v="2725.5"/>
    <x v="0"/>
    <x v="1"/>
    <n v="2.3699999999999999E-2"/>
    <m/>
  </r>
  <r>
    <x v="1"/>
    <x v="128"/>
    <s v="Sun Orchard Orange Juice Qt 6pk"/>
    <s v="CS"/>
    <s v="6/CS"/>
    <n v="-1"/>
    <n v="-14"/>
    <n v="-10.01"/>
    <x v="2"/>
    <x v="0"/>
    <n v="10.01"/>
    <m/>
  </r>
  <r>
    <x v="0"/>
    <x v="63"/>
    <s v="Strawberry Flavor 090"/>
    <s v="LB"/>
    <m/>
    <n v="938.4"/>
    <n v="938.4"/>
    <n v="13908.4"/>
    <x v="1"/>
    <x v="0"/>
    <n v="14.821398124467178"/>
    <m/>
  </r>
  <r>
    <x v="3"/>
    <x v="121"/>
    <s v="AZ Valencia Orange Juice 64oz V2"/>
    <s v="EA"/>
    <s v="5,000/RL"/>
    <n v="50000"/>
    <n v="5"/>
    <n v="870"/>
    <x v="0"/>
    <x v="1"/>
    <n v="1.7399999999999999E-2"/>
    <m/>
  </r>
  <r>
    <x v="2"/>
    <x v="132"/>
    <s v="Creative Bev Sweet Lemon Juice Hgln Fzn"/>
    <s v="EA"/>
    <s v="5,000/RL"/>
    <n v="13631"/>
    <n v="1.36"/>
    <n v="179.93"/>
    <x v="0"/>
    <x v="1"/>
    <n v="1.3200058689751302E-2"/>
    <m/>
  </r>
  <r>
    <x v="4"/>
    <x v="133"/>
    <s v="Grapefruit Juice USA Internal Drum"/>
    <s v="GL"/>
    <m/>
    <n v="0"/>
    <n v="0"/>
    <n v="0.01"/>
    <x v="3"/>
    <x v="1"/>
    <e v="#DIV/0!"/>
    <m/>
  </r>
  <r>
    <x v="13"/>
    <x v="90"/>
    <s v="Shrink Film Sam's 10oz V3 (in impressions/eaches)"/>
    <s v="EA"/>
    <m/>
    <n v="10131"/>
    <n v="1013.1"/>
    <n v="962.45"/>
    <x v="0"/>
    <x v="0"/>
    <n v="9.5000493534695488E-2"/>
    <m/>
  </r>
  <r>
    <x v="12"/>
    <x v="134"/>
    <s v="Coconut Water 4 Brix Aseptic Tote"/>
    <s v="LB"/>
    <s v="2,200/Tote"/>
    <n v="26964"/>
    <n v="26964"/>
    <n v="12538.26"/>
    <x v="1"/>
    <x v="0"/>
    <n v="0.46500000000000002"/>
    <m/>
  </r>
  <r>
    <x v="0"/>
    <x v="135"/>
    <s v="Sugar"/>
    <s v="LB"/>
    <m/>
    <n v="10225"/>
    <n v="10225"/>
    <n v="5672.83"/>
    <x v="1"/>
    <x v="0"/>
    <n v="0.55479999999999996"/>
    <m/>
  </r>
  <r>
    <x v="2"/>
    <x v="106"/>
    <s v="SOI CP Lemon Oil Drum"/>
    <s v="LB"/>
    <s v="400/LB"/>
    <n v="1500.39"/>
    <n v="1500.39"/>
    <n v="280.72000000000003"/>
    <x v="2"/>
    <x v="1"/>
    <n v="0.18709802118115956"/>
    <m/>
  </r>
  <r>
    <x v="2"/>
    <x v="136"/>
    <s v="Plastic 55 Gln Drum Empty"/>
    <s v="EA"/>
    <s v="1/DRM"/>
    <n v="12349"/>
    <n v="370470"/>
    <n v="345772"/>
    <x v="3"/>
    <x v="1"/>
    <n v="28"/>
    <m/>
  </r>
  <r>
    <x v="0"/>
    <x v="137"/>
    <s v="SOI Marg Mix Cond 3+1 FZN HGln 9pk"/>
    <s v="CS"/>
    <s v="9/CS"/>
    <n v="2075"/>
    <n v="105410"/>
    <n v="60079.34"/>
    <x v="2"/>
    <x v="0"/>
    <n v="28.95389879518072"/>
    <m/>
  </r>
  <r>
    <x v="3"/>
    <x v="126"/>
    <s v="AZ Valencia Orange Juice 64oz Nutrition V2"/>
    <s v="EA"/>
    <s v="5,000/RL"/>
    <n v="20000"/>
    <n v="2"/>
    <n v="308"/>
    <x v="0"/>
    <x v="1"/>
    <n v="1.54E-2"/>
    <m/>
  </r>
  <r>
    <x v="3"/>
    <x v="138"/>
    <s v="Whole Celery Seed"/>
    <s v="LB"/>
    <m/>
    <n v="100"/>
    <n v="100"/>
    <n v="202"/>
    <x v="1"/>
    <x v="1"/>
    <n v="2.02"/>
    <m/>
  </r>
  <r>
    <x v="2"/>
    <x v="82"/>
    <s v="6 Hgln Val OJ Wrap Around V3"/>
    <s v="EA"/>
    <s v="500/PLT"/>
    <n v="1275"/>
    <n v="1275"/>
    <n v="655.98"/>
    <x v="0"/>
    <x v="1"/>
    <n v="0.51449411764705888"/>
    <m/>
  </r>
  <r>
    <x v="4"/>
    <x v="130"/>
    <s v="High-Acid Lemon Juice with Concentrate REF 270Gln Tote"/>
    <s v="TT"/>
    <s v="1/TT"/>
    <n v="1"/>
    <n v="2411.48"/>
    <n v="1060.04"/>
    <x v="2"/>
    <x v="1"/>
    <n v="1060.04"/>
    <m/>
  </r>
  <r>
    <x v="0"/>
    <x v="61"/>
    <s v="Concord Grape Concentrate"/>
    <s v="GL"/>
    <m/>
    <n v="270"/>
    <n v="3005.1"/>
    <n v="5351.05"/>
    <x v="1"/>
    <x v="0"/>
    <n v="19.818703703703704"/>
    <m/>
  </r>
  <r>
    <x v="2"/>
    <x v="127"/>
    <s v="Sea Salt"/>
    <s v="LB"/>
    <m/>
    <n v="28"/>
    <n v="28"/>
    <n v="38.92"/>
    <x v="1"/>
    <x v="1"/>
    <n v="1.3900000000000001"/>
    <m/>
  </r>
  <r>
    <x v="2"/>
    <x v="139"/>
    <s v="White Vinegar, 100 grain distilled"/>
    <s v="LB"/>
    <m/>
    <n v="979"/>
    <n v="979"/>
    <n v="493.51"/>
    <x v="1"/>
    <x v="1"/>
    <n v="0.50409601634320733"/>
    <m/>
  </r>
  <r>
    <x v="3"/>
    <x v="103"/>
    <s v="Premium Lime Lemon 4pk Gln"/>
    <s v="CS"/>
    <s v="4/CS"/>
    <n v="1241"/>
    <n v="45172.4"/>
    <n v="19162.849999999999"/>
    <x v="2"/>
    <x v="1"/>
    <n v="15.441458501208702"/>
    <m/>
  </r>
  <r>
    <x v="3"/>
    <x v="140"/>
    <s v="Banana Puree"/>
    <s v="LB"/>
    <m/>
    <n v="8640"/>
    <n v="8640"/>
    <n v="2706.05"/>
    <x v="1"/>
    <x v="1"/>
    <n v="0.31320023148148152"/>
    <m/>
  </r>
  <r>
    <x v="0"/>
    <x v="128"/>
    <s v="Sun Orchard Orange Juice Qt 6pk"/>
    <s v="CS"/>
    <s v="6/CS"/>
    <n v="89"/>
    <n v="1246"/>
    <n v="969.4"/>
    <x v="2"/>
    <x v="0"/>
    <n v="10.892134831460673"/>
    <m/>
  </r>
  <r>
    <x v="0"/>
    <x v="80"/>
    <s v="Sams Club MM Reduced Sugar &amp; Fiber Multipack 12pk 10oz"/>
    <s v="CS"/>
    <s v="12/CS"/>
    <n v="0"/>
    <n v="0"/>
    <n v="0.1"/>
    <x v="2"/>
    <x v="0"/>
    <e v="#DIV/0!"/>
    <m/>
  </r>
  <r>
    <x v="3"/>
    <x v="141"/>
    <s v="Protab VIT Premix w\o maltodextrin 001780"/>
    <s v="LB"/>
    <m/>
    <n v="440"/>
    <n v="440"/>
    <n v="2776.4"/>
    <x v="1"/>
    <x v="1"/>
    <n v="6.3100000000000005"/>
    <m/>
  </r>
  <r>
    <x v="12"/>
    <x v="68"/>
    <s v="Blended Orange Pulp Cells"/>
    <s v="LB"/>
    <m/>
    <n v="32387.32"/>
    <n v="32387.32"/>
    <n v="23270.29"/>
    <x v="1"/>
    <x v="0"/>
    <n v="0.71850001790824314"/>
    <m/>
  </r>
  <r>
    <x v="0"/>
    <x v="142"/>
    <s v="Starbucks Lemonade 2X 50.7oz 6pk"/>
    <s v="CS"/>
    <s v="6/CS"/>
    <n v="3"/>
    <n v="65.819999999999993"/>
    <n v="34.36"/>
    <x v="2"/>
    <x v="0"/>
    <n v="11.453333333333333"/>
    <m/>
  </r>
  <r>
    <x v="0"/>
    <x v="143"/>
    <s v="Lime Juice Gln V2"/>
    <s v="EA"/>
    <s v="5,000/RL"/>
    <n v="25075"/>
    <n v="2.5099999999999998"/>
    <n v="336.01"/>
    <x v="0"/>
    <x v="0"/>
    <n v="1.3400199401794616E-2"/>
    <m/>
  </r>
  <r>
    <x v="1"/>
    <x v="95"/>
    <s v="Liquid Sucrose Totes"/>
    <s v="LB"/>
    <s v="2,550/Tote"/>
    <n v="-481"/>
    <n v="-481"/>
    <n v="-252.53"/>
    <x v="1"/>
    <x v="0"/>
    <n v="0.52501039501039504"/>
    <m/>
  </r>
  <r>
    <x v="3"/>
    <x v="83"/>
    <s v="Snooze Orange Juice Gln RTS"/>
    <s v="EA"/>
    <s v="5,000/RL"/>
    <n v="20000"/>
    <n v="2"/>
    <n v="268"/>
    <x v="0"/>
    <x v="1"/>
    <n v="1.34E-2"/>
    <m/>
  </r>
  <r>
    <x v="12"/>
    <x v="144"/>
    <s v="Natural Lemon Extract (515804T)"/>
    <s v="LB"/>
    <s v="50/Pail"/>
    <n v="200"/>
    <n v="200"/>
    <n v="6551.96"/>
    <x v="1"/>
    <x v="0"/>
    <n v="32.759799999999998"/>
    <m/>
  </r>
  <r>
    <x v="6"/>
    <x v="145"/>
    <s v="SOI LA Cond 3+1 FZN HGln 6pk"/>
    <s v="CS"/>
    <s v="6/CS"/>
    <n v="1058"/>
    <n v="32798"/>
    <n v="16959.63"/>
    <x v="2"/>
    <x v="0"/>
    <n v="16.029896030245748"/>
    <m/>
  </r>
  <r>
    <x v="6"/>
    <x v="146"/>
    <s v="SOI Lemon Juice FZN HGln 6pk"/>
    <s v="CS"/>
    <s v="6/CS"/>
    <n v="3485"/>
    <n v="90610"/>
    <n v="42418.37"/>
    <x v="2"/>
    <x v="0"/>
    <n v="12.171698708751794"/>
    <m/>
  </r>
  <r>
    <x v="0"/>
    <x v="102"/>
    <s v="Flavorchem Vanilla 93.7309"/>
    <s v="LB"/>
    <m/>
    <n v="106.7"/>
    <n v="106.7"/>
    <n v="1834.44"/>
    <x v="1"/>
    <x v="0"/>
    <n v="17.192502343017807"/>
    <m/>
  </r>
  <r>
    <x v="3"/>
    <x v="147"/>
    <s v="Onion Powder"/>
    <s v="LB"/>
    <m/>
    <n v="25"/>
    <n v="25"/>
    <n v="135.47"/>
    <x v="1"/>
    <x v="1"/>
    <n v="5.4188000000000001"/>
    <m/>
  </r>
  <r>
    <x v="2"/>
    <x v="128"/>
    <s v="Sun Orchard Orange Juice Qt 6pk"/>
    <s v="CS"/>
    <s v="6/CS"/>
    <n v="300"/>
    <n v="4200"/>
    <n v="2859.24"/>
    <x v="2"/>
    <x v="1"/>
    <n v="9.5307999999999993"/>
    <m/>
  </r>
  <r>
    <x v="2"/>
    <x v="107"/>
    <s v="Meyer Lemon Juice Internal Drum"/>
    <s v="GL"/>
    <s v="45/DR"/>
    <n v="45"/>
    <n v="400.5"/>
    <n v="182.05"/>
    <x v="3"/>
    <x v="1"/>
    <n v="4.0455555555555556"/>
    <m/>
  </r>
  <r>
    <x v="3"/>
    <x v="148"/>
    <s v="OJ Mexican Valencia in Totes"/>
    <s v="GL"/>
    <s v="0/Tote"/>
    <n v="18620"/>
    <n v="165718"/>
    <n v="107809.8"/>
    <x v="3"/>
    <x v="1"/>
    <n v="5.79"/>
    <m/>
  </r>
  <r>
    <x v="2"/>
    <x v="149"/>
    <s v="Lime Juice Drum Mexico"/>
    <s v="GL"/>
    <m/>
    <n v="0"/>
    <n v="0"/>
    <n v="0"/>
    <x v="3"/>
    <x v="1"/>
    <e v="#DIV/0!"/>
    <m/>
  </r>
  <r>
    <x v="2"/>
    <x v="150"/>
    <s v="6 Hgln Meyer LA Wrap Around V3"/>
    <s v="EA"/>
    <s v="500/PLT"/>
    <n v="2069"/>
    <n v="2069"/>
    <n v="1054.1600000000001"/>
    <x v="0"/>
    <x v="1"/>
    <n v="0.50950217496375061"/>
    <m/>
  </r>
  <r>
    <x v="4"/>
    <x v="91"/>
    <s v="OJ USA Juice Internal Drum 45GL"/>
    <s v="GL"/>
    <m/>
    <n v="0"/>
    <n v="0"/>
    <n v="0"/>
    <x v="3"/>
    <x v="1"/>
    <e v="#DIV/0!"/>
    <m/>
  </r>
  <r>
    <x v="0"/>
    <x v="44"/>
    <s v="Bloody Mary Mix 6pk Hgln Rykoff Sexton"/>
    <s v="CS"/>
    <s v="6/CS"/>
    <n v="1"/>
    <n v="25.63"/>
    <n v="8.73"/>
    <x v="2"/>
    <x v="0"/>
    <n v="8.73"/>
    <m/>
  </r>
  <r>
    <x v="0"/>
    <x v="86"/>
    <s v="Rykoff Sexton 100% Red Grapefruit Juice 6pk HGln"/>
    <s v="CS"/>
    <s v="6/CS"/>
    <n v="24"/>
    <n v="672"/>
    <n v="309.44"/>
    <x v="2"/>
    <x v="0"/>
    <n v="12.893333333333333"/>
    <m/>
  </r>
  <r>
    <x v="0"/>
    <x v="151"/>
    <s v="Exberry Valentine Color"/>
    <s v="LB"/>
    <s v="55/Pail"/>
    <n v="193.68"/>
    <n v="193.68"/>
    <n v="2711.52"/>
    <x v="1"/>
    <x v="0"/>
    <n v="14"/>
    <m/>
  </r>
  <r>
    <x v="7"/>
    <x v="80"/>
    <s v="Sams Club MM Reduced Sugar &amp; Fiber Multipack 12pk 10oz"/>
    <s v="CS"/>
    <s v="12/CS"/>
    <n v="49152"/>
    <n v="442368"/>
    <n v="292449.48"/>
    <x v="2"/>
    <x v="0"/>
    <n v="5.9498999023437493"/>
    <m/>
  </r>
  <r>
    <x v="3"/>
    <x v="150"/>
    <s v="6 Hgln Meyer LA Wrap Around V3"/>
    <s v="EA"/>
    <s v="500/PLT"/>
    <n v="4625"/>
    <n v="4625"/>
    <n v="2356.9"/>
    <x v="0"/>
    <x v="1"/>
    <n v="0.50960000000000005"/>
    <m/>
  </r>
  <r>
    <x v="7"/>
    <x v="90"/>
    <s v="Shrink Film Sam's 10oz V3 (in impressions/eaches)"/>
    <s v="EA"/>
    <m/>
    <n v="17941"/>
    <n v="1794.1"/>
    <n v="1756.42"/>
    <x v="0"/>
    <x v="0"/>
    <n v="9.789978262081267E-2"/>
    <m/>
  </r>
  <r>
    <x v="0"/>
    <x v="152"/>
    <s v="70/30 Lime Lemon Juice FZN 123oz"/>
    <s v="EA"/>
    <s v="5,000/RL"/>
    <n v="18600"/>
    <n v="1.86"/>
    <n v="249.24"/>
    <x v="0"/>
    <x v="0"/>
    <n v="1.34E-2"/>
    <m/>
  </r>
  <r>
    <x v="0"/>
    <x v="153"/>
    <s v="Old Fashioned Lemonade Mix V3"/>
    <s v="EA"/>
    <s v="5,000/RL"/>
    <n v="22594"/>
    <n v="2.2599999999999998"/>
    <n v="302.76"/>
    <x v="0"/>
    <x v="0"/>
    <n v="1.3400017703815171E-2"/>
    <m/>
  </r>
  <r>
    <x v="1"/>
    <x v="154"/>
    <s v="Meyer LA 6pk Hgln Rykoff Sexton."/>
    <s v="CS"/>
    <s v="6/CS"/>
    <n v="-1"/>
    <n v="-27.5"/>
    <n v="79.92"/>
    <x v="2"/>
    <x v="0"/>
    <n v="-79.92"/>
    <m/>
  </r>
  <r>
    <x v="7"/>
    <x v="86"/>
    <s v="Rykoff Sexton 100% Red Grapefruit Juice 6pk HGln"/>
    <s v="CS"/>
    <s v="6/CS"/>
    <n v="126"/>
    <n v="3528"/>
    <n v="1624.58"/>
    <x v="2"/>
    <x v="0"/>
    <n v="12.893492063492063"/>
    <m/>
  </r>
  <r>
    <x v="0"/>
    <x v="78"/>
    <s v="SO 100% Valencia Orange Juice HGln 6pk"/>
    <s v="CS"/>
    <s v="6/CS"/>
    <n v="106"/>
    <n v="2968"/>
    <n v="2066.5100000000002"/>
    <x v="2"/>
    <x v="0"/>
    <n v="19.495377358490568"/>
    <m/>
  </r>
  <r>
    <x v="7"/>
    <x v="87"/>
    <s v="CAVA Blueberry Lavender Puree FZN 6pk 30.5oz"/>
    <s v="CS"/>
    <s v="6/CS"/>
    <n v="240"/>
    <n v="3667.2"/>
    <n v="4481.38"/>
    <x v="2"/>
    <x v="0"/>
    <n v="18.672416666666667"/>
    <m/>
  </r>
  <r>
    <x v="3"/>
    <x v="55"/>
    <s v="Citric Acid"/>
    <s v="LB"/>
    <s v="50/BAG"/>
    <n v="3900"/>
    <n v="3900"/>
    <n v="5148"/>
    <x v="1"/>
    <x v="1"/>
    <n v="1.32"/>
    <m/>
  </r>
  <r>
    <x v="12"/>
    <x v="155"/>
    <s v="White Grape Juice Con Drum Brix 68"/>
    <s v="GL"/>
    <m/>
    <n v="50"/>
    <n v="600"/>
    <n v="557"/>
    <x v="1"/>
    <x v="0"/>
    <n v="11.14"/>
    <m/>
  </r>
  <r>
    <x v="12"/>
    <x v="156"/>
    <s v="Apple Juice Internal Drum"/>
    <s v="GL"/>
    <m/>
    <n v="18432"/>
    <n v="161455.1"/>
    <n v="32908.49"/>
    <x v="3"/>
    <x v="0"/>
    <n v="1.7853998480902777"/>
    <m/>
  </r>
  <r>
    <x v="12"/>
    <x v="27"/>
    <s v="Texas Rio Red Grapefruit Juice Drum"/>
    <s v="GL"/>
    <m/>
    <n v="22848"/>
    <n v="203347.20000000001"/>
    <n v="77434.16"/>
    <x v="3"/>
    <x v="0"/>
    <n v="3.3891001400560228"/>
    <m/>
  </r>
  <r>
    <x v="2"/>
    <x v="83"/>
    <s v="Snooze Orange Juice Gln RTS"/>
    <s v="EA"/>
    <s v="5,000/RL"/>
    <n v="2635"/>
    <n v="0.26"/>
    <n v="35.31"/>
    <x v="0"/>
    <x v="1"/>
    <n v="1.3400379506641366E-2"/>
    <m/>
  </r>
  <r>
    <x v="0"/>
    <x v="157"/>
    <s v="Natural Brands Grapefruit Juice Qt 12pk"/>
    <s v="CS"/>
    <s v="12/CS"/>
    <n v="2"/>
    <n v="58"/>
    <n v="59.52"/>
    <x v="2"/>
    <x v="2"/>
    <n v="29.76"/>
    <m/>
  </r>
  <r>
    <x v="1"/>
    <x v="158"/>
    <s v="Natural Brands Orange Juice Gln 4pk"/>
    <s v="CS"/>
    <s v="4/CS"/>
    <n v="-6"/>
    <n v="-228"/>
    <n v="-216"/>
    <x v="2"/>
    <x v="2"/>
    <n v="36"/>
    <m/>
  </r>
  <r>
    <x v="3"/>
    <x v="159"/>
    <s v="SO Limeade 3+1 Fzn HGln V4"/>
    <s v="EA"/>
    <s v="5,000/RL"/>
    <n v="10000"/>
    <n v="1"/>
    <n v="134"/>
    <x v="0"/>
    <x v="1"/>
    <n v="1.34E-2"/>
    <m/>
  </r>
  <r>
    <x v="3"/>
    <x v="160"/>
    <s v="NB Orange Juice REF 12oz 12pk"/>
    <s v="CS"/>
    <s v="12/CS"/>
    <n v="659"/>
    <n v="7367.62"/>
    <n v="5998.15"/>
    <x v="2"/>
    <x v="1"/>
    <n v="9.1018968133535658"/>
    <m/>
  </r>
  <r>
    <x v="0"/>
    <x v="39"/>
    <s v="Aseptic Peach Puree"/>
    <s v="LB"/>
    <m/>
    <n v="476"/>
    <n v="476"/>
    <n v="368.8"/>
    <x v="1"/>
    <x v="0"/>
    <n v="0.77478991596638658"/>
    <m/>
  </r>
  <r>
    <x v="0"/>
    <x v="127"/>
    <s v="Sea Salt"/>
    <s v="LB"/>
    <m/>
    <n v="143.80000000000001"/>
    <n v="143.80000000000001"/>
    <n v="136.63999999999999"/>
    <x v="1"/>
    <x v="0"/>
    <n v="0.95020862308762155"/>
    <m/>
  </r>
  <r>
    <x v="2"/>
    <x v="161"/>
    <s v="LA 3+1 Gln v.3"/>
    <s v="EA"/>
    <s v="5,000/RL"/>
    <n v="9949"/>
    <n v="0.99"/>
    <n v="125.36"/>
    <x v="0"/>
    <x v="1"/>
    <n v="1.2600261332797265E-2"/>
    <m/>
  </r>
  <r>
    <x v="0"/>
    <x v="139"/>
    <s v="White Vinegar, 100 grain distilled"/>
    <s v="LB"/>
    <m/>
    <n v="1612"/>
    <n v="1612"/>
    <n v="812.13"/>
    <x v="1"/>
    <x v="0"/>
    <n v="0.503802729528536"/>
    <m/>
  </r>
  <r>
    <x v="2"/>
    <x v="162"/>
    <s v="Lemon Juice Gln V2"/>
    <s v="EA"/>
    <s v="5,000/RL"/>
    <n v="17554"/>
    <n v="1.76"/>
    <n v="235.22"/>
    <x v="0"/>
    <x v="1"/>
    <n v="1.3399794918537086E-2"/>
    <m/>
  </r>
  <r>
    <x v="12"/>
    <x v="64"/>
    <s v="Lemon Cells"/>
    <s v="LB"/>
    <m/>
    <n v="141576"/>
    <n v="141576"/>
    <n v="86488.78"/>
    <x v="1"/>
    <x v="0"/>
    <n v="0.61090001130135052"/>
    <m/>
  </r>
  <r>
    <x v="12"/>
    <x v="1"/>
    <s v="Lemon Juice Concentrate 400 GPL"/>
    <s v="GL"/>
    <s v="54/Drum"/>
    <n v="6285"/>
    <n v="66181.05"/>
    <n v="85856.87"/>
    <x v="1"/>
    <x v="0"/>
    <n v="13.66059984089101"/>
    <m/>
  </r>
  <r>
    <x v="12"/>
    <x v="89"/>
    <s v="Debittered Navel OJ USA Internal Drum 45GL"/>
    <s v="GL"/>
    <m/>
    <n v="5400"/>
    <n v="48060"/>
    <n v="17939.34"/>
    <x v="3"/>
    <x v="0"/>
    <n v="3.3220999999999998"/>
    <m/>
  </r>
  <r>
    <x v="8"/>
    <x v="160"/>
    <s v="NB Orange Juice REF 12oz 12pk"/>
    <s v="CS"/>
    <s v="12/CS"/>
    <n v="7"/>
    <n v="78.260000000000005"/>
    <n v="66.319999999999993"/>
    <x v="2"/>
    <x v="1"/>
    <n v="9.4742857142857133"/>
    <m/>
  </r>
  <r>
    <x v="3"/>
    <x v="163"/>
    <s v="Balsamic Vinegar, 60 grain"/>
    <s v="LB"/>
    <m/>
    <n v="1212.0999999999999"/>
    <n v="1212.0999999999999"/>
    <n v="3889.63"/>
    <x v="1"/>
    <x v="1"/>
    <n v="3.2090009075158821"/>
    <m/>
  </r>
  <r>
    <x v="4"/>
    <x v="128"/>
    <s v="Sun Orchard Orange Juice Qt 6pk"/>
    <s v="CS"/>
    <s v="6/CS"/>
    <n v="10"/>
    <n v="140"/>
    <n v="98.4"/>
    <x v="2"/>
    <x v="1"/>
    <n v="9.84"/>
    <m/>
  </r>
  <r>
    <x v="12"/>
    <x v="164"/>
    <s v="Key Lime Juice Drum"/>
    <s v="GL"/>
    <m/>
    <n v="9855"/>
    <n v="87709.5"/>
    <n v="40537.56"/>
    <x v="3"/>
    <x v="0"/>
    <n v="4.1134003044140028"/>
    <m/>
  </r>
  <r>
    <x v="1"/>
    <x v="148"/>
    <s v="OJ Mexican Valencia in Totes"/>
    <s v="GL"/>
    <s v="0/Tote"/>
    <n v="0"/>
    <n v="0"/>
    <n v="2.98"/>
    <x v="3"/>
    <x v="0"/>
    <e v="#DIV/0!"/>
    <m/>
  </r>
  <r>
    <x v="12"/>
    <x v="61"/>
    <s v="Concord Grape Concentrate"/>
    <s v="GL"/>
    <m/>
    <n v="1500"/>
    <n v="16695"/>
    <n v="29250"/>
    <x v="1"/>
    <x v="0"/>
    <n v="19.5"/>
    <m/>
  </r>
  <r>
    <x v="3"/>
    <x v="129"/>
    <s v="Panera 5+1 Agave Lemonade with Concentrate FZN 64 oz 6pk"/>
    <s v="CS"/>
    <s v="6/CS"/>
    <n v="2956"/>
    <n v="91195.56"/>
    <n v="46252.24"/>
    <x v="2"/>
    <x v="1"/>
    <n v="15.646901217861975"/>
    <m/>
  </r>
  <r>
    <x v="5"/>
    <x v="165"/>
    <s v="BRN 24pk 10oz Tray"/>
    <s v="EA"/>
    <s v="5,000/PLT"/>
    <n v="81000"/>
    <n v="81000"/>
    <n v="23473.8"/>
    <x v="0"/>
    <x v="0"/>
    <n v="0.2898"/>
    <m/>
  </r>
  <r>
    <x v="5"/>
    <x v="166"/>
    <s v="NB Orange Juice 12oz"/>
    <s v="EA"/>
    <s v="5,000/RL"/>
    <n v="5000"/>
    <n v="0.5"/>
    <n v="68"/>
    <x v="0"/>
    <x v="0"/>
    <n v="1.3599999999999999E-2"/>
    <m/>
  </r>
  <r>
    <x v="6"/>
    <x v="167"/>
    <s v="SOI Lemon Juice FZN Gln 4pk"/>
    <s v="CS"/>
    <s v="4/CS"/>
    <n v="2482"/>
    <n v="85733.24"/>
    <n v="38542.730000000003"/>
    <x v="2"/>
    <x v="0"/>
    <n v="15.528900080580179"/>
    <m/>
  </r>
  <r>
    <x v="0"/>
    <x v="119"/>
    <s v="Drum Liner .003 ML Clear Length 38&quot;W X 72&quot; L"/>
    <s v="EA"/>
    <s v="75/box"/>
    <n v="1124"/>
    <n v="562"/>
    <n v="836.48"/>
    <x v="0"/>
    <x v="0"/>
    <n v="0.74419928825622772"/>
    <m/>
  </r>
  <r>
    <x v="4"/>
    <x v="168"/>
    <s v="4X6 Box Label"/>
    <s v="EA"/>
    <s v="5,800/RL"/>
    <n v="461"/>
    <n v="0.05"/>
    <n v="14.1"/>
    <x v="0"/>
    <x v="1"/>
    <n v="3.0585683297180043E-2"/>
    <m/>
  </r>
  <r>
    <x v="12"/>
    <x v="148"/>
    <s v="OJ Mexican Valencia in Totes"/>
    <s v="GL"/>
    <s v="0/Tote"/>
    <n v="69957.56"/>
    <n v="622622.28"/>
    <n v="406733.25"/>
    <x v="3"/>
    <x v="0"/>
    <n v="5.8139999451095781"/>
    <m/>
  </r>
  <r>
    <x v="12"/>
    <x v="169"/>
    <s v="Valencia Cells"/>
    <s v="LB"/>
    <m/>
    <n v="13135"/>
    <n v="13135"/>
    <n v="8973.83"/>
    <x v="1"/>
    <x v="0"/>
    <n v="0.68319984773505904"/>
    <m/>
  </r>
  <r>
    <x v="1"/>
    <x v="170"/>
    <s v="Banana Flavor RBT"/>
    <s v="LB"/>
    <m/>
    <n v="0"/>
    <n v="0"/>
    <n v="0"/>
    <x v="1"/>
    <x v="0"/>
    <e v="#DIV/0!"/>
    <m/>
  </r>
  <r>
    <x v="1"/>
    <x v="171"/>
    <s v="Natural Lavender Extract WONF Type 2 (23-177-3)"/>
    <s v="LB"/>
    <m/>
    <n v="0"/>
    <n v="0"/>
    <n v="0"/>
    <x v="1"/>
    <x v="0"/>
    <e v="#DIV/0!"/>
    <m/>
  </r>
  <r>
    <x v="12"/>
    <x v="65"/>
    <s v="Molasses"/>
    <s v="LB"/>
    <m/>
    <n v="1416"/>
    <n v="1416"/>
    <n v="1699.2"/>
    <x v="1"/>
    <x v="0"/>
    <n v="1.2"/>
    <m/>
  </r>
  <r>
    <x v="12"/>
    <x v="63"/>
    <s v="Strawberry Flavor 090"/>
    <s v="LB"/>
    <m/>
    <n v="450"/>
    <n v="450"/>
    <n v="6670.08"/>
    <x v="1"/>
    <x v="0"/>
    <n v="14.8224"/>
    <m/>
  </r>
  <r>
    <x v="0"/>
    <x v="150"/>
    <s v="6 Hgln Meyer LA Wrap Around V3"/>
    <s v="EA"/>
    <s v="500/PLT"/>
    <n v="790"/>
    <n v="790"/>
    <n v="473.76"/>
    <x v="0"/>
    <x v="0"/>
    <n v="0.59969620253164557"/>
    <m/>
  </r>
  <r>
    <x v="1"/>
    <x v="77"/>
    <s v="Pasteurized California Mixed Varietal Orange Juice Tanker"/>
    <s v="GL"/>
    <s v="0/Tanker"/>
    <n v="-122"/>
    <n v="-1085.8"/>
    <n v="-341.43"/>
    <x v="3"/>
    <x v="0"/>
    <n v="2.7986065573770493"/>
    <m/>
  </r>
  <r>
    <x v="3"/>
    <x v="136"/>
    <s v="Plastic 55 Gln Drum Empty"/>
    <s v="EA"/>
    <s v="1/DRM"/>
    <n v="646"/>
    <n v="19380"/>
    <n v="18088"/>
    <x v="3"/>
    <x v="1"/>
    <n v="28"/>
    <m/>
  </r>
  <r>
    <x v="0"/>
    <x v="172"/>
    <s v="Snooze Orange Juice Gln 4pk"/>
    <s v="CS"/>
    <s v="4/CS"/>
    <n v="6"/>
    <n v="218.64"/>
    <n v="140.74"/>
    <x v="2"/>
    <x v="0"/>
    <n v="23.456666666666667"/>
    <m/>
  </r>
  <r>
    <x v="3"/>
    <x v="173"/>
    <s v="Strw Puree w/seeds Frozen"/>
    <s v="LB"/>
    <m/>
    <n v="6800"/>
    <n v="6800"/>
    <n v="5916"/>
    <x v="1"/>
    <x v="1"/>
    <n v="0.87"/>
    <m/>
  </r>
  <r>
    <x v="4"/>
    <x v="174"/>
    <s v="LA 4+1 RTB"/>
    <s v="GL"/>
    <m/>
    <n v="4997"/>
    <n v="50469.7"/>
    <n v="22028.28"/>
    <x v="3"/>
    <x v="1"/>
    <n v="4.4083009805883524"/>
    <m/>
  </r>
  <r>
    <x v="0"/>
    <x v="175"/>
    <s v="MM Reduced Sugar &amp; added Fiber Strawberry Banana Smoothie Blend"/>
    <s v="GL"/>
    <m/>
    <n v="120"/>
    <n v="1090.44"/>
    <n v="575.89"/>
    <x v="3"/>
    <x v="0"/>
    <n v="4.7990833333333329"/>
    <m/>
  </r>
  <r>
    <x v="3"/>
    <x v="176"/>
    <s v="SO Mixed Berry Omija 6+1 FZN HGln 6pk"/>
    <s v="CS"/>
    <s v="6/CS"/>
    <n v="45"/>
    <n v="1534.5"/>
    <n v="1261.2"/>
    <x v="2"/>
    <x v="1"/>
    <n v="28.026666666666667"/>
    <m/>
  </r>
  <r>
    <x v="2"/>
    <x v="168"/>
    <s v="4X6 Box Label"/>
    <s v="EA"/>
    <s v="5,800/RL"/>
    <n v="5236"/>
    <n v="0.52"/>
    <n v="160.22999999999999"/>
    <x v="0"/>
    <x v="1"/>
    <n v="3.0601604278074863E-2"/>
    <m/>
  </r>
  <r>
    <x v="3"/>
    <x v="177"/>
    <s v="Orange Juice Qt V2"/>
    <s v="EA"/>
    <s v="5,000/RL"/>
    <n v="20000"/>
    <n v="2"/>
    <n v="610"/>
    <x v="0"/>
    <x v="1"/>
    <n v="3.0499999999999999E-2"/>
    <m/>
  </r>
  <r>
    <x v="0"/>
    <x v="165"/>
    <s v="BRN 24pk 10oz Tray"/>
    <s v="EA"/>
    <s v="5,000/PLT"/>
    <n v="6240"/>
    <n v="6240"/>
    <n v="1808.35"/>
    <x v="0"/>
    <x v="0"/>
    <n v="0.2897996794871795"/>
    <m/>
  </r>
  <r>
    <x v="2"/>
    <x v="143"/>
    <s v="Lime Juice Gln V2"/>
    <s v="EA"/>
    <s v="5,000/RL"/>
    <n v="16595"/>
    <n v="1.66"/>
    <n v="222.37"/>
    <x v="0"/>
    <x v="1"/>
    <n v="1.3399819222657428E-2"/>
    <m/>
  </r>
  <r>
    <x v="3"/>
    <x v="133"/>
    <s v="Grapefruit Juice USA Internal Drum"/>
    <s v="GL"/>
    <m/>
    <n v="7195"/>
    <n v="64035.5"/>
    <n v="25725.71"/>
    <x v="3"/>
    <x v="1"/>
    <n v="3.5754982626824181"/>
    <m/>
  </r>
  <r>
    <x v="0"/>
    <x v="178"/>
    <s v="Lemon Juice Gln FZN Version 3"/>
    <s v="EA"/>
    <s v="5,000/RL"/>
    <n v="22536"/>
    <n v="2.25"/>
    <n v="301.98"/>
    <x v="0"/>
    <x v="0"/>
    <n v="1.339989350372737E-2"/>
    <m/>
  </r>
  <r>
    <x v="3"/>
    <x v="179"/>
    <s v="High-Acid Lemon Juice Blend"/>
    <s v="GL"/>
    <m/>
    <n v="360"/>
    <n v="3204"/>
    <n v="1230.77"/>
    <x v="3"/>
    <x v="1"/>
    <n v="3.4188055555555557"/>
    <m/>
  </r>
  <r>
    <x v="12"/>
    <x v="180"/>
    <s v="NFC Orange California Top Note Internal Drum"/>
    <s v="GL"/>
    <m/>
    <n v="2352"/>
    <n v="20932.8"/>
    <n v="6866.66"/>
    <x v="3"/>
    <x v="0"/>
    <n v="2.919498299319728"/>
    <m/>
  </r>
  <r>
    <x v="0"/>
    <x v="94"/>
    <s v="Tote Liner Cassette 275G &amp; Shroud"/>
    <s v="EA"/>
    <s v="24/box"/>
    <n v="40"/>
    <n v="20"/>
    <n v="1991.6"/>
    <x v="0"/>
    <x v="0"/>
    <n v="49.79"/>
    <m/>
  </r>
  <r>
    <x v="3"/>
    <x v="91"/>
    <s v="OJ USA Juice Internal Drum 45GL"/>
    <s v="GL"/>
    <m/>
    <n v="97919"/>
    <n v="871479.1"/>
    <n v="473634.2"/>
    <x v="3"/>
    <x v="1"/>
    <n v="4.8369999693624326"/>
    <m/>
  </r>
  <r>
    <x v="6"/>
    <x v="122"/>
    <s v="55 Gln Plastic Drum Filled"/>
    <s v="EA"/>
    <s v="1/DRM"/>
    <n v="517"/>
    <n v="22748"/>
    <n v="14476"/>
    <x v="3"/>
    <x v="0"/>
    <n v="28"/>
    <m/>
  </r>
  <r>
    <x v="2"/>
    <x v="58"/>
    <s v="Lemon Juice Qt FZN"/>
    <s v="EA"/>
    <s v="5,000/RL"/>
    <n v="19933"/>
    <n v="1.99"/>
    <n v="243.18"/>
    <x v="0"/>
    <x v="1"/>
    <n v="1.2199869563036172E-2"/>
    <m/>
  </r>
  <r>
    <x v="6"/>
    <x v="33"/>
    <s v="SOI 3+1 Sweet Strw LA FZN 9pk HGln 61.5oz"/>
    <s v="CS"/>
    <s v="9/CS"/>
    <n v="678"/>
    <n v="29859.119999999999"/>
    <n v="17237.07"/>
    <x v="2"/>
    <x v="0"/>
    <n v="25.423407079646019"/>
    <m/>
  </r>
  <r>
    <x v="1"/>
    <x v="76"/>
    <s v="Lemon Juice-Spanish Aseptic Bins in gals"/>
    <s v="GL"/>
    <s v="0/Tote"/>
    <n v="-1062.05"/>
    <n v="-9452.33"/>
    <n v="-3684.89"/>
    <x v="3"/>
    <x v="0"/>
    <n v="3.469601242879337"/>
    <m/>
  </r>
  <r>
    <x v="1"/>
    <x v="18"/>
    <s v="Inulin"/>
    <s v="LB"/>
    <m/>
    <n v="0"/>
    <n v="0"/>
    <n v="0"/>
    <x v="1"/>
    <x v="0"/>
    <e v="#DIV/0!"/>
    <m/>
  </r>
  <r>
    <x v="1"/>
    <x v="93"/>
    <s v="Lime Juice Tote in Gallons Mexico"/>
    <s v="GL"/>
    <m/>
    <n v="51"/>
    <n v="453.9"/>
    <n v="179.43"/>
    <x v="3"/>
    <x v="0"/>
    <n v="3.5182352941176473"/>
    <m/>
  </r>
  <r>
    <x v="3"/>
    <x v="181"/>
    <s v="Tomato Paste 37% NTSS .33 Screen"/>
    <s v="LB"/>
    <m/>
    <n v="8210"/>
    <n v="8210"/>
    <n v="7812.64"/>
    <x v="1"/>
    <x v="1"/>
    <n v="0.95160048721071866"/>
    <m/>
  </r>
  <r>
    <x v="0"/>
    <x v="168"/>
    <s v="4X6 Box Label"/>
    <s v="EA"/>
    <s v="5,800/RL"/>
    <n v="21807"/>
    <n v="2.1800000000000002"/>
    <n v="638.95000000000005"/>
    <x v="0"/>
    <x v="0"/>
    <n v="2.9300224698491313E-2"/>
    <m/>
  </r>
  <r>
    <x v="3"/>
    <x v="117"/>
    <s v="Enzyme Processing Aid"/>
    <s v="LB"/>
    <m/>
    <n v="55"/>
    <n v="55"/>
    <n v="384.93"/>
    <x v="1"/>
    <x v="1"/>
    <n v="6.9987272727272725"/>
    <m/>
  </r>
  <r>
    <x v="2"/>
    <x v="133"/>
    <s v="Grapefruit Juice USA Internal Drum"/>
    <s v="GL"/>
    <m/>
    <n v="60"/>
    <n v="534"/>
    <n v="212.48"/>
    <x v="3"/>
    <x v="1"/>
    <n v="3.5413333333333332"/>
    <m/>
  </r>
  <r>
    <x v="7"/>
    <x v="172"/>
    <s v="Snooze Orange Juice Gln 4pk"/>
    <s v="CS"/>
    <s v="4/CS"/>
    <n v="271"/>
    <n v="9875.24"/>
    <n v="6682.71"/>
    <x v="2"/>
    <x v="0"/>
    <n v="24.659446494464945"/>
    <m/>
  </r>
  <r>
    <x v="0"/>
    <x v="134"/>
    <s v="Coconut Water 4 Brix Aseptic Tote"/>
    <s v="LB"/>
    <s v="2,200/Tote"/>
    <n v="2204"/>
    <n v="2204"/>
    <n v="1020.22"/>
    <x v="1"/>
    <x v="0"/>
    <n v="0.4628947368421053"/>
    <m/>
  </r>
  <r>
    <x v="9"/>
    <x v="158"/>
    <s v="Natural Brands Orange Juice Gln 4pk"/>
    <s v="CS"/>
    <s v="4/CS"/>
    <n v="119"/>
    <n v="4522"/>
    <n v="4284"/>
    <x v="2"/>
    <x v="2"/>
    <n v="36"/>
    <m/>
  </r>
  <r>
    <x v="2"/>
    <x v="155"/>
    <s v="White Grape Juice Con Drum Brix 68"/>
    <s v="GL"/>
    <m/>
    <n v="1800"/>
    <n v="21600"/>
    <n v="21599.279999999999"/>
    <x v="1"/>
    <x v="1"/>
    <n v="11.999599999999999"/>
    <m/>
  </r>
  <r>
    <x v="12"/>
    <x v="182"/>
    <s v="Coconut Water 4 Brix Aseptic"/>
    <s v="LB"/>
    <m/>
    <n v="179632.39"/>
    <n v="179632.38"/>
    <n v="77223.960000000006"/>
    <x v="1"/>
    <x v="0"/>
    <n v="0.42989997516594863"/>
    <m/>
  </r>
  <r>
    <x v="3"/>
    <x v="118"/>
    <s v="Horseradish"/>
    <s v="LB"/>
    <m/>
    <n v="30"/>
    <n v="30"/>
    <n v="27.3"/>
    <x v="1"/>
    <x v="1"/>
    <n v="0.91"/>
    <m/>
  </r>
  <r>
    <x v="3"/>
    <x v="183"/>
    <s v="Oil Drum"/>
    <s v="EA"/>
    <s v="1/DRM"/>
    <n v="179"/>
    <n v="7876"/>
    <n v="11020.89"/>
    <x v="3"/>
    <x v="1"/>
    <n v="61.569217877094971"/>
    <m/>
  </r>
  <r>
    <x v="12"/>
    <x v="76"/>
    <s v="Lemon Juice-Spanish Aseptic Bins in gals"/>
    <s v="GL"/>
    <s v="0/Tote"/>
    <n v="325198.73"/>
    <n v="2894268.96"/>
    <n v="1128179.49"/>
    <x v="3"/>
    <x v="0"/>
    <n v="3.4692001718456895"/>
    <m/>
  </r>
  <r>
    <x v="3"/>
    <x v="132"/>
    <s v="Creative Bev Sweet Lemon Juice Hgln Fzn"/>
    <s v="EA"/>
    <s v="5,000/RL"/>
    <n v="10000"/>
    <n v="1"/>
    <n v="132"/>
    <x v="0"/>
    <x v="1"/>
    <n v="1.32E-2"/>
    <m/>
  </r>
  <r>
    <x v="3"/>
    <x v="107"/>
    <s v="Meyer Lemon Juice Internal Drum"/>
    <s v="GL"/>
    <s v="45/DR"/>
    <n v="50129"/>
    <n v="446148.1"/>
    <n v="202796.87"/>
    <x v="3"/>
    <x v="1"/>
    <n v="4.0455000099742664"/>
    <m/>
  </r>
  <r>
    <x v="0"/>
    <x v="170"/>
    <s v="Banana Flavor RBT"/>
    <s v="LB"/>
    <m/>
    <n v="376.1"/>
    <n v="376.1"/>
    <n v="4738.6499999999996"/>
    <x v="1"/>
    <x v="0"/>
    <n v="12.599441637862268"/>
    <m/>
  </r>
  <r>
    <x v="3"/>
    <x v="184"/>
    <s v="Peach Honey Chamomile Tea 6pk/64oz Nutrition V2"/>
    <s v="EA"/>
    <s v="5,000/RL"/>
    <n v="30000"/>
    <n v="3"/>
    <n v="354"/>
    <x v="0"/>
    <x v="1"/>
    <n v="1.18E-2"/>
    <m/>
  </r>
  <r>
    <x v="2"/>
    <x v="99"/>
    <s v="LA 4+1 Gln v3"/>
    <s v="EA"/>
    <s v="5,000/RL"/>
    <n v="9025"/>
    <n v="0.9"/>
    <n v="120.94"/>
    <x v="0"/>
    <x v="1"/>
    <n v="1.3400554016620499E-2"/>
    <m/>
  </r>
  <r>
    <x v="10"/>
    <x v="158"/>
    <s v="Natural Brands Orange Juice Gln 4pk"/>
    <s v="CS"/>
    <s v="4/CS"/>
    <n v="230"/>
    <n v="8740"/>
    <n v="8280"/>
    <x v="2"/>
    <x v="2"/>
    <n v="36"/>
    <m/>
  </r>
  <r>
    <x v="2"/>
    <x v="119"/>
    <s v="Drum Liner .003 ML Clear Length 38&quot;W X 72&quot; L"/>
    <s v="EA"/>
    <s v="75/box"/>
    <n v="1500"/>
    <n v="750"/>
    <n v="1348.35"/>
    <x v="0"/>
    <x v="1"/>
    <n v="0.89889999999999992"/>
    <m/>
  </r>
  <r>
    <x v="0"/>
    <x v="185"/>
    <s v="Black Tea Extract with Omija Flavor 150 Fold"/>
    <s v="LB"/>
    <m/>
    <n v="720"/>
    <n v="720"/>
    <n v="8784"/>
    <x v="1"/>
    <x v="0"/>
    <n v="12.2"/>
    <m/>
  </r>
  <r>
    <x v="3"/>
    <x v="56"/>
    <s v="Stevia"/>
    <s v="LB"/>
    <m/>
    <n v="44"/>
    <n v="44"/>
    <n v="1850.2"/>
    <x v="1"/>
    <x v="1"/>
    <n v="42.050000000000004"/>
    <m/>
  </r>
  <r>
    <x v="3"/>
    <x v="186"/>
    <s v="Pectin Type YM-115-L"/>
    <s v="LB"/>
    <s v="55/BAG"/>
    <n v="330.8"/>
    <n v="330.8"/>
    <n v="6308.95"/>
    <x v="1"/>
    <x v="1"/>
    <n v="19.071795646916566"/>
    <m/>
  </r>
  <r>
    <x v="0"/>
    <x v="177"/>
    <s v="Orange Juice Qt V2"/>
    <s v="EA"/>
    <s v="5,000/RL"/>
    <n v="22034"/>
    <n v="2.2000000000000002"/>
    <n v="672.04"/>
    <x v="0"/>
    <x v="0"/>
    <n v="3.0500136153217752E-2"/>
    <m/>
  </r>
  <r>
    <x v="3"/>
    <x v="81"/>
    <s v="4X6 RFID Box Label"/>
    <s v="EA"/>
    <s v="5,800/RL"/>
    <n v="92800"/>
    <n v="9.2799999999999994"/>
    <n v="15636.8"/>
    <x v="0"/>
    <x v="1"/>
    <n v="0.16849999999999998"/>
    <m/>
  </r>
  <r>
    <x v="1"/>
    <x v="172"/>
    <s v="Snooze Orange Juice Gln 4pk"/>
    <s v="CS"/>
    <s v="4/CS"/>
    <n v="-2"/>
    <n v="-72.88"/>
    <n v="-69.52"/>
    <x v="2"/>
    <x v="0"/>
    <n v="34.76"/>
    <m/>
  </r>
  <r>
    <x v="11"/>
    <x v="158"/>
    <s v="Natural Brands Orange Juice Gln 4pk"/>
    <s v="CS"/>
    <s v="4/CS"/>
    <n v="290"/>
    <n v="11020"/>
    <n v="10439.969999999999"/>
    <x v="2"/>
    <x v="2"/>
    <n v="35.999896551724134"/>
    <m/>
  </r>
  <r>
    <x v="6"/>
    <x v="187"/>
    <s v="Panera Mango Fruit Base No Refined Sugar Added FZN"/>
    <s v="CS"/>
    <s v="6/CS"/>
    <n v="5294"/>
    <n v="151826.63"/>
    <n v="85224.4"/>
    <x v="2"/>
    <x v="0"/>
    <n v="16.098299962221382"/>
    <m/>
  </r>
  <r>
    <x v="12"/>
    <x v="188"/>
    <s v="Lemon Juice-Mexican Aseptic Bins in GL"/>
    <s v="GL"/>
    <s v="0/Tote"/>
    <n v="35000"/>
    <n v="311500"/>
    <n v="122213"/>
    <x v="3"/>
    <x v="0"/>
    <n v="3.4918"/>
    <m/>
  </r>
  <r>
    <x v="0"/>
    <x v="189"/>
    <s v="Lime Juice Tanker Brazil"/>
    <s v="GL"/>
    <m/>
    <n v="433"/>
    <n v="3853.7"/>
    <n v="1255.7"/>
    <x v="3"/>
    <x v="0"/>
    <n v="2.9"/>
    <m/>
  </r>
  <r>
    <x v="3"/>
    <x v="190"/>
    <s v="Meyer Lemon Juice Internal WIP"/>
    <s v="GL"/>
    <m/>
    <n v="4815"/>
    <n v="42853.5"/>
    <n v="23816.92"/>
    <x v="3"/>
    <x v="1"/>
    <n v="4.9464008307372787"/>
    <m/>
  </r>
  <r>
    <x v="12"/>
    <x v="191"/>
    <s v="Lemon Juice-Argentinean Aseptic Bins in GL"/>
    <s v="GL"/>
    <s v="0/Tote"/>
    <n v="19025.02"/>
    <n v="169322.68"/>
    <n v="60689.81"/>
    <x v="3"/>
    <x v="0"/>
    <n v="3.1899998002630219"/>
    <m/>
  </r>
  <r>
    <x v="2"/>
    <x v="94"/>
    <s v="Tote Liner Cassette 275G &amp; Shroud"/>
    <s v="EA"/>
    <s v="24/box"/>
    <n v="41"/>
    <n v="20.5"/>
    <n v="2125.42"/>
    <x v="0"/>
    <x v="1"/>
    <n v="51.839512195121955"/>
    <m/>
  </r>
  <r>
    <x v="0"/>
    <x v="192"/>
    <s v="Strw Puree w/seeds Chilled Aseptic"/>
    <s v="LB"/>
    <m/>
    <n v="882.76"/>
    <n v="882.76"/>
    <n v="507.68"/>
    <x v="1"/>
    <x v="0"/>
    <n v="0.57510535139788843"/>
    <m/>
  </r>
  <r>
    <x v="0"/>
    <x v="18"/>
    <s v="Inulin"/>
    <s v="LB"/>
    <m/>
    <n v="86.2"/>
    <n v="86.2"/>
    <n v="156.87"/>
    <x v="1"/>
    <x v="0"/>
    <n v="1.8198375870069605"/>
    <m/>
  </r>
  <r>
    <x v="6"/>
    <x v="193"/>
    <s v="SO Agave Margarita Mix FZN 6pk 61.5"/>
    <s v="CS"/>
    <s v="6/CS"/>
    <n v="648"/>
    <n v="16848"/>
    <n v="6373.66"/>
    <x v="2"/>
    <x v="0"/>
    <n v="9.8358950617283956"/>
    <m/>
  </r>
  <r>
    <x v="0"/>
    <x v="171"/>
    <s v="Natural Lavender Extract WONF Type 2 (23-177-3)"/>
    <s v="LB"/>
    <m/>
    <n v="2131.3000000000002"/>
    <n v="2131.3000000000002"/>
    <n v="21035.93"/>
    <x v="1"/>
    <x v="0"/>
    <n v="9.8699995308027955"/>
    <m/>
  </r>
  <r>
    <x v="0"/>
    <x v="112"/>
    <s v="Rasp Juice Concentrate 65 Brix"/>
    <s v="GL"/>
    <m/>
    <n v="5"/>
    <n v="54.89"/>
    <n v="445.03"/>
    <x v="1"/>
    <x v="0"/>
    <n v="89.006"/>
    <m/>
  </r>
  <r>
    <x v="6"/>
    <x v="194"/>
    <s v="SOI 100% Lime Juice HGln 6pk FZN"/>
    <s v="CS"/>
    <s v="6/CS"/>
    <n v="819"/>
    <n v="22358.7"/>
    <n v="8380.83"/>
    <x v="2"/>
    <x v="0"/>
    <n v="10.233003663003663"/>
    <m/>
  </r>
  <r>
    <x v="3"/>
    <x v="195"/>
    <s v="WHT 6 HGln RSC"/>
    <s v="EA"/>
    <s v="500/PLT"/>
    <n v="856"/>
    <n v="856"/>
    <n v="717.76"/>
    <x v="0"/>
    <x v="1"/>
    <n v="0.83850467289719621"/>
    <m/>
  </r>
  <r>
    <x v="3"/>
    <x v="196"/>
    <s v="SOI Orange Juice NP Gln 4pk"/>
    <s v="CS"/>
    <s v="4/CS"/>
    <n v="796"/>
    <n v="28974.400000000001"/>
    <n v="19308.490000000002"/>
    <x v="2"/>
    <x v="1"/>
    <n v="24.256896984924627"/>
    <m/>
  </r>
  <r>
    <x v="2"/>
    <x v="164"/>
    <s v="Key Lime Juice Drum"/>
    <s v="GL"/>
    <m/>
    <n v="1575"/>
    <n v="14017.5"/>
    <n v="4533.79"/>
    <x v="3"/>
    <x v="1"/>
    <n v="2.8785968253968255"/>
    <m/>
  </r>
  <r>
    <x v="1"/>
    <x v="142"/>
    <s v="Starbucks Lemonade 2X 50.7oz 6pk"/>
    <s v="CS"/>
    <s v="6/CS"/>
    <n v="-3"/>
    <n v="-65.819999999999993"/>
    <n v="-34.36"/>
    <x v="2"/>
    <x v="0"/>
    <n v="11.453333333333333"/>
    <m/>
  </r>
  <r>
    <x v="1"/>
    <x v="134"/>
    <s v="Coconut Water 4 Brix Aseptic Tote"/>
    <s v="LB"/>
    <s v="2,200/Tote"/>
    <n v="-0.04"/>
    <n v="0"/>
    <n v="-2.7"/>
    <x v="1"/>
    <x v="0"/>
    <n v="67.5"/>
    <m/>
  </r>
  <r>
    <x v="2"/>
    <x v="197"/>
    <s v="NP Orange Juice 61.5oz FZN v1"/>
    <s v="EA"/>
    <s v="5,000/RL"/>
    <n v="8015"/>
    <n v="0.8"/>
    <n v="106.6"/>
    <x v="0"/>
    <x v="1"/>
    <n v="1.3300062383031814E-2"/>
    <m/>
  </r>
  <r>
    <x v="2"/>
    <x v="177"/>
    <s v="Orange Juice Qt V2"/>
    <s v="EA"/>
    <s v="5,000/RL"/>
    <n v="3989"/>
    <n v="0.4"/>
    <n v="121.66"/>
    <x v="0"/>
    <x v="1"/>
    <n v="3.0498871897718726E-2"/>
    <m/>
  </r>
  <r>
    <x v="0"/>
    <x v="198"/>
    <s v="Lemon Juice 61.5oz FZN"/>
    <s v="EA"/>
    <s v="5,000/RL"/>
    <n v="49760"/>
    <n v="4.9800000000000004"/>
    <n v="607.07000000000005"/>
    <x v="0"/>
    <x v="0"/>
    <n v="1.2199959807073956E-2"/>
    <m/>
  </r>
  <r>
    <x v="0"/>
    <x v="199"/>
    <s v="Treat Lemon Oil Meyer Type 17684"/>
    <s v="LB"/>
    <m/>
    <n v="9.56"/>
    <n v="9.56"/>
    <n v="401.45"/>
    <x v="1"/>
    <x v="0"/>
    <n v="41.99267782426778"/>
    <m/>
  </r>
  <r>
    <x v="1"/>
    <x v="175"/>
    <s v="MM Reduced Sugar &amp; added Fiber Strawberry Banana Smoothie Blend"/>
    <s v="GL"/>
    <m/>
    <n v="35"/>
    <n v="318.05"/>
    <n v="169.81"/>
    <x v="3"/>
    <x v="0"/>
    <n v="4.8517142857142854"/>
    <m/>
  </r>
  <r>
    <x v="3"/>
    <x v="66"/>
    <s v="Apple Puree .033 screen"/>
    <s v="LB"/>
    <m/>
    <n v="7871"/>
    <n v="7871"/>
    <n v="3075.2"/>
    <x v="1"/>
    <x v="1"/>
    <n v="0.39070003811459786"/>
    <m/>
  </r>
  <r>
    <x v="0"/>
    <x v="200"/>
    <s v="NFC Orange Mexican Top Note in Drums"/>
    <s v="GL"/>
    <s v="46/DR"/>
    <n v="55260"/>
    <n v="491814"/>
    <n v="260887.99"/>
    <x v="3"/>
    <x v="0"/>
    <n v="4.7211000723850889"/>
    <m/>
  </r>
  <r>
    <x v="3"/>
    <x v="160"/>
    <s v="NB Orange Juice REF 12oz 12pk"/>
    <s v="EA"/>
    <s v="1/EA"/>
    <n v="-1"/>
    <n v="-0.82"/>
    <n v="-0.76"/>
    <x v="2"/>
    <x v="1"/>
    <n v="0.76"/>
    <m/>
  </r>
  <r>
    <x v="0"/>
    <x v="129"/>
    <s v="Panera 5+1 Agave Lemonade with Concentrate FZN 64 oz 6pk"/>
    <s v="CS"/>
    <s v="6/CS"/>
    <n v="2896"/>
    <n v="89344.5"/>
    <n v="46008.46"/>
    <x v="2"/>
    <x v="0"/>
    <n v="15.886899171270718"/>
    <m/>
  </r>
  <r>
    <x v="0"/>
    <x v="159"/>
    <s v="SO Limeade 3+1 Fzn HGln V4"/>
    <s v="EA"/>
    <s v="5,000/RL"/>
    <n v="16800"/>
    <n v="1.68"/>
    <n v="225.12"/>
    <x v="0"/>
    <x v="0"/>
    <n v="1.34E-2"/>
    <m/>
  </r>
  <r>
    <x v="6"/>
    <x v="137"/>
    <s v="SOI Marg Mix Cond 3+1 FZN HGln 9pk"/>
    <s v="CS"/>
    <s v="9/CS"/>
    <n v="2472"/>
    <n v="125577.60000000001"/>
    <n v="72087.240000000005"/>
    <x v="2"/>
    <x v="0"/>
    <n v="29.161504854368935"/>
    <m/>
  </r>
  <r>
    <x v="2"/>
    <x v="109"/>
    <s v="Evaporated Cane Juice Tote"/>
    <s v="LB"/>
    <s v="2,200/Tote"/>
    <n v="1828"/>
    <n v="1828"/>
    <n v="1224.76"/>
    <x v="1"/>
    <x v="1"/>
    <n v="0.67"/>
    <m/>
  </r>
  <r>
    <x v="2"/>
    <x v="201"/>
    <s v="Valencia Cells - California"/>
    <s v="LB"/>
    <m/>
    <n v="375"/>
    <n v="375"/>
    <n v="301.08999999999997"/>
    <x v="1"/>
    <x v="1"/>
    <n v="0.80290666666666655"/>
    <m/>
  </r>
  <r>
    <x v="0"/>
    <x v="202"/>
    <s v="Bottled MM Green Smoothie Blend 10oz"/>
    <s v="EA"/>
    <s v="1/EA"/>
    <n v="42677"/>
    <n v="29873.9"/>
    <n v="20506.28"/>
    <x v="3"/>
    <x v="0"/>
    <n v="0.48049956651123554"/>
    <m/>
  </r>
  <r>
    <x v="2"/>
    <x v="159"/>
    <s v="SO Limeade 3+1 Fzn HGln V4"/>
    <s v="EA"/>
    <s v="5,000/RL"/>
    <n v="21203"/>
    <n v="2.12"/>
    <n v="284.12"/>
    <x v="0"/>
    <x v="1"/>
    <n v="1.3399990567372542E-2"/>
    <m/>
  </r>
  <r>
    <x v="2"/>
    <x v="203"/>
    <s v="Defoamer"/>
    <s v="LB"/>
    <m/>
    <n v="39.78"/>
    <n v="39.78"/>
    <n v="172.72"/>
    <x v="1"/>
    <x v="1"/>
    <n v="4.3418803418803416"/>
    <m/>
  </r>
  <r>
    <x v="0"/>
    <x v="109"/>
    <s v="Evaporated Cane Juice Tote"/>
    <s v="LB"/>
    <s v="2,200/Tote"/>
    <n v="48400"/>
    <n v="48400"/>
    <n v="32408.639999999999"/>
    <x v="1"/>
    <x v="0"/>
    <n v="0.66959999999999997"/>
    <m/>
  </r>
  <r>
    <x v="3"/>
    <x v="204"/>
    <s v="Aseptic Mango Puree 16 Brix"/>
    <s v="LB"/>
    <m/>
    <n v="25791"/>
    <n v="25791"/>
    <n v="11923.18"/>
    <x v="1"/>
    <x v="1"/>
    <n v="0.46230002714125085"/>
    <m/>
  </r>
  <r>
    <x v="6"/>
    <x v="176"/>
    <s v="SO Mixed Berry Omija 6+1 FZN HGln 6pk"/>
    <s v="CS"/>
    <s v="6/CS"/>
    <n v="237"/>
    <n v="8081.7"/>
    <n v="5474.53"/>
    <x v="2"/>
    <x v="0"/>
    <n v="23.099282700421941"/>
    <m/>
  </r>
  <r>
    <x v="12"/>
    <x v="192"/>
    <s v="Strw Puree w/seeds Chilled Aseptic"/>
    <s v="LB"/>
    <m/>
    <n v="390573.28"/>
    <n v="390573.28"/>
    <n v="224618.69"/>
    <x v="1"/>
    <x v="0"/>
    <n v="0.57509999147919177"/>
    <m/>
  </r>
  <r>
    <x v="1"/>
    <x v="202"/>
    <s v="Bottled MM Green Smoothie Blend 10oz"/>
    <s v="EA"/>
    <s v="1/EA"/>
    <n v="0"/>
    <n v="0"/>
    <n v="465.68"/>
    <x v="3"/>
    <x v="0"/>
    <e v="#DIV/0!"/>
    <m/>
  </r>
  <r>
    <x v="6"/>
    <x v="205"/>
    <s v="Premium Lime Lemon FZN 4pk 123oz"/>
    <s v="CS"/>
    <s v="4/CS"/>
    <n v="286"/>
    <n v="9846.98"/>
    <n v="4219.53"/>
    <x v="2"/>
    <x v="0"/>
    <n v="14.753601398601397"/>
    <m/>
  </r>
  <r>
    <x v="3"/>
    <x v="168"/>
    <s v="4X6 Box Label"/>
    <s v="EA"/>
    <s v="5,800/RL"/>
    <n v="92800"/>
    <n v="9.2799999999999994"/>
    <n v="2839.68"/>
    <x v="0"/>
    <x v="1"/>
    <n v="3.0599999999999999E-2"/>
    <m/>
  </r>
  <r>
    <x v="7"/>
    <x v="202"/>
    <s v="Bottled MM Green Smoothie Blend 10oz"/>
    <s v="EA"/>
    <s v="1/EA"/>
    <n v="11244"/>
    <n v="7870.8"/>
    <n v="5400.49"/>
    <x v="3"/>
    <x v="0"/>
    <n v="0.48029971540377087"/>
    <m/>
  </r>
  <r>
    <x v="0"/>
    <x v="166"/>
    <s v="NB Orange Juice 12oz"/>
    <s v="EA"/>
    <s v="5,000/RL"/>
    <n v="66662"/>
    <n v="6.67"/>
    <n v="906.6"/>
    <x v="0"/>
    <x v="0"/>
    <n v="1.3599951996639765E-2"/>
    <m/>
  </r>
  <r>
    <x v="6"/>
    <x v="206"/>
    <s v="SOI Sweet &amp; Sour Mix 3+1 FZN Hgln 6pk"/>
    <s v="CS"/>
    <s v="6/CS"/>
    <n v="972"/>
    <n v="32445.360000000001"/>
    <n v="17895.490000000002"/>
    <x v="2"/>
    <x v="0"/>
    <n v="18.410997942386832"/>
    <m/>
  </r>
  <r>
    <x v="8"/>
    <x v="192"/>
    <s v="Strw Puree w/seeds Chilled Aseptic"/>
    <s v="LB"/>
    <m/>
    <n v="0"/>
    <n v="0"/>
    <n v="725.36"/>
    <x v="1"/>
    <x v="1"/>
    <e v="#DIV/0!"/>
    <m/>
  </r>
  <r>
    <x v="3"/>
    <x v="178"/>
    <s v="Lemon Juice Gln FZN Version 3"/>
    <s v="EA"/>
    <s v="5,000/RL"/>
    <n v="30000"/>
    <n v="3"/>
    <n v="402"/>
    <x v="0"/>
    <x v="1"/>
    <n v="1.34E-2"/>
    <m/>
  </r>
  <r>
    <x v="3"/>
    <x v="172"/>
    <s v="Snooze Orange Juice Gln 4pk"/>
    <s v="CS"/>
    <s v="4/CS"/>
    <n v="289"/>
    <n v="10531.16"/>
    <n v="6944.87"/>
    <x v="2"/>
    <x v="1"/>
    <n v="24.030692041522492"/>
    <m/>
  </r>
  <r>
    <x v="7"/>
    <x v="160"/>
    <s v="NB Orange Juice REF 12oz 12pk"/>
    <s v="EA"/>
    <s v="1/EA"/>
    <n v="-3"/>
    <n v="-2.4500000000000002"/>
    <n v="-2.37"/>
    <x v="2"/>
    <x v="0"/>
    <n v="0.79"/>
    <m/>
  </r>
  <r>
    <x v="3"/>
    <x v="164"/>
    <s v="Key Lime Juice Drum"/>
    <s v="GL"/>
    <m/>
    <n v="10440"/>
    <n v="92916"/>
    <n v="30032.75"/>
    <x v="3"/>
    <x v="1"/>
    <n v="2.8767001915708814"/>
    <m/>
  </r>
  <r>
    <x v="0"/>
    <x v="110"/>
    <s v="Chili Pepper Puree"/>
    <s v="LB"/>
    <m/>
    <n v="24"/>
    <n v="24"/>
    <n v="131.74"/>
    <x v="1"/>
    <x v="0"/>
    <n v="5.4891666666666667"/>
    <m/>
  </r>
  <r>
    <x v="1"/>
    <x v="189"/>
    <s v="Lime Juice Tanker Brazil"/>
    <s v="GL"/>
    <m/>
    <n v="-121"/>
    <n v="-1076.9000000000001"/>
    <n v="-350.9"/>
    <x v="3"/>
    <x v="0"/>
    <n v="2.9"/>
    <m/>
  </r>
  <r>
    <x v="6"/>
    <x v="131"/>
    <s v="GOSH Ent. LA Cond FZN 4+1 Gln 4pk"/>
    <s v="CS"/>
    <s v="4/CS"/>
    <n v="6147"/>
    <n v="273000.56"/>
    <n v="145338.43"/>
    <x v="2"/>
    <x v="0"/>
    <n v="23.643798600943548"/>
    <m/>
  </r>
  <r>
    <x v="0"/>
    <x v="58"/>
    <s v="Lemon Juice Qt FZN"/>
    <s v="EA"/>
    <s v="5,000/RL"/>
    <n v="73929"/>
    <n v="7.39"/>
    <n v="975.86"/>
    <x v="0"/>
    <x v="0"/>
    <n v="1.3199962125823425E-2"/>
    <m/>
  </r>
  <r>
    <x v="3"/>
    <x v="207"/>
    <s v="Black Pepper, 22 mesh grind"/>
    <s v="LB"/>
    <m/>
    <n v="100"/>
    <n v="100"/>
    <n v="508"/>
    <x v="1"/>
    <x v="1"/>
    <n v="5.08"/>
    <m/>
  </r>
  <r>
    <x v="1"/>
    <x v="156"/>
    <s v="Apple Juice Internal Drum"/>
    <s v="GL"/>
    <m/>
    <n v="42"/>
    <n v="367.9"/>
    <n v="75.7"/>
    <x v="3"/>
    <x v="0"/>
    <n v="1.8023809523809524"/>
    <m/>
  </r>
  <r>
    <x v="2"/>
    <x v="184"/>
    <s v="Peach Honey Chamomile Tea 6pk/64oz Nutrition V2"/>
    <s v="EA"/>
    <s v="5,000/RL"/>
    <n v="5643"/>
    <n v="0.56000000000000005"/>
    <n v="66.59"/>
    <x v="0"/>
    <x v="1"/>
    <n v="1.1800460747829169E-2"/>
    <m/>
  </r>
  <r>
    <x v="0"/>
    <x v="158"/>
    <s v="Natural Brands Orange Juice Gln 4pk"/>
    <s v="CS"/>
    <s v="4/CS"/>
    <n v="6"/>
    <n v="228"/>
    <n v="216"/>
    <x v="2"/>
    <x v="2"/>
    <n v="36"/>
    <m/>
  </r>
  <r>
    <x v="2"/>
    <x v="199"/>
    <s v="Treat Lemon Oil Meyer Type 17684"/>
    <s v="LB"/>
    <m/>
    <n v="20.5"/>
    <n v="20.5"/>
    <n v="869.2"/>
    <x v="1"/>
    <x v="1"/>
    <n v="42.400000000000006"/>
    <m/>
  </r>
  <r>
    <x v="6"/>
    <x v="53"/>
    <s v="SOI Grapefruit Juice 30.5oz 6pk FZN"/>
    <s v="CS"/>
    <s v="6/CS"/>
    <n v="132"/>
    <n v="1747.68"/>
    <n v="889.55"/>
    <x v="2"/>
    <x v="0"/>
    <n v="6.7390151515151508"/>
    <m/>
  </r>
  <r>
    <x v="9"/>
    <x v="157"/>
    <s v="Natural Brands Grapefruit Juice Qt 12pk"/>
    <s v="CS"/>
    <s v="12/CS"/>
    <n v="62"/>
    <n v="1798"/>
    <n v="1845.12"/>
    <x v="2"/>
    <x v="2"/>
    <n v="29.759999999999998"/>
    <m/>
  </r>
  <r>
    <x v="2"/>
    <x v="61"/>
    <s v="Concord Grape Concentrate"/>
    <s v="GL"/>
    <m/>
    <n v="200"/>
    <n v="2226"/>
    <n v="3900"/>
    <x v="1"/>
    <x v="1"/>
    <n v="19.5"/>
    <m/>
  </r>
  <r>
    <x v="0"/>
    <x v="208"/>
    <s v="Cap Maroon DBJ"/>
    <s v="EA"/>
    <s v="2,500/Box"/>
    <n v="75000"/>
    <n v="75"/>
    <n v="1710"/>
    <x v="0"/>
    <x v="0"/>
    <n v="2.2800000000000001E-2"/>
    <m/>
  </r>
  <r>
    <x v="5"/>
    <x v="209"/>
    <s v="BRN 4/Gln Wrap Around V2"/>
    <s v="EA"/>
    <s v="520/PLT"/>
    <n v="67980"/>
    <n v="67980"/>
    <n v="51120.959999999999"/>
    <x v="0"/>
    <x v="0"/>
    <n v="0.752"/>
    <m/>
  </r>
  <r>
    <x v="2"/>
    <x v="210"/>
    <s v="Lemon Juice Gln Version 3"/>
    <s v="EA"/>
    <s v="5,000/RL"/>
    <n v="10275"/>
    <n v="1.03"/>
    <n v="137.69"/>
    <x v="0"/>
    <x v="1"/>
    <n v="1.3400486618004866E-2"/>
    <m/>
  </r>
  <r>
    <x v="2"/>
    <x v="211"/>
    <s v="Snooze Orange Juice Gln RTS Nutrition"/>
    <s v="EA"/>
    <s v="5,000/RL"/>
    <n v="1850"/>
    <n v="0.19"/>
    <n v="21.83"/>
    <x v="0"/>
    <x v="1"/>
    <n v="1.18E-2"/>
    <m/>
  </r>
  <r>
    <x v="0"/>
    <x v="1"/>
    <s v="Lemon Juice Concentrate 400 GPL"/>
    <s v="GL"/>
    <s v="54/Drum"/>
    <n v="90"/>
    <n v="947.7"/>
    <n v="1228.02"/>
    <x v="1"/>
    <x v="0"/>
    <n v="13.644666666666666"/>
    <m/>
  </r>
  <r>
    <x v="0"/>
    <x v="115"/>
    <s v="SOI Sweet &amp; Sour Mix 3+1"/>
    <s v="EA"/>
    <s v="5,000/RL"/>
    <n v="1351"/>
    <n v="0.14000000000000001"/>
    <n v="18.100000000000001"/>
    <x v="0"/>
    <x v="0"/>
    <n v="1.3397483345669875E-2"/>
    <m/>
  </r>
  <r>
    <x v="0"/>
    <x v="186"/>
    <s v="Pectin Type YM-115-L"/>
    <s v="LB"/>
    <s v="55/BAG"/>
    <n v="1432.6"/>
    <n v="1432.6"/>
    <n v="27322.26"/>
    <x v="1"/>
    <x v="0"/>
    <n v="19.071799525338545"/>
    <m/>
  </r>
  <r>
    <x v="2"/>
    <x v="10"/>
    <s v="Key Lime Juice 32oz Nutrition V2"/>
    <s v="EA"/>
    <s v="5,000/RL"/>
    <n v="12453"/>
    <n v="1.25"/>
    <n v="215.44"/>
    <x v="0"/>
    <x v="1"/>
    <n v="1.7300248935999359E-2"/>
    <m/>
  </r>
  <r>
    <x v="12"/>
    <x v="212"/>
    <s v="Organic Agave Syrup in Totes"/>
    <s v="LB"/>
    <m/>
    <n v="73017.119999999995"/>
    <n v="73017.119999999995"/>
    <n v="93345.09"/>
    <x v="1"/>
    <x v="0"/>
    <n v="1.2784000519330261"/>
    <m/>
  </r>
  <r>
    <x v="6"/>
    <x v="24"/>
    <s v="SOI 3+1 Sweet LA Mix FZN HGln 9pk"/>
    <s v="CS"/>
    <s v="9/CS"/>
    <n v="6937"/>
    <n v="339913"/>
    <n v="149817"/>
    <x v="2"/>
    <x v="0"/>
    <n v="21.596799769352746"/>
    <m/>
  </r>
  <r>
    <x v="4"/>
    <x v="109"/>
    <s v="Evaporated Cane Juice Tote"/>
    <s v="LB"/>
    <s v="2,200/Tote"/>
    <n v="-25"/>
    <n v="-25"/>
    <n v="-16.75"/>
    <x v="1"/>
    <x v="1"/>
    <n v="0.67"/>
    <m/>
  </r>
  <r>
    <x v="0"/>
    <x v="213"/>
    <s v="Bottled MM Mixed Berries Smoothie Blend 10oz"/>
    <s v="EA"/>
    <s v="1/EA"/>
    <n v="21380"/>
    <n v="14966"/>
    <n v="9505.5499999999993"/>
    <x v="3"/>
    <x v="0"/>
    <n v="0.44460009354536945"/>
    <m/>
  </r>
  <r>
    <x v="10"/>
    <x v="157"/>
    <s v="Natural Brands Grapefruit Juice Qt 12pk"/>
    <s v="CS"/>
    <s v="12/CS"/>
    <n v="11"/>
    <n v="319"/>
    <n v="327.36"/>
    <x v="2"/>
    <x v="2"/>
    <n v="29.76"/>
    <m/>
  </r>
  <r>
    <x v="7"/>
    <x v="160"/>
    <s v="NB Orange Juice REF 12oz 12pk"/>
    <s v="CS"/>
    <s v="12/CS"/>
    <n v="129"/>
    <n v="1442.22"/>
    <n v="1222.1300000000001"/>
    <x v="2"/>
    <x v="0"/>
    <n v="9.4738759689922496"/>
    <m/>
  </r>
  <r>
    <x v="11"/>
    <x v="157"/>
    <s v="Natural Brands Grapefruit Juice Qt 12pk"/>
    <s v="CS"/>
    <s v="12/CS"/>
    <n v="47"/>
    <n v="1363"/>
    <n v="1398.72"/>
    <x v="2"/>
    <x v="2"/>
    <n v="29.76"/>
    <m/>
  </r>
  <r>
    <x v="1"/>
    <x v="75"/>
    <s v="Cane Sugar Totes"/>
    <s v="LB"/>
    <s v="2,204/Tote"/>
    <n v="-30146.2"/>
    <n v="-30146"/>
    <n v="-17496.72"/>
    <x v="1"/>
    <x v="0"/>
    <n v="0.58039553907291797"/>
    <m/>
  </r>
  <r>
    <x v="2"/>
    <x v="55"/>
    <s v="Citric Acid"/>
    <s v="LB"/>
    <s v="50/BAG"/>
    <n v="1350"/>
    <n v="1350"/>
    <n v="1782"/>
    <x v="1"/>
    <x v="1"/>
    <n v="1.32"/>
    <m/>
  </r>
  <r>
    <x v="2"/>
    <x v="214"/>
    <s v="3+1 Sweet Strw LA FZN 61.5 oz v1"/>
    <s v="EA"/>
    <s v="5,000/RL"/>
    <n v="7457"/>
    <n v="0.75"/>
    <n v="93.21"/>
    <x v="0"/>
    <x v="1"/>
    <n v="1.2499664744535335E-2"/>
    <m/>
  </r>
  <r>
    <x v="7"/>
    <x v="213"/>
    <s v="Bottled MM Mixed Berries Smoothie Blend 10oz"/>
    <s v="EA"/>
    <s v="1/EA"/>
    <n v="13783"/>
    <n v="9648.1"/>
    <n v="6149.97"/>
    <x v="3"/>
    <x v="0"/>
    <n v="0.4461996662555322"/>
    <m/>
  </r>
  <r>
    <x v="0"/>
    <x v="136"/>
    <s v="Plastic 55 Gln Drum Empty"/>
    <s v="EA"/>
    <s v="1/DRM"/>
    <n v="16188"/>
    <n v="485640"/>
    <n v="453264"/>
    <x v="3"/>
    <x v="0"/>
    <n v="28"/>
    <m/>
  </r>
  <r>
    <x v="2"/>
    <x v="103"/>
    <s v="Premium Lime Lemon 4pk Gln"/>
    <s v="CS"/>
    <s v="4/CS"/>
    <n v="0"/>
    <n v="0"/>
    <n v="0"/>
    <x v="2"/>
    <x v="1"/>
    <e v="#DIV/0!"/>
    <m/>
  </r>
  <r>
    <x v="6"/>
    <x v="70"/>
    <s v="Panera Strawberry Fruit Base No Refined Sugar Added FZN"/>
    <s v="CS"/>
    <s v="6/CS"/>
    <n v="600"/>
    <n v="17070.599999999999"/>
    <n v="12293.41"/>
    <x v="2"/>
    <x v="0"/>
    <n v="20.489016666666668"/>
    <m/>
  </r>
  <r>
    <x v="2"/>
    <x v="138"/>
    <s v="Whole Celery Seed"/>
    <s v="LB"/>
    <m/>
    <n v="48"/>
    <n v="48"/>
    <n v="89.68"/>
    <x v="1"/>
    <x v="1"/>
    <n v="1.8683333333333334"/>
    <m/>
  </r>
  <r>
    <x v="0"/>
    <x v="10"/>
    <s v="Key Lime Juice 32oz Nutrition V2"/>
    <s v="EA"/>
    <s v="5,000/RL"/>
    <n v="19698"/>
    <n v="1.97"/>
    <n v="342.75"/>
    <x v="0"/>
    <x v="0"/>
    <n v="1.7400243679561375E-2"/>
    <m/>
  </r>
  <r>
    <x v="0"/>
    <x v="215"/>
    <s v="Aseptic Blueberry Puree"/>
    <s v="LB"/>
    <m/>
    <n v="1320"/>
    <n v="1320"/>
    <n v="1379.55"/>
    <x v="1"/>
    <x v="0"/>
    <n v="1.0451136363636364"/>
    <m/>
  </r>
  <r>
    <x v="1"/>
    <x v="210"/>
    <s v="Lemon Juice Gln Version 3"/>
    <s v="EA"/>
    <s v="5,000/RL"/>
    <n v="0"/>
    <n v="0"/>
    <n v="0"/>
    <x v="0"/>
    <x v="0"/>
    <e v="#DIV/0!"/>
    <m/>
  </r>
  <r>
    <x v="2"/>
    <x v="216"/>
    <s v="High-Acid Lemon Juice Blend REF 4pk/128oz"/>
    <s v="EA"/>
    <s v="5,000/RL"/>
    <n v="10595"/>
    <n v="1.06"/>
    <n v="141.97"/>
    <x v="0"/>
    <x v="1"/>
    <n v="1.3399716847569609E-2"/>
    <m/>
  </r>
  <r>
    <x v="3"/>
    <x v="217"/>
    <s v="Green DBJ Cap"/>
    <s v="EA"/>
    <s v="2,500/Box"/>
    <n v="437500"/>
    <n v="437.5"/>
    <n v="9450"/>
    <x v="0"/>
    <x v="1"/>
    <n v="2.1600000000000001E-2"/>
    <m/>
  </r>
  <r>
    <x v="6"/>
    <x v="218"/>
    <s v="SOI Lime Juice FZN Qt 16pk"/>
    <s v="CS"/>
    <s v="16/CS"/>
    <n v="2269"/>
    <n v="79415"/>
    <n v="34710.01"/>
    <x v="2"/>
    <x v="0"/>
    <n v="15.297492287351258"/>
    <m/>
  </r>
  <r>
    <x v="3"/>
    <x v="212"/>
    <s v="Organic Agave Syrup in Totes"/>
    <s v="LB"/>
    <m/>
    <n v="45630"/>
    <n v="45630"/>
    <n v="58839.89"/>
    <x v="1"/>
    <x v="1"/>
    <n v="1.2895001095770326"/>
    <m/>
  </r>
  <r>
    <x v="0"/>
    <x v="219"/>
    <s v="SOI Limeade 3+1 32 oz Sample Label"/>
    <s v="EA"/>
    <s v="5,000/RL"/>
    <n v="7380"/>
    <n v="0.74"/>
    <n v="127.67"/>
    <x v="0"/>
    <x v="0"/>
    <n v="1.7299457994579947E-2"/>
    <m/>
  </r>
  <r>
    <x v="3"/>
    <x v="10"/>
    <s v="Key Lime Juice 32oz Nutrition V2"/>
    <s v="EA"/>
    <s v="5,000/RL"/>
    <n v="20000"/>
    <n v="2"/>
    <n v="346"/>
    <x v="0"/>
    <x v="1"/>
    <n v="1.7299999999999999E-2"/>
    <m/>
  </r>
  <r>
    <x v="2"/>
    <x v="212"/>
    <s v="Organic Agave Syrup in Totes"/>
    <s v="LB"/>
    <m/>
    <n v="1199"/>
    <n v="1199"/>
    <n v="1544.78"/>
    <x v="1"/>
    <x v="1"/>
    <n v="1.2883903252710591"/>
    <m/>
  </r>
  <r>
    <x v="3"/>
    <x v="220"/>
    <s v="Condensed Strawberry Lemonade Base Drum REF 48GL"/>
    <s v="DR"/>
    <s v="48/Drum"/>
    <n v="0"/>
    <n v="0"/>
    <n v="0"/>
    <x v="2"/>
    <x v="1"/>
    <e v="#DIV/0!"/>
    <m/>
  </r>
  <r>
    <x v="0"/>
    <x v="138"/>
    <s v="Whole Celery Seed"/>
    <s v="LB"/>
    <m/>
    <n v="48.2"/>
    <n v="48.2"/>
    <n v="91.86"/>
    <x v="1"/>
    <x v="0"/>
    <n v="1.9058091286307053"/>
    <m/>
  </r>
  <r>
    <x v="4"/>
    <x v="3"/>
    <s v="SOI Marg Mix Cond 3+1 HGln 9pk"/>
    <s v="CS"/>
    <s v="9/CS"/>
    <n v="0"/>
    <n v="0"/>
    <n v="0"/>
    <x v="2"/>
    <x v="1"/>
    <e v="#DIV/0!"/>
    <m/>
  </r>
  <r>
    <x v="4"/>
    <x v="221"/>
    <s v="Orange Juice Qt Nutrition"/>
    <s v="EA"/>
    <s v="5,000/RL"/>
    <n v="242"/>
    <n v="0.02"/>
    <n v="4.1900000000000004"/>
    <x v="0"/>
    <x v="1"/>
    <n v="1.7314049586776861E-2"/>
    <m/>
  </r>
  <r>
    <x v="0"/>
    <x v="222"/>
    <s v="SO Limeade RTS Gln"/>
    <s v="EA"/>
    <s v="5,000/RL"/>
    <n v="10000"/>
    <n v="1"/>
    <n v="134"/>
    <x v="0"/>
    <x v="0"/>
    <n v="1.34E-2"/>
    <m/>
  </r>
  <r>
    <x v="0"/>
    <x v="223"/>
    <s v="Lemon Juice HGln V2"/>
    <s v="EA"/>
    <s v="5,000/RL"/>
    <n v="9899"/>
    <n v="0.99"/>
    <n v="132.65"/>
    <x v="0"/>
    <x v="0"/>
    <n v="1.3400343469037276E-2"/>
    <m/>
  </r>
  <r>
    <x v="2"/>
    <x v="224"/>
    <s v="Orange Aroma"/>
    <s v="LB"/>
    <m/>
    <n v="165.4"/>
    <n v="165.4"/>
    <n v="719.49"/>
    <x v="1"/>
    <x v="1"/>
    <n v="4.3499999999999996"/>
    <m/>
  </r>
  <r>
    <x v="3"/>
    <x v="210"/>
    <s v="Lemon Juice Gln Version 3"/>
    <s v="EA"/>
    <s v="5,000/RL"/>
    <n v="80000"/>
    <n v="8"/>
    <n v="1072"/>
    <x v="0"/>
    <x v="1"/>
    <n v="1.34E-2"/>
    <m/>
  </r>
  <r>
    <x v="6"/>
    <x v="225"/>
    <s v="SO Limeade FZN 6pk 30.5oz Samples"/>
    <s v="CS"/>
    <s v="6/CS"/>
    <n v="223"/>
    <n v="3014.96"/>
    <n v="770.13"/>
    <x v="2"/>
    <x v="0"/>
    <n v="3.4534977578475337"/>
    <m/>
  </r>
  <r>
    <x v="2"/>
    <x v="226"/>
    <s v="Lemon Juice Gln FZN Version 2"/>
    <s v="EA"/>
    <s v="5,000/RL"/>
    <n v="36244"/>
    <n v="3.62"/>
    <n v="442.18"/>
    <x v="0"/>
    <x v="1"/>
    <n v="1.2200088290475666E-2"/>
    <m/>
  </r>
  <r>
    <x v="0"/>
    <x v="227"/>
    <s v="Wendy's LA 3+1 HGln"/>
    <s v="EA"/>
    <s v="5,000/RL"/>
    <n v="329326"/>
    <n v="32.93"/>
    <n v="3424.99"/>
    <x v="0"/>
    <x v="0"/>
    <n v="1.0399998785398054E-2"/>
    <m/>
  </r>
  <r>
    <x v="2"/>
    <x v="207"/>
    <s v="Black Pepper, 22 mesh grind"/>
    <s v="LB"/>
    <m/>
    <n v="35"/>
    <n v="35"/>
    <n v="174.65"/>
    <x v="1"/>
    <x v="1"/>
    <n v="4.99"/>
    <m/>
  </r>
  <r>
    <x v="0"/>
    <x v="228"/>
    <s v="Strawberry Treatarome 9855"/>
    <s v="LB"/>
    <m/>
    <n v="213.57"/>
    <n v="213.57"/>
    <n v="3737.39"/>
    <x v="1"/>
    <x v="0"/>
    <n v="17.499602004026784"/>
    <m/>
  </r>
  <r>
    <x v="4"/>
    <x v="217"/>
    <s v="Green DBJ Cap"/>
    <s v="EA"/>
    <s v="2,500/Box"/>
    <n v="1554"/>
    <n v="1.55"/>
    <n v="33.57"/>
    <x v="0"/>
    <x v="1"/>
    <n v="2.1602316602316603E-2"/>
    <m/>
  </r>
  <r>
    <x v="12"/>
    <x v="229"/>
    <s v="Marion Blackberry Puree"/>
    <s v="LB"/>
    <m/>
    <n v="24400"/>
    <n v="24400"/>
    <n v="23912"/>
    <x v="1"/>
    <x v="0"/>
    <n v="0.98"/>
    <m/>
  </r>
  <r>
    <x v="0"/>
    <x v="230"/>
    <s v="HGln HDPE DBJ"/>
    <s v="EA"/>
    <s v="108/BAG"/>
    <n v="81815"/>
    <n v="8476.0300000000007"/>
    <n v="17892.93"/>
    <x v="0"/>
    <x v="0"/>
    <n v="0.21869987166167573"/>
    <m/>
  </r>
  <r>
    <x v="14"/>
    <x v="231"/>
    <s v="Gln HDPE DBJ"/>
    <s v="EA"/>
    <s v="48/BAG"/>
    <n v="161"/>
    <n v="23.07"/>
    <n v="48.78"/>
    <x v="0"/>
    <x v="0"/>
    <n v="0.30298136645962731"/>
    <m/>
  </r>
  <r>
    <x v="7"/>
    <x v="3"/>
    <s v="SOI Marg Mix Cond 3+1 HGln 9pk"/>
    <s v="CS"/>
    <s v="9/CS"/>
    <n v="251"/>
    <n v="12750.8"/>
    <n v="7652.71"/>
    <x v="2"/>
    <x v="0"/>
    <n v="30.488884462151393"/>
    <m/>
  </r>
  <r>
    <x v="4"/>
    <x v="232"/>
    <s v="Lime Juice Tanker Mexico"/>
    <s v="GL"/>
    <m/>
    <n v="-10495"/>
    <n v="-93405.5"/>
    <n v="-33708.269999999997"/>
    <x v="3"/>
    <x v="1"/>
    <n v="3.2118408766079081"/>
    <m/>
  </r>
  <r>
    <x v="12"/>
    <x v="200"/>
    <s v="NFC Orange Mexican Top Note in Drums"/>
    <s v="GL"/>
    <s v="46/DR"/>
    <n v="92668.32"/>
    <n v="824748.05"/>
    <n v="437496.41"/>
    <x v="3"/>
    <x v="0"/>
    <n v="4.7211000479991432"/>
    <m/>
  </r>
  <r>
    <x v="0"/>
    <x v="233"/>
    <s v="Natural Brands Lemon Juice Gln 4pk"/>
    <s v="CS"/>
    <s v="4/CS"/>
    <n v="199"/>
    <n v="7142.11"/>
    <n v="3210.47"/>
    <x v="2"/>
    <x v="2"/>
    <n v="16.133015075376882"/>
    <m/>
  </r>
  <r>
    <x v="0"/>
    <x v="207"/>
    <s v="Black Pepper, 22 mesh grind"/>
    <s v="LB"/>
    <m/>
    <n v="23.8"/>
    <n v="23.8"/>
    <n v="117.31"/>
    <x v="1"/>
    <x v="0"/>
    <n v="4.9289915966386557"/>
    <m/>
  </r>
  <r>
    <x v="0"/>
    <x v="17"/>
    <s v="Mango (Bell) 85.20948 (no PG) Panera"/>
    <s v="LB"/>
    <m/>
    <n v="86.6"/>
    <n v="86.6"/>
    <n v="1133.01"/>
    <x v="1"/>
    <x v="0"/>
    <n v="13.083256351039262"/>
    <m/>
  </r>
  <r>
    <x v="2"/>
    <x v="230"/>
    <s v="HGln HDPE DBJ"/>
    <s v="EA"/>
    <s v="108/BAG"/>
    <n v="20520"/>
    <n v="2125.87"/>
    <n v="5452.31"/>
    <x v="0"/>
    <x v="1"/>
    <n v="0.26570711500974659"/>
    <m/>
  </r>
  <r>
    <x v="0"/>
    <x v="212"/>
    <s v="Organic Agave Syrup in Totes"/>
    <s v="LB"/>
    <m/>
    <n v="2660.14"/>
    <n v="2660.14"/>
    <n v="3403.65"/>
    <x v="1"/>
    <x v="0"/>
    <n v="1.2795003270504561"/>
    <m/>
  </r>
  <r>
    <x v="2"/>
    <x v="17"/>
    <s v="Mango (Bell) 85.20948 (no PG) Panera"/>
    <s v="LB"/>
    <m/>
    <n v="42.9"/>
    <n v="42.9"/>
    <n v="565.71"/>
    <x v="1"/>
    <x v="1"/>
    <n v="13.186713286713289"/>
    <m/>
  </r>
  <r>
    <x v="1"/>
    <x v="217"/>
    <s v="Green DBJ Cap"/>
    <s v="EA"/>
    <s v="2,500/Box"/>
    <n v="-81"/>
    <n v="-0.08"/>
    <n v="-1.72"/>
    <x v="0"/>
    <x v="0"/>
    <n v="2.1234567901234569E-2"/>
    <m/>
  </r>
  <r>
    <x v="0"/>
    <x v="234"/>
    <s v="SO Agave Margarita Mix FZN 6pk 61.5"/>
    <s v="EA"/>
    <s v="5,000/RL"/>
    <n v="800"/>
    <n v="0.08"/>
    <n v="10.64"/>
    <x v="0"/>
    <x v="0"/>
    <n v="1.3300000000000001E-2"/>
    <m/>
  </r>
  <r>
    <x v="0"/>
    <x v="235"/>
    <s v="Wendy's 3+1 LA Box Label"/>
    <s v="EA"/>
    <s v="5,000/RL"/>
    <n v="21480"/>
    <n v="2.15"/>
    <n v="247.02"/>
    <x v="0"/>
    <x v="0"/>
    <n v="1.15E-2"/>
    <m/>
  </r>
  <r>
    <x v="3"/>
    <x v="223"/>
    <s v="Lemon Juice HGln V2"/>
    <s v="EA"/>
    <s v="5,000/RL"/>
    <n v="70000"/>
    <n v="7"/>
    <n v="938"/>
    <x v="0"/>
    <x v="1"/>
    <n v="1.34E-2"/>
    <m/>
  </r>
  <r>
    <x v="0"/>
    <x v="236"/>
    <s v="MM Green Smoothie Label 10oz V4"/>
    <s v="EA"/>
    <s v="5,000/RL"/>
    <n v="35853"/>
    <n v="3.59"/>
    <n v="254.56"/>
    <x v="0"/>
    <x v="0"/>
    <n v="7.100103199174407E-3"/>
    <m/>
  </r>
  <r>
    <x v="0"/>
    <x v="237"/>
    <s v="BRN Corrugated IBC 275GL Tote"/>
    <s v="EA"/>
    <s v="12/PLT"/>
    <n v="2"/>
    <n v="2"/>
    <n v="187.18"/>
    <x v="0"/>
    <x v="0"/>
    <n v="93.59"/>
    <m/>
  </r>
  <r>
    <x v="0"/>
    <x v="217"/>
    <s v="Green DBJ Cap"/>
    <s v="EA"/>
    <s v="2,500/Box"/>
    <n v="100383"/>
    <n v="100.38"/>
    <n v="2168.27"/>
    <x v="0"/>
    <x v="0"/>
    <n v="2.1599972106830838E-2"/>
    <m/>
  </r>
  <r>
    <x v="2"/>
    <x v="217"/>
    <s v="Green DBJ Cap"/>
    <s v="EA"/>
    <s v="2,500/Box"/>
    <n v="57292"/>
    <n v="57.29"/>
    <n v="1237.51"/>
    <x v="0"/>
    <x v="1"/>
    <n v="2.1600048872442924E-2"/>
    <m/>
  </r>
  <r>
    <x v="1"/>
    <x v="230"/>
    <s v="HGln HDPE DBJ"/>
    <s v="EA"/>
    <s v="108/BAG"/>
    <n v="-864"/>
    <n v="-89.51"/>
    <n v="-189.15"/>
    <x v="0"/>
    <x v="0"/>
    <n v="0.21892361111111111"/>
    <m/>
  </r>
  <r>
    <x v="0"/>
    <x v="238"/>
    <s v="Valencia OJ 64 oz 6 pk V2"/>
    <s v="EA"/>
    <s v="5,000/RL"/>
    <n v="31796"/>
    <n v="3.18"/>
    <n v="422.89"/>
    <x v="0"/>
    <x v="0"/>
    <n v="1.3300100641590137E-2"/>
    <m/>
  </r>
  <r>
    <x v="6"/>
    <x v="239"/>
    <s v="SOI Lemon Juice FZN Qt 16pk"/>
    <s v="CS"/>
    <s v="16/CS"/>
    <n v="904"/>
    <n v="31884.080000000002"/>
    <n v="16099.06"/>
    <x v="2"/>
    <x v="0"/>
    <n v="17.808694690265487"/>
    <m/>
  </r>
  <r>
    <x v="2"/>
    <x v="223"/>
    <s v="Lemon Juice HGln V2"/>
    <s v="EA"/>
    <s v="5,000/RL"/>
    <n v="4637"/>
    <n v="0.46"/>
    <n v="62.14"/>
    <x v="0"/>
    <x v="1"/>
    <n v="1.3400905758033212E-2"/>
    <m/>
  </r>
  <r>
    <x v="0"/>
    <x v="240"/>
    <s v="Bottled MM Mango Smoothie Blend 10oz"/>
    <s v="EA"/>
    <s v="1/EA"/>
    <n v="57693"/>
    <n v="40385.1"/>
    <n v="28829.200000000001"/>
    <x v="3"/>
    <x v="0"/>
    <n v="0.49970013693169019"/>
    <m/>
  </r>
  <r>
    <x v="0"/>
    <x v="211"/>
    <s v="Snooze Orange Juice Gln RTS Nutrition"/>
    <s v="EA"/>
    <s v="5,000/RL"/>
    <n v="22948"/>
    <n v="2.29"/>
    <n v="273.08"/>
    <x v="0"/>
    <x v="0"/>
    <n v="1.1899947707861252E-2"/>
    <m/>
  </r>
  <r>
    <x v="6"/>
    <x v="241"/>
    <s v="SOI Lime Juice FZN Qt 6pk"/>
    <s v="CS"/>
    <s v="6/CS"/>
    <n v="5603"/>
    <n v="73645.83"/>
    <n v="33079.53"/>
    <x v="2"/>
    <x v="0"/>
    <n v="5.9038961270747814"/>
    <m/>
  </r>
  <r>
    <x v="2"/>
    <x v="141"/>
    <s v="Protab VIT Premix w\o maltodextrin 001780"/>
    <s v="LB"/>
    <m/>
    <n v="175.79"/>
    <n v="175.79"/>
    <n v="1109.22"/>
    <x v="1"/>
    <x v="1"/>
    <n v="6.3099152397747318"/>
    <m/>
  </r>
  <r>
    <x v="4"/>
    <x v="230"/>
    <s v="HGln HDPE DBJ"/>
    <s v="EA"/>
    <s v="108/BAG"/>
    <n v="340"/>
    <n v="35.22"/>
    <n v="90.34"/>
    <x v="0"/>
    <x v="1"/>
    <n v="0.26570588235294118"/>
    <m/>
  </r>
  <r>
    <x v="0"/>
    <x v="221"/>
    <s v="Orange Juice Qt Nutrition"/>
    <s v="EA"/>
    <s v="5,000/RL"/>
    <n v="21369"/>
    <n v="2.14"/>
    <n v="369.68"/>
    <x v="0"/>
    <x v="0"/>
    <n v="1.7299826851981844E-2"/>
    <m/>
  </r>
  <r>
    <x v="1"/>
    <x v="240"/>
    <s v="Bottled MM Mango Smoothie Blend 10oz"/>
    <s v="EA"/>
    <s v="1/EA"/>
    <n v="0"/>
    <n v="0"/>
    <n v="-396.98"/>
    <x v="3"/>
    <x v="0"/>
    <e v="#DIV/0!"/>
    <m/>
  </r>
  <r>
    <x v="12"/>
    <x v="215"/>
    <s v="Aseptic Blueberry Puree"/>
    <s v="LB"/>
    <m/>
    <n v="84428.47"/>
    <n v="84428.47"/>
    <n v="88109.55"/>
    <x v="1"/>
    <x v="0"/>
    <n v="1.0435999846971051"/>
    <m/>
  </r>
  <r>
    <x v="2"/>
    <x v="242"/>
    <s v="Blueberry Lavender Tea 6pk/64oz Nutrition V2"/>
    <s v="EA"/>
    <s v="5,000/RL"/>
    <n v="8470"/>
    <n v="0.85"/>
    <n v="99.95"/>
    <x v="0"/>
    <x v="1"/>
    <n v="1.1800472255017709E-2"/>
    <m/>
  </r>
  <r>
    <x v="2"/>
    <x v="237"/>
    <s v="BRN Corrugated IBC 275GL Tote"/>
    <s v="EA"/>
    <s v="12/PLT"/>
    <n v="67"/>
    <n v="67"/>
    <n v="6675.04"/>
    <x v="0"/>
    <x v="1"/>
    <n v="99.627462686567171"/>
    <m/>
  </r>
  <r>
    <x v="5"/>
    <x v="75"/>
    <s v="Cane Sugar Totes"/>
    <s v="LB"/>
    <s v="2,204/Tote"/>
    <n v="169887.8"/>
    <n v="169887.78"/>
    <n v="98772.74"/>
    <x v="1"/>
    <x v="0"/>
    <n v="0.58139984154247693"/>
    <m/>
  </r>
  <r>
    <x v="0"/>
    <x v="141"/>
    <s v="Protab VIT Premix w\o maltodextrin 001780"/>
    <s v="LB"/>
    <m/>
    <n v="267.2"/>
    <n v="267.2"/>
    <n v="1686.03"/>
    <x v="1"/>
    <x v="0"/>
    <n v="6.3099925149700598"/>
    <m/>
  </r>
  <r>
    <x v="0"/>
    <x v="243"/>
    <s v="Bottled MM Strawberry Banana Smoothie Blend 10oz"/>
    <s v="EA"/>
    <s v="1/EA"/>
    <n v="63368"/>
    <n v="44357.599999999999"/>
    <n v="32292.32"/>
    <x v="3"/>
    <x v="0"/>
    <n v="0.50959979800530231"/>
    <m/>
  </r>
  <r>
    <x v="7"/>
    <x v="240"/>
    <s v="Bottled MM Mango Smoothie Blend 10oz"/>
    <s v="EA"/>
    <s v="1/EA"/>
    <n v="13813"/>
    <n v="9669.1"/>
    <n v="6913.39"/>
    <x v="3"/>
    <x v="0"/>
    <n v="0.5004988054731051"/>
    <m/>
  </r>
  <r>
    <x v="2"/>
    <x v="244"/>
    <s v="Old Fashioned Lemonade Mix V2"/>
    <s v="EA"/>
    <s v="5,000/RL"/>
    <n v="18301"/>
    <n v="1.83"/>
    <n v="243.4"/>
    <x v="0"/>
    <x v="1"/>
    <n v="1.3299819681984591E-2"/>
    <m/>
  </r>
  <r>
    <x v="3"/>
    <x v="245"/>
    <s v="SOI LA Strw Cond 3+1 Gln 4pk"/>
    <s v="EA"/>
    <s v="1/EA"/>
    <n v="-2"/>
    <n v="-20.3"/>
    <n v="-10.64"/>
    <x v="2"/>
    <x v="1"/>
    <n v="5.32"/>
    <m/>
  </r>
  <r>
    <x v="1"/>
    <x v="243"/>
    <s v="Bottled MM Strawberry Banana Smoothie Blend 10oz"/>
    <s v="EA"/>
    <s v="1/EA"/>
    <n v="0"/>
    <n v="0"/>
    <n v="-399.12"/>
    <x v="3"/>
    <x v="0"/>
    <e v="#DIV/0!"/>
    <m/>
  </r>
  <r>
    <x v="1"/>
    <x v="215"/>
    <s v="Aseptic Blueberry Puree"/>
    <s v="LB"/>
    <m/>
    <n v="-0.02"/>
    <n v="0"/>
    <n v="0"/>
    <x v="1"/>
    <x v="0"/>
    <n v="0"/>
    <m/>
  </r>
  <r>
    <x v="5"/>
    <x v="13"/>
    <s v="Marg Mix Gln V2"/>
    <s v="EA"/>
    <s v="5,000/RL"/>
    <n v="40000"/>
    <n v="4"/>
    <n v="536"/>
    <x v="0"/>
    <x v="0"/>
    <n v="1.34E-2"/>
    <m/>
  </r>
  <r>
    <x v="2"/>
    <x v="246"/>
    <s v="SOI CP Meyer Lemon Oil Drum"/>
    <s v="LB"/>
    <s v="1/LB"/>
    <n v="188.4"/>
    <n v="188.4"/>
    <n v="58.84"/>
    <x v="2"/>
    <x v="1"/>
    <n v="0.31231422505307854"/>
    <m/>
  </r>
  <r>
    <x v="1"/>
    <x v="223"/>
    <s v="Lemon Juice HGln V2"/>
    <s v="EA"/>
    <s v="5,000/RL"/>
    <n v="-606"/>
    <n v="-0.06"/>
    <n v="-8.1199999999999992"/>
    <x v="0"/>
    <x v="0"/>
    <n v="1.3399339933993398E-2"/>
    <m/>
  </r>
  <r>
    <x v="7"/>
    <x v="243"/>
    <s v="Bottled MM Strawberry Banana Smoothie Blend 10oz"/>
    <s v="EA"/>
    <s v="1/EA"/>
    <n v="9207"/>
    <n v="6444.9"/>
    <n v="4696.49"/>
    <x v="3"/>
    <x v="0"/>
    <n v="0.51009992397089166"/>
    <m/>
  </r>
  <r>
    <x v="8"/>
    <x v="247"/>
    <s v="Natural Brands &quot;Brewhouse&quot; 2.5+1 Lemonade Base 270Gln Tote"/>
    <s v="TT"/>
    <s v="1/TT"/>
    <n v="2"/>
    <n v="5502.8"/>
    <n v="2636.98"/>
    <x v="2"/>
    <x v="2"/>
    <n v="1318.49"/>
    <m/>
  </r>
  <r>
    <x v="3"/>
    <x v="87"/>
    <s v="CAVA Blueberry Lavender Puree FZN 6pk 30.5oz"/>
    <s v="CS"/>
    <s v="6/CS"/>
    <n v="1589"/>
    <n v="24279.919999999998"/>
    <n v="29377.75"/>
    <x v="2"/>
    <x v="1"/>
    <n v="18.488200125865323"/>
    <m/>
  </r>
  <r>
    <x v="3"/>
    <x v="245"/>
    <s v="SOI LA Strw Cond 3+1 Gln 4pk"/>
    <s v="CS"/>
    <s v="4/CS"/>
    <n v="274"/>
    <n v="11088.78"/>
    <n v="5832.8"/>
    <x v="2"/>
    <x v="1"/>
    <n v="21.287591240875912"/>
    <m/>
  </r>
  <r>
    <x v="2"/>
    <x v="221"/>
    <s v="Orange Juice Qt Nutrition"/>
    <s v="EA"/>
    <s v="5,000/RL"/>
    <n v="9176"/>
    <n v="0.92"/>
    <n v="158.74"/>
    <x v="0"/>
    <x v="1"/>
    <n v="1.7299476896251092E-2"/>
    <m/>
  </r>
  <r>
    <x v="12"/>
    <x v="248"/>
    <s v="Passionfruit Juice Con 50 Brix"/>
    <s v="GL"/>
    <s v="52/DR"/>
    <n v="682.25"/>
    <n v="6993.06"/>
    <n v="31223.58"/>
    <x v="1"/>
    <x v="0"/>
    <n v="45.765599120556985"/>
    <m/>
  </r>
  <r>
    <x v="3"/>
    <x v="225"/>
    <s v="SO Limeade FZN 6pk 30.5oz Samples"/>
    <s v="CS"/>
    <s v="6/CS"/>
    <n v="156"/>
    <n v="2109.12"/>
    <n v="538.75"/>
    <x v="2"/>
    <x v="1"/>
    <n v="3.453525641025641"/>
    <m/>
  </r>
  <r>
    <x v="0"/>
    <x v="249"/>
    <s v="Margarita Mix 6pk HGln Rykoff Sexton"/>
    <s v="CS"/>
    <s v="6/CS"/>
    <n v="1"/>
    <n v="28.4"/>
    <n v="10.55"/>
    <x v="2"/>
    <x v="0"/>
    <n v="10.55"/>
    <m/>
  </r>
  <r>
    <x v="7"/>
    <x v="233"/>
    <s v="Natural Brands Lemon Juice Gln 4pk"/>
    <s v="CS"/>
    <s v="4/CS"/>
    <n v="299"/>
    <n v="10731.11"/>
    <n v="4823.7700000000004"/>
    <x v="2"/>
    <x v="2"/>
    <n v="16.133010033444819"/>
    <m/>
  </r>
  <r>
    <x v="3"/>
    <x v="222"/>
    <s v="SO Limeade RTS Gln"/>
    <s v="EA"/>
    <s v="5,000/RL"/>
    <n v="30000"/>
    <n v="3"/>
    <n v="402"/>
    <x v="0"/>
    <x v="1"/>
    <n v="1.34E-2"/>
    <m/>
  </r>
  <r>
    <x v="0"/>
    <x v="250"/>
    <s v="Aseptic NFC Pineapple Juice"/>
    <s v="GL"/>
    <m/>
    <n v="424.6"/>
    <n v="3710.62"/>
    <n v="2399.52"/>
    <x v="3"/>
    <x v="0"/>
    <n v="5.6512482336316534"/>
    <m/>
  </r>
  <r>
    <x v="3"/>
    <x v="211"/>
    <s v="Snooze Orange Juice Gln RTS Nutrition"/>
    <s v="EA"/>
    <s v="5,000/RL"/>
    <n v="20000"/>
    <n v="2"/>
    <n v="236"/>
    <x v="0"/>
    <x v="1"/>
    <n v="1.18E-2"/>
    <m/>
  </r>
  <r>
    <x v="1"/>
    <x v="233"/>
    <s v="Natural Brands Lemon Juice Gln 4pk"/>
    <s v="CS"/>
    <s v="4/CS"/>
    <n v="-31"/>
    <n v="-1112.5899999999999"/>
    <n v="-480.71"/>
    <x v="2"/>
    <x v="2"/>
    <n v="15.506774193548386"/>
    <m/>
  </r>
  <r>
    <x v="3"/>
    <x v="238"/>
    <s v="Valencia OJ 64 oz 6 pk V2"/>
    <s v="EA"/>
    <s v="5,000/RL"/>
    <n v="20000"/>
    <n v="2"/>
    <n v="268"/>
    <x v="0"/>
    <x v="1"/>
    <n v="1.34E-2"/>
    <m/>
  </r>
  <r>
    <x v="0"/>
    <x v="210"/>
    <s v="Lemon Juice Gln Version 3"/>
    <s v="EA"/>
    <s v="5,000/RL"/>
    <n v="43507"/>
    <n v="4.3499999999999996"/>
    <n v="582.99"/>
    <x v="0"/>
    <x v="0"/>
    <n v="1.3399912657733239E-2"/>
    <m/>
  </r>
  <r>
    <x v="0"/>
    <x v="251"/>
    <s v="10oz PET bottle DBJ Neck"/>
    <s v="EA"/>
    <s v="0/Pallet"/>
    <n v="301148"/>
    <n v="30114.799999999999"/>
    <n v="26651.87"/>
    <x v="0"/>
    <x v="0"/>
    <n v="8.8500903210381607E-2"/>
    <m/>
  </r>
  <r>
    <x v="0"/>
    <x v="252"/>
    <s v="Marg Mix Gln"/>
    <s v="EA"/>
    <s v="5,000/RL"/>
    <n v="20342"/>
    <n v="2.0299999999999998"/>
    <n v="272.58"/>
    <x v="0"/>
    <x v="0"/>
    <n v="1.3399862353750859E-2"/>
    <m/>
  </r>
  <r>
    <x v="5"/>
    <x v="15"/>
    <s v="MM Mixed Berries Smoothie Label 10oz Nutrition V3"/>
    <s v="EA"/>
    <s v="5,000/RL"/>
    <n v="370000"/>
    <n v="37"/>
    <n v="2442"/>
    <x v="0"/>
    <x v="0"/>
    <n v="6.6E-3"/>
    <m/>
  </r>
  <r>
    <x v="0"/>
    <x v="231"/>
    <s v="Gln HDPE DBJ"/>
    <s v="EA"/>
    <s v="48/BAG"/>
    <n v="73790"/>
    <n v="10574.11"/>
    <n v="22358.38"/>
    <x v="0"/>
    <x v="0"/>
    <n v="0.30300013551971811"/>
    <m/>
  </r>
  <r>
    <x v="1"/>
    <x v="253"/>
    <s v="Drum Label Preprinted 4&quot; x 7.875&quot; V2"/>
    <s v="EA"/>
    <s v="500/Roll"/>
    <n v="-128"/>
    <n v="-2.56"/>
    <n v="-37.85"/>
    <x v="0"/>
    <x v="0"/>
    <n v="0.29570312500000001"/>
    <m/>
  </r>
  <r>
    <x v="3"/>
    <x v="254"/>
    <s v="Natural Brands Lemon Juice Gln"/>
    <s v="EA"/>
    <s v="5,000/RL"/>
    <n v="35000"/>
    <n v="3.5"/>
    <n v="976.5"/>
    <x v="0"/>
    <x v="2"/>
    <n v="2.7900000000000001E-2"/>
    <m/>
  </r>
  <r>
    <x v="9"/>
    <x v="255"/>
    <s v="Natural Brands Orange Juice HGln 9pk"/>
    <s v="CS"/>
    <s v="9/CS"/>
    <n v="3"/>
    <n v="126"/>
    <n v="136.08000000000001"/>
    <x v="2"/>
    <x v="2"/>
    <n v="45.360000000000007"/>
    <m/>
  </r>
  <r>
    <x v="2"/>
    <x v="256"/>
    <s v="LA 4+1 Gln Fzn V3"/>
    <s v="EA"/>
    <s v="5,000/RL"/>
    <n v="19202"/>
    <n v="1.92"/>
    <n v="257.31"/>
    <x v="0"/>
    <x v="1"/>
    <n v="1.3400166649307365E-2"/>
    <m/>
  </r>
  <r>
    <x v="2"/>
    <x v="186"/>
    <s v="Pectin Type YM-115-L"/>
    <s v="LB"/>
    <s v="55/BAG"/>
    <n v="52.89"/>
    <n v="52.89"/>
    <n v="1770.23"/>
    <x v="1"/>
    <x v="1"/>
    <n v="33.470032142181886"/>
    <m/>
  </r>
  <r>
    <x v="0"/>
    <x v="256"/>
    <s v="LA 4+1 Gln Fzn V3"/>
    <s v="EA"/>
    <s v="5,000/RL"/>
    <n v="42832"/>
    <n v="4.28"/>
    <n v="573.95000000000005"/>
    <x v="0"/>
    <x v="0"/>
    <n v="1.340002801643631E-2"/>
    <m/>
  </r>
  <r>
    <x v="2"/>
    <x v="1"/>
    <s v="Lemon Juice Concentrate 400 GPL"/>
    <s v="GL"/>
    <s v="54/Drum"/>
    <n v="66"/>
    <n v="694.98"/>
    <n v="894.97"/>
    <x v="1"/>
    <x v="1"/>
    <n v="13.560151515151516"/>
    <m/>
  </r>
  <r>
    <x v="1"/>
    <x v="237"/>
    <s v="BRN Corrugated IBC 275GL Tote"/>
    <s v="EA"/>
    <s v="12/PLT"/>
    <n v="-2"/>
    <n v="-2"/>
    <n v="-187.18"/>
    <x v="0"/>
    <x v="0"/>
    <n v="93.59"/>
    <m/>
  </r>
  <r>
    <x v="0"/>
    <x v="257"/>
    <s v="SYSCO LA Gln 4pk"/>
    <s v="CS"/>
    <s v="4/CS"/>
    <n v="12"/>
    <n v="436.8"/>
    <n v="93.64"/>
    <x v="2"/>
    <x v="0"/>
    <n v="7.8033333333333337"/>
    <m/>
  </r>
  <r>
    <x v="3"/>
    <x v="258"/>
    <s v="Condensed Lemonade Base REF 270Gln Tote"/>
    <s v="TT"/>
    <s v="1/TT"/>
    <n v="8"/>
    <n v="22458.400000000001"/>
    <n v="10977"/>
    <x v="2"/>
    <x v="1"/>
    <n v="1372.125"/>
    <m/>
  </r>
  <r>
    <x v="2"/>
    <x v="252"/>
    <s v="Marg Mix Gln"/>
    <s v="EA"/>
    <s v="5,000/RL"/>
    <n v="18452"/>
    <n v="1.85"/>
    <n v="247.26"/>
    <x v="0"/>
    <x v="1"/>
    <n v="1.3400173422935183E-2"/>
    <m/>
  </r>
  <r>
    <x v="0"/>
    <x v="154"/>
    <s v="Meyer LA 6pk Hgln Rykoff Sexton."/>
    <s v="CS"/>
    <s v="6/CS"/>
    <n v="1"/>
    <n v="27.5"/>
    <n v="6.07"/>
    <x v="2"/>
    <x v="0"/>
    <n v="6.07"/>
    <m/>
  </r>
  <r>
    <x v="2"/>
    <x v="231"/>
    <s v="Gln HDPE DBJ"/>
    <s v="EA"/>
    <s v="48/BAG"/>
    <n v="31968"/>
    <n v="4581.0200000000004"/>
    <n v="11364.56"/>
    <x v="0"/>
    <x v="1"/>
    <n v="0.35549799799799797"/>
    <m/>
  </r>
  <r>
    <x v="2"/>
    <x v="46"/>
    <s v="Meyer Lemon Juice 32oz Nutritiion V2"/>
    <s v="EA"/>
    <s v="5,000/RL"/>
    <n v="10174"/>
    <n v="1.02"/>
    <n v="176.01"/>
    <x v="0"/>
    <x v="1"/>
    <n v="1.7299980342048358E-2"/>
    <m/>
  </r>
  <r>
    <x v="0"/>
    <x v="259"/>
    <s v="12 QT Key Lime Juice Wrap Around V3"/>
    <s v="EA"/>
    <s v="500/PLT"/>
    <n v="1267"/>
    <n v="1267"/>
    <n v="596.88"/>
    <x v="0"/>
    <x v="0"/>
    <n v="0.47109707971586423"/>
    <m/>
  </r>
  <r>
    <x v="3"/>
    <x v="242"/>
    <s v="Blueberry Lavender Tea 6pk/64oz Nutrition V2"/>
    <s v="EA"/>
    <s v="5,000/RL"/>
    <n v="20000"/>
    <n v="2"/>
    <n v="236"/>
    <x v="0"/>
    <x v="1"/>
    <n v="1.18E-2"/>
    <m/>
  </r>
  <r>
    <x v="0"/>
    <x v="203"/>
    <s v="Defoamer"/>
    <s v="LB"/>
    <m/>
    <n v="42.48"/>
    <n v="42.48"/>
    <n v="191.15"/>
    <x v="1"/>
    <x v="0"/>
    <n v="4.4997645951035787"/>
    <m/>
  </r>
  <r>
    <x v="0"/>
    <x v="46"/>
    <s v="Meyer Lemon Juice 32oz Nutritiion V2"/>
    <s v="EA"/>
    <s v="5,000/RL"/>
    <n v="19089"/>
    <n v="1.91"/>
    <n v="389.42"/>
    <x v="0"/>
    <x v="0"/>
    <n v="2.0400230499240401E-2"/>
    <m/>
  </r>
  <r>
    <x v="1"/>
    <x v="251"/>
    <s v="10oz PET bottle DBJ Neck"/>
    <s v="EA"/>
    <s v="0/Pallet"/>
    <n v="-1163"/>
    <n v="-116.3"/>
    <n v="-88.45"/>
    <x v="0"/>
    <x v="0"/>
    <n v="7.6053310404127258E-2"/>
    <m/>
  </r>
  <r>
    <x v="2"/>
    <x v="259"/>
    <s v="12 QT Key Lime Juice Wrap Around V3"/>
    <s v="EA"/>
    <s v="500/PLT"/>
    <n v="1540"/>
    <n v="1540"/>
    <n v="734.73"/>
    <x v="0"/>
    <x v="1"/>
    <n v="0.47709740259740263"/>
    <m/>
  </r>
  <r>
    <x v="1"/>
    <x v="231"/>
    <s v="Gln HDPE DBJ"/>
    <s v="EA"/>
    <s v="48/BAG"/>
    <n v="-48"/>
    <n v="-6.88"/>
    <n v="-11.42"/>
    <x v="0"/>
    <x v="0"/>
    <n v="0.23791666666666667"/>
    <m/>
  </r>
  <r>
    <x v="3"/>
    <x v="259"/>
    <s v="12 QT Key Lime Juice Wrap Around V3"/>
    <s v="EA"/>
    <s v="500/PLT"/>
    <n v="6050"/>
    <n v="6050"/>
    <n v="2885.85"/>
    <x v="0"/>
    <x v="1"/>
    <n v="0.47699999999999998"/>
    <m/>
  </r>
  <r>
    <x v="4"/>
    <x v="231"/>
    <s v="Gln HDPE DBJ"/>
    <s v="EA"/>
    <s v="48/BAG"/>
    <n v="-8036"/>
    <n v="-1151.56"/>
    <n v="-2855.91"/>
    <x v="0"/>
    <x v="1"/>
    <n v="0.35538949726231955"/>
    <m/>
  </r>
  <r>
    <x v="12"/>
    <x v="66"/>
    <s v="Apple Puree .033 screen"/>
    <s v="LB"/>
    <m/>
    <n v="31374"/>
    <n v="31374"/>
    <n v="12364.5"/>
    <x v="1"/>
    <x v="0"/>
    <n v="0.3941002103652706"/>
    <m/>
  </r>
  <r>
    <x v="3"/>
    <x v="256"/>
    <s v="LA 4+1 Gln Fzn V3"/>
    <s v="EA"/>
    <s v="5,000/RL"/>
    <n v="10000"/>
    <n v="1"/>
    <n v="134"/>
    <x v="0"/>
    <x v="1"/>
    <n v="1.34E-2"/>
    <m/>
  </r>
  <r>
    <x v="3"/>
    <x v="260"/>
    <s v="Condensed Lemonade Base Drum REF 48GL"/>
    <s v="DR"/>
    <s v="48/Drum"/>
    <n v="0"/>
    <n v="0"/>
    <n v="0"/>
    <x v="2"/>
    <x v="1"/>
    <e v="#DIV/0!"/>
    <m/>
  </r>
  <r>
    <x v="0"/>
    <x v="181"/>
    <s v="Tomato Paste 37% NTSS .33 Screen"/>
    <s v="LB"/>
    <m/>
    <n v="7635"/>
    <n v="7635"/>
    <n v="7277.68"/>
    <x v="1"/>
    <x v="0"/>
    <n v="0.95319973804846103"/>
    <m/>
  </r>
  <r>
    <x v="0"/>
    <x v="261"/>
    <s v="Velcorin"/>
    <s v="LB"/>
    <m/>
    <n v="550"/>
    <n v="550"/>
    <n v="27920.2"/>
    <x v="1"/>
    <x v="0"/>
    <n v="50.764000000000003"/>
    <m/>
  </r>
  <r>
    <x v="2"/>
    <x v="262"/>
    <s v="Ground Cloves"/>
    <s v="LB"/>
    <m/>
    <n v="44"/>
    <n v="44"/>
    <n v="305.36"/>
    <x v="1"/>
    <x v="1"/>
    <n v="6.94"/>
    <m/>
  </r>
  <r>
    <x v="3"/>
    <x v="263"/>
    <s v="Red DBJ Cap"/>
    <s v="EA"/>
    <s v="2,500/Box"/>
    <n v="192500"/>
    <n v="192.5"/>
    <n v="4158"/>
    <x v="0"/>
    <x v="1"/>
    <n v="2.1600000000000001E-2"/>
    <m/>
  </r>
  <r>
    <x v="5"/>
    <x v="264"/>
    <s v="NB Orange Juice 12oz Nutrition"/>
    <s v="EA"/>
    <s v="5,000/RL"/>
    <n v="15000"/>
    <n v="1.5"/>
    <n v="204"/>
    <x v="0"/>
    <x v="0"/>
    <n v="1.3599999999999999E-2"/>
    <m/>
  </r>
  <r>
    <x v="0"/>
    <x v="265"/>
    <s v="Cold Pressed Lime Oil"/>
    <s v="LB"/>
    <m/>
    <n v="40.35"/>
    <n v="40.35"/>
    <n v="1489.55"/>
    <x v="1"/>
    <x v="0"/>
    <n v="36.915737298636927"/>
    <m/>
  </r>
  <r>
    <x v="3"/>
    <x v="46"/>
    <s v="Meyer Lemon Juice 32oz Nutritiion V2"/>
    <s v="EA"/>
    <s v="5,000/RL"/>
    <n v="40000"/>
    <n v="4"/>
    <n v="692"/>
    <x v="0"/>
    <x v="1"/>
    <n v="1.7299999999999999E-2"/>
    <m/>
  </r>
  <r>
    <x v="3"/>
    <x v="266"/>
    <s v="Cap White DBJ"/>
    <s v="EA"/>
    <s v="2,500/Box"/>
    <n v="162500"/>
    <n v="162.5"/>
    <n v="3445"/>
    <x v="0"/>
    <x v="1"/>
    <n v="2.12E-2"/>
    <m/>
  </r>
  <r>
    <x v="0"/>
    <x v="262"/>
    <s v="Ground Cloves"/>
    <s v="LB"/>
    <m/>
    <n v="23.4"/>
    <n v="23.4"/>
    <n v="180.58"/>
    <x v="1"/>
    <x v="0"/>
    <n v="7.7170940170940181"/>
    <m/>
  </r>
  <r>
    <x v="1"/>
    <x v="229"/>
    <s v="Marion Blackberry Puree"/>
    <s v="LB"/>
    <m/>
    <n v="-308"/>
    <n v="-308"/>
    <n v="-301.83999999999997"/>
    <x v="1"/>
    <x v="0"/>
    <n v="0.97999999999999987"/>
    <m/>
  </r>
  <r>
    <x v="0"/>
    <x v="267"/>
    <s v="Cap White Push Lock 2&quot; w/ Logo"/>
    <s v="EA"/>
    <m/>
    <n v="37"/>
    <n v="0.04"/>
    <n v="18.5"/>
    <x v="0"/>
    <x v="0"/>
    <n v="0.5"/>
    <m/>
  </r>
  <r>
    <x v="0"/>
    <x v="268"/>
    <s v="MM Strw Banana Smoothie Label 10oz V4"/>
    <s v="EA"/>
    <s v="5,000/RL"/>
    <n v="5995"/>
    <n v="0.6"/>
    <n v="41.96"/>
    <x v="0"/>
    <x v="0"/>
    <n v="6.9991659716430359E-3"/>
    <m/>
  </r>
  <r>
    <x v="0"/>
    <x v="254"/>
    <s v="Natural Brands Lemon Juice Gln"/>
    <s v="EA"/>
    <s v="5,000/RL"/>
    <n v="16045"/>
    <n v="1.6"/>
    <n v="447.66"/>
    <x v="0"/>
    <x v="2"/>
    <n v="2.7900280461202867E-2"/>
    <m/>
  </r>
  <r>
    <x v="0"/>
    <x v="65"/>
    <s v="Molasses"/>
    <s v="LB"/>
    <m/>
    <n v="118"/>
    <n v="118"/>
    <n v="141.61000000000001"/>
    <x v="1"/>
    <x v="0"/>
    <n v="1.200084745762712"/>
    <m/>
  </r>
  <r>
    <x v="0"/>
    <x v="269"/>
    <s v="SO Mixed Berry Omija 6+1 HGln 6pk Label"/>
    <s v="EA"/>
    <s v="5,000/RL"/>
    <n v="25000"/>
    <n v="2.5"/>
    <n v="335"/>
    <x v="0"/>
    <x v="0"/>
    <n v="1.34E-2"/>
    <m/>
  </r>
  <r>
    <x v="3"/>
    <x v="270"/>
    <s v="Lime Juice Gln Version 2"/>
    <s v="EA"/>
    <s v="5,000/RL"/>
    <n v="50000"/>
    <n v="5"/>
    <n v="670"/>
    <x v="0"/>
    <x v="1"/>
    <n v="1.34E-2"/>
    <m/>
  </r>
  <r>
    <x v="0"/>
    <x v="253"/>
    <s v="Drum Label Preprinted 4&quot; x 7.875&quot; V2"/>
    <s v="EA"/>
    <s v="500/Roll"/>
    <n v="2728"/>
    <n v="54.56"/>
    <n v="806.67"/>
    <x v="0"/>
    <x v="0"/>
    <n v="0.29570014662756594"/>
    <m/>
  </r>
  <r>
    <x v="2"/>
    <x v="267"/>
    <s v="Cap White Push Lock 2&quot; w/ Logo"/>
    <s v="EA"/>
    <m/>
    <n v="155"/>
    <n v="0.16"/>
    <n v="77.5"/>
    <x v="0"/>
    <x v="1"/>
    <n v="0.5"/>
    <m/>
  </r>
  <r>
    <x v="2"/>
    <x v="254"/>
    <s v="Natural Brands Lemon Juice Gln"/>
    <s v="EA"/>
    <s v="5,000/RL"/>
    <n v="5166"/>
    <n v="0.52"/>
    <n v="144.13"/>
    <x v="0"/>
    <x v="2"/>
    <n v="2.7899728997289971E-2"/>
    <m/>
  </r>
  <r>
    <x v="1"/>
    <x v="259"/>
    <s v="12 QT Key Lime Juice Wrap Around V3"/>
    <s v="EA"/>
    <s v="500/PLT"/>
    <n v="0"/>
    <n v="0"/>
    <n v="0"/>
    <x v="0"/>
    <x v="0"/>
    <e v="#DIV/0!"/>
    <m/>
  </r>
  <r>
    <x v="1"/>
    <x v="267"/>
    <s v="Cap White Push Lock 2&quot; w/ Logo"/>
    <s v="EA"/>
    <m/>
    <n v="-2"/>
    <n v="0"/>
    <n v="-1"/>
    <x v="0"/>
    <x v="0"/>
    <n v="0.5"/>
    <m/>
  </r>
  <r>
    <x v="3"/>
    <x v="271"/>
    <s v="Dark Orange DBJ Cap"/>
    <s v="EA"/>
    <s v="2,500/Box"/>
    <n v="175000"/>
    <n v="175"/>
    <n v="4182.5"/>
    <x v="0"/>
    <x v="1"/>
    <n v="2.3900000000000001E-2"/>
    <m/>
  </r>
  <r>
    <x v="0"/>
    <x v="264"/>
    <s v="NB Orange Juice 12oz Nutrition"/>
    <s v="EA"/>
    <s v="5,000/RL"/>
    <n v="51770"/>
    <n v="5.18"/>
    <n v="704.07"/>
    <x v="0"/>
    <x v="0"/>
    <n v="1.3599961367587407E-2"/>
    <m/>
  </r>
  <r>
    <x v="0"/>
    <x v="272"/>
    <s v="Valencia OJ 64 oz 6 pk Nutrition"/>
    <s v="EA"/>
    <s v="5,000/RL"/>
    <n v="46066"/>
    <n v="4.6100000000000003"/>
    <n v="612.67999999999995"/>
    <x v="0"/>
    <x v="0"/>
    <n v="1.3300047757565232E-2"/>
    <m/>
  </r>
  <r>
    <x v="0"/>
    <x v="270"/>
    <s v="Lime Juice Gln Version 2"/>
    <s v="EA"/>
    <s v="5,000/RL"/>
    <n v="35447"/>
    <n v="3.54"/>
    <n v="474.99"/>
    <x v="0"/>
    <x v="0"/>
    <n v="1.3400005642226423E-2"/>
    <m/>
  </r>
  <r>
    <x v="2"/>
    <x v="270"/>
    <s v="Lime Juice Gln Version 2"/>
    <s v="EA"/>
    <s v="5,000/RL"/>
    <n v="16904"/>
    <n v="1.69"/>
    <n v="226.51"/>
    <x v="0"/>
    <x v="1"/>
    <n v="1.3399787032654993E-2"/>
    <m/>
  </r>
  <r>
    <x v="3"/>
    <x v="273"/>
    <s v="Cap Yellow DBJ"/>
    <s v="EA"/>
    <s v="2,500/Box"/>
    <n v="262500"/>
    <n v="262.5"/>
    <n v="5643.75"/>
    <x v="0"/>
    <x v="1"/>
    <n v="2.1499999999999998E-2"/>
    <m/>
  </r>
  <r>
    <x v="5"/>
    <x v="274"/>
    <s v="Lime Juice Qt Version 2"/>
    <s v="EA"/>
    <s v="5,000/RL"/>
    <n v="40000"/>
    <n v="4"/>
    <n v="528"/>
    <x v="0"/>
    <x v="0"/>
    <n v="1.32E-2"/>
    <m/>
  </r>
  <r>
    <x v="2"/>
    <x v="275"/>
    <s v="Lime Juice"/>
    <s v="GL"/>
    <m/>
    <n v="360"/>
    <n v="3204"/>
    <n v="1231.31"/>
    <x v="3"/>
    <x v="1"/>
    <n v="3.4203055555555553"/>
    <m/>
  </r>
  <r>
    <x v="0"/>
    <x v="276"/>
    <s v="SOI All Natural Lemon Sour FZN 12pk Qt"/>
    <s v="CS"/>
    <s v="12/CS"/>
    <n v="1223"/>
    <n v="38471.910000000003"/>
    <n v="20734.38"/>
    <x v="2"/>
    <x v="0"/>
    <n v="16.953704006541294"/>
    <m/>
  </r>
  <r>
    <x v="12"/>
    <x v="250"/>
    <s v="Aseptic NFC Pineapple Juice"/>
    <s v="GL"/>
    <m/>
    <n v="9244.7999999999993"/>
    <n v="80791.23"/>
    <n v="51907.7"/>
    <x v="3"/>
    <x v="0"/>
    <n v="5.6147996711664936"/>
    <m/>
  </r>
  <r>
    <x v="0"/>
    <x v="277"/>
    <s v="Strw Puree 7 Brix - seedless Frozen"/>
    <s v="LB"/>
    <m/>
    <n v="1200"/>
    <n v="1200"/>
    <n v="1044"/>
    <x v="1"/>
    <x v="0"/>
    <n v="0.87"/>
    <m/>
  </r>
  <r>
    <x v="0"/>
    <x v="147"/>
    <s v="Onion Powder"/>
    <s v="LB"/>
    <m/>
    <n v="69.400000000000006"/>
    <n v="69.400000000000006"/>
    <n v="372.55"/>
    <x v="1"/>
    <x v="0"/>
    <n v="5.3681556195965419"/>
    <m/>
  </r>
  <r>
    <x v="1"/>
    <x v="263"/>
    <s v="Red DBJ Cap"/>
    <s v="EA"/>
    <s v="2,500/Box"/>
    <n v="-7500"/>
    <n v="-7.5"/>
    <n v="-162"/>
    <x v="0"/>
    <x v="0"/>
    <n v="2.1600000000000001E-2"/>
    <m/>
  </r>
  <r>
    <x v="0"/>
    <x v="263"/>
    <s v="Red DBJ Cap"/>
    <s v="EA"/>
    <s v="2,500/Box"/>
    <n v="111950"/>
    <n v="111.95"/>
    <n v="2418.12"/>
    <x v="0"/>
    <x v="0"/>
    <n v="2.1599999999999998E-2"/>
    <m/>
  </r>
  <r>
    <x v="5"/>
    <x v="112"/>
    <s v="Rasp Juice Concentrate 65 Brix"/>
    <s v="GL"/>
    <m/>
    <n v="20"/>
    <n v="219.54"/>
    <n v="1780"/>
    <x v="1"/>
    <x v="0"/>
    <n v="89"/>
    <m/>
  </r>
  <r>
    <x v="2"/>
    <x v="263"/>
    <s v="Red DBJ Cap"/>
    <s v="EA"/>
    <s v="2,500/Box"/>
    <n v="24083"/>
    <n v="24.08"/>
    <n v="520.19000000000005"/>
    <x v="0"/>
    <x v="1"/>
    <n v="2.1599883735415024E-2"/>
    <m/>
  </r>
  <r>
    <x v="3"/>
    <x v="278"/>
    <s v="12 QT Meyer Lemon Juice Wrap Around V3"/>
    <s v="EA"/>
    <s v="500/PLT"/>
    <n v="15250"/>
    <n v="15250"/>
    <n v="7109.55"/>
    <x v="0"/>
    <x v="1"/>
    <n v="0.4662"/>
    <m/>
  </r>
  <r>
    <x v="9"/>
    <x v="233"/>
    <s v="Natural Brands Lemon Juice Gln 4pk"/>
    <s v="CS"/>
    <s v="4/CS"/>
    <n v="362"/>
    <n v="12992.18"/>
    <n v="5809.45"/>
    <x v="2"/>
    <x v="2"/>
    <n v="16.048204419889501"/>
    <m/>
  </r>
  <r>
    <x v="3"/>
    <x v="279"/>
    <s v="NB Grapefruit Juice REF 12oz 12pk"/>
    <s v="CS"/>
    <s v="12/CS"/>
    <n v="78"/>
    <n v="865.8"/>
    <n v="506.55"/>
    <x v="2"/>
    <x v="1"/>
    <n v="6.4942307692307697"/>
    <m/>
  </r>
  <r>
    <x v="0"/>
    <x v="204"/>
    <s v="Aseptic Mango Puree 16 Brix"/>
    <s v="LB"/>
    <m/>
    <n v="18252"/>
    <n v="18252"/>
    <n v="9113.2199999999993"/>
    <x v="1"/>
    <x v="0"/>
    <n v="0.49929980276134117"/>
    <m/>
  </r>
  <r>
    <x v="3"/>
    <x v="280"/>
    <s v="Lemon Juice Internal Drum 45GL"/>
    <s v="GL"/>
    <m/>
    <n v="137596"/>
    <n v="1224604.3999999999"/>
    <n v="421236.39"/>
    <x v="3"/>
    <x v="1"/>
    <n v="3.0613999680223265"/>
    <m/>
  </r>
  <r>
    <x v="0"/>
    <x v="281"/>
    <s v="MM Green Smoothie Label 10oz Nutrition V3"/>
    <s v="EA"/>
    <s v="5,000/RL"/>
    <n v="42398"/>
    <n v="4.24"/>
    <n v="279.83"/>
    <x v="0"/>
    <x v="0"/>
    <n v="6.6000754752582663E-3"/>
    <m/>
  </r>
  <r>
    <x v="1"/>
    <x v="140"/>
    <s v="Banana Puree"/>
    <s v="LB"/>
    <m/>
    <n v="-275"/>
    <n v="-275"/>
    <n v="-85.08"/>
    <x v="1"/>
    <x v="0"/>
    <n v="0.3093818181818182"/>
    <m/>
  </r>
  <r>
    <x v="5"/>
    <x v="282"/>
    <s v="WHT 6/HGln Wrap Around V3"/>
    <s v="EA"/>
    <s v="500/PLT"/>
    <n v="6050"/>
    <n v="6050"/>
    <n v="3859.9"/>
    <x v="0"/>
    <x v="0"/>
    <n v="0.63800000000000001"/>
    <m/>
  </r>
  <r>
    <x v="0"/>
    <x v="283"/>
    <s v="Apple Juice Tanker"/>
    <s v="GL"/>
    <m/>
    <n v="112"/>
    <n v="981.06"/>
    <n v="247.52"/>
    <x v="3"/>
    <x v="0"/>
    <n v="2.21"/>
    <m/>
  </r>
  <r>
    <x v="2"/>
    <x v="232"/>
    <s v="Lime Juice Tanker Mexico"/>
    <s v="GL"/>
    <m/>
    <n v="74"/>
    <n v="658.6"/>
    <n v="237.52"/>
    <x v="3"/>
    <x v="1"/>
    <n v="3.2097297297297298"/>
    <m/>
  </r>
  <r>
    <x v="6"/>
    <x v="276"/>
    <s v="SOI All Natural Lemon Sour FZN 12pk Qt"/>
    <s v="CS"/>
    <s v="12/CS"/>
    <n v="2178"/>
    <n v="68513.350000000006"/>
    <n v="38093.21"/>
    <x v="2"/>
    <x v="0"/>
    <n v="17.489995408631771"/>
    <m/>
  </r>
  <r>
    <x v="2"/>
    <x v="277"/>
    <s v="Strw Puree 7 Brix - seedless Frozen"/>
    <s v="LB"/>
    <m/>
    <n v="37800"/>
    <n v="37800"/>
    <n v="32886"/>
    <x v="1"/>
    <x v="1"/>
    <n v="0.87"/>
    <m/>
  </r>
  <r>
    <x v="1"/>
    <x v="204"/>
    <s v="Aseptic Mango Puree 16 Brix"/>
    <s v="LB"/>
    <m/>
    <n v="-36"/>
    <n v="-36"/>
    <n v="-17.97"/>
    <x v="1"/>
    <x v="0"/>
    <n v="0.49916666666666665"/>
    <m/>
  </r>
  <r>
    <x v="0"/>
    <x v="278"/>
    <s v="12 QT Meyer Lemon Juice Wrap Around V3"/>
    <s v="EA"/>
    <s v="500/PLT"/>
    <n v="1620"/>
    <n v="1620"/>
    <n v="895.53"/>
    <x v="0"/>
    <x v="0"/>
    <n v="0.55279629629629623"/>
    <m/>
  </r>
  <r>
    <x v="10"/>
    <x v="233"/>
    <s v="Natural Brands Lemon Juice Gln 4pk"/>
    <s v="CS"/>
    <s v="4/CS"/>
    <n v="36"/>
    <n v="1292.04"/>
    <n v="577.74"/>
    <x v="2"/>
    <x v="2"/>
    <n v="16.048333333333332"/>
    <m/>
  </r>
  <r>
    <x v="2"/>
    <x v="278"/>
    <s v="12 QT Meyer Lemon Juice Wrap Around V3"/>
    <s v="EA"/>
    <s v="500/PLT"/>
    <n v="1830"/>
    <n v="1830"/>
    <n v="821.67"/>
    <x v="0"/>
    <x v="1"/>
    <n v="0.44899999999999995"/>
    <m/>
  </r>
  <r>
    <x v="3"/>
    <x v="277"/>
    <s v="Strw Puree 7 Brix - seedless Frozen"/>
    <s v="LB"/>
    <m/>
    <n v="5400"/>
    <n v="5400"/>
    <n v="4698"/>
    <x v="1"/>
    <x v="1"/>
    <n v="0.87"/>
    <m/>
  </r>
  <r>
    <x v="0"/>
    <x v="284"/>
    <s v="Lemon Juice Qt Nutrition V3"/>
    <s v="EA"/>
    <s v="5,000/RL"/>
    <n v="27558"/>
    <n v="2.76"/>
    <n v="275.58"/>
    <x v="0"/>
    <x v="0"/>
    <n v="0.01"/>
    <m/>
  </r>
  <r>
    <x v="5"/>
    <x v="168"/>
    <s v="4X6 Box Label"/>
    <s v="EA"/>
    <s v="5,800/RL"/>
    <n v="52200"/>
    <n v="5.22"/>
    <n v="1644.3"/>
    <x v="0"/>
    <x v="0"/>
    <n v="3.15E-2"/>
    <m/>
  </r>
  <r>
    <x v="11"/>
    <x v="233"/>
    <s v="Natural Brands Lemon Juice Gln 4pk"/>
    <s v="CS"/>
    <s v="4/CS"/>
    <n v="53"/>
    <n v="1902.17"/>
    <n v="845.69"/>
    <x v="2"/>
    <x v="2"/>
    <n v="15.956415094339624"/>
    <m/>
  </r>
  <r>
    <x v="2"/>
    <x v="284"/>
    <s v="Lemon Juice Qt Nutrition V3"/>
    <s v="EA"/>
    <s v="5,000/RL"/>
    <n v="15261"/>
    <n v="1.53"/>
    <n v="152.61000000000001"/>
    <x v="0"/>
    <x v="1"/>
    <n v="0.01"/>
    <m/>
  </r>
  <r>
    <x v="0"/>
    <x v="57"/>
    <s v="SOI Orange Juice HGln 6pk"/>
    <s v="CS"/>
    <s v="6/CS"/>
    <n v="21"/>
    <n v="588"/>
    <n v="421.56"/>
    <x v="2"/>
    <x v="0"/>
    <n v="20.074285714285715"/>
    <m/>
  </r>
  <r>
    <x v="3"/>
    <x v="285"/>
    <s v="Lime Juice Gln V2"/>
    <s v="EA"/>
    <s v="5,000/RL"/>
    <n v="50000"/>
    <n v="5"/>
    <n v="670"/>
    <x v="0"/>
    <x v="1"/>
    <n v="1.34E-2"/>
    <m/>
  </r>
  <r>
    <x v="1"/>
    <x v="284"/>
    <s v="Lemon Juice Qt Nutrition V3"/>
    <s v="EA"/>
    <s v="5,000/RL"/>
    <n v="235"/>
    <n v="0.02"/>
    <n v="2.35"/>
    <x v="0"/>
    <x v="0"/>
    <n v="0.01"/>
    <m/>
  </r>
  <r>
    <x v="1"/>
    <x v="66"/>
    <s v="Apple Puree .033 screen"/>
    <s v="LB"/>
    <m/>
    <n v="-6481.63"/>
    <n v="-6481.64"/>
    <n v="-2553.77"/>
    <x v="1"/>
    <x v="0"/>
    <n v="0.39400120031535274"/>
    <m/>
  </r>
  <r>
    <x v="3"/>
    <x v="167"/>
    <s v="SOI Lemon Juice FZN Gln 4pk"/>
    <s v="CS"/>
    <s v="4/CS"/>
    <n v="571"/>
    <n v="19723.48"/>
    <n v="8229.31"/>
    <x v="2"/>
    <x v="1"/>
    <n v="14.412101576182136"/>
    <m/>
  </r>
  <r>
    <x v="2"/>
    <x v="285"/>
    <s v="Lime Juice Gln V2"/>
    <s v="EA"/>
    <s v="5,000/RL"/>
    <n v="5612"/>
    <n v="0.56000000000000005"/>
    <n v="75.2"/>
    <x v="0"/>
    <x v="1"/>
    <n v="1.3399857448325019E-2"/>
    <m/>
  </r>
  <r>
    <x v="3"/>
    <x v="286"/>
    <s v="SO Bloody Mary Mix 6pk Hgln"/>
    <s v="CS"/>
    <s v="6/CS"/>
    <n v="328"/>
    <n v="8862.56"/>
    <n v="3022.68"/>
    <x v="2"/>
    <x v="1"/>
    <n v="9.2154878048780482"/>
    <m/>
  </r>
  <r>
    <x v="4"/>
    <x v="277"/>
    <s v="Strw Puree 7 Brix - seedless Frozen"/>
    <s v="LB"/>
    <m/>
    <n v="-12600"/>
    <n v="-12600"/>
    <n v="-10962"/>
    <x v="1"/>
    <x v="1"/>
    <n v="0.87"/>
    <m/>
  </r>
  <r>
    <x v="3"/>
    <x v="284"/>
    <s v="Lemon Juice Qt Nutrition V3"/>
    <s v="EA"/>
    <s v="5,000/RL"/>
    <n v="40000"/>
    <n v="4"/>
    <n v="400"/>
    <x v="0"/>
    <x v="1"/>
    <n v="0.01"/>
    <m/>
  </r>
  <r>
    <x v="3"/>
    <x v="287"/>
    <s v="SYSCO Lime Juice Gln 4pk"/>
    <s v="CS"/>
    <s v="4/CS"/>
    <n v="2054"/>
    <n v="74765.600000000006"/>
    <n v="31177.05"/>
    <x v="2"/>
    <x v="1"/>
    <n v="15.178700097370983"/>
    <m/>
  </r>
  <r>
    <x v="9"/>
    <x v="288"/>
    <s v="Natural Brands Grapefruit Juice Pt 12pk"/>
    <s v="CS"/>
    <s v="12/CS"/>
    <n v="1"/>
    <n v="15"/>
    <n v="22.2"/>
    <x v="2"/>
    <x v="2"/>
    <n v="22.2"/>
    <m/>
  </r>
  <r>
    <x v="5"/>
    <x v="140"/>
    <s v="Banana Puree"/>
    <s v="LB"/>
    <m/>
    <n v="2204.6"/>
    <n v="2204.6"/>
    <n v="709.44"/>
    <x v="1"/>
    <x v="0"/>
    <n v="0.32179987299283319"/>
    <m/>
  </r>
  <r>
    <x v="6"/>
    <x v="289"/>
    <s v="SO Limeade FZN 3+1 6pk 32oz Samples"/>
    <s v="CS"/>
    <s v="6/CS"/>
    <n v="163"/>
    <n v="2638.97"/>
    <n v="1512.64"/>
    <x v="2"/>
    <x v="0"/>
    <n v="9.2800000000000011"/>
    <m/>
  </r>
  <r>
    <x v="0"/>
    <x v="232"/>
    <s v="Lime Juice Tanker Mexico"/>
    <s v="GL"/>
    <m/>
    <n v="809"/>
    <n v="7200.1"/>
    <n v="2350.31"/>
    <x v="3"/>
    <x v="0"/>
    <n v="2.9052039555006179"/>
    <m/>
  </r>
  <r>
    <x v="3"/>
    <x v="290"/>
    <s v="SYSCO Orange Juice NP Gln 4pk"/>
    <s v="EA"/>
    <s v="1/EA"/>
    <n v="-2"/>
    <n v="-18.2"/>
    <n v="-12.2"/>
    <x v="2"/>
    <x v="1"/>
    <n v="6.1"/>
    <m/>
  </r>
  <r>
    <x v="2"/>
    <x v="291"/>
    <s v="LA Strw 3+1 RTB"/>
    <s v="GL"/>
    <m/>
    <n v="589"/>
    <n v="5595.5"/>
    <n v="2838.04"/>
    <x v="3"/>
    <x v="1"/>
    <n v="4.8184040747028858"/>
    <m/>
  </r>
  <r>
    <x v="0"/>
    <x v="292"/>
    <s v="RS 100% Premium Red Gft Juice 64oz Nut V2"/>
    <s v="EA"/>
    <s v="5,000/RL"/>
    <n v="9047"/>
    <n v="0.9"/>
    <n v="124.84"/>
    <x v="0"/>
    <x v="0"/>
    <n v="1.379904940864375E-2"/>
    <m/>
  </r>
  <r>
    <x v="3"/>
    <x v="290"/>
    <s v="SYSCO Orange Juice NP Gln 4pk"/>
    <s v="CS"/>
    <s v="4/CS"/>
    <n v="2105"/>
    <n v="76622"/>
    <n v="51363.08"/>
    <x v="2"/>
    <x v="1"/>
    <n v="24.400513064133019"/>
    <m/>
  </r>
  <r>
    <x v="3"/>
    <x v="122"/>
    <s v="55 Gln Plastic Drum Filled"/>
    <s v="EA"/>
    <s v="1/DRM"/>
    <n v="13466"/>
    <n v="592504"/>
    <n v="377048"/>
    <x v="3"/>
    <x v="1"/>
    <n v="28"/>
    <m/>
  </r>
  <r>
    <x v="7"/>
    <x v="286"/>
    <s v="SO Bloody Mary Mix 6pk Hgln"/>
    <s v="CS"/>
    <s v="6/CS"/>
    <n v="193"/>
    <n v="5214.8599999999997"/>
    <n v="1693.75"/>
    <x v="2"/>
    <x v="0"/>
    <n v="8.7759067357512954"/>
    <m/>
  </r>
  <r>
    <x v="1"/>
    <x v="73"/>
    <s v="MM Mixed Berries Smoothie Label 10oz V4"/>
    <s v="EA"/>
    <s v="5,000/RL"/>
    <n v="-67637"/>
    <n v="-6.76"/>
    <n v="-480.22"/>
    <x v="0"/>
    <x v="0"/>
    <n v="7.0999600810207437E-3"/>
    <m/>
  </r>
  <r>
    <x v="0"/>
    <x v="279"/>
    <s v="NB Grapefruit Juice REF 12oz 12pk"/>
    <s v="CS"/>
    <s v="12/CS"/>
    <n v="74"/>
    <n v="821.4"/>
    <n v="479.36"/>
    <x v="2"/>
    <x v="0"/>
    <n v="6.4778378378378383"/>
    <m/>
  </r>
  <r>
    <x v="0"/>
    <x v="72"/>
    <s v="5+1 Agave Lemonade Hgln Alt Spec 3"/>
    <s v="EA"/>
    <s v="5,000/RL"/>
    <n v="36147"/>
    <n v="3.61"/>
    <n v="484.37"/>
    <x v="0"/>
    <x v="0"/>
    <n v="1.3400005532962625E-2"/>
    <m/>
  </r>
  <r>
    <x v="2"/>
    <x v="72"/>
    <s v="5+1 Agave Lemonade Hgln Alt Spec 3"/>
    <s v="EA"/>
    <s v="5,000/RL"/>
    <n v="12812"/>
    <n v="1.28"/>
    <n v="171.68"/>
    <x v="0"/>
    <x v="1"/>
    <n v="1.339993755853887E-2"/>
    <m/>
  </r>
  <r>
    <x v="3"/>
    <x v="279"/>
    <s v="NB Grapefruit Juice REF 12oz 12pk"/>
    <s v="EA"/>
    <s v="1/EA"/>
    <n v="-3"/>
    <n v="-2.4300000000000002"/>
    <n v="-1.62"/>
    <x v="2"/>
    <x v="1"/>
    <n v="0.54"/>
    <m/>
  </r>
  <r>
    <x v="1"/>
    <x v="293"/>
    <s v="Mixed Berry Omija 6+1"/>
    <s v="GL"/>
    <m/>
    <n v="3625"/>
    <n v="41216.25"/>
    <n v="25401.1"/>
    <x v="3"/>
    <x v="0"/>
    <n v="7.0071999999999992"/>
    <m/>
  </r>
  <r>
    <x v="0"/>
    <x v="12"/>
    <s v="White Grape Juice Con Bin Brix 68"/>
    <s v="GL"/>
    <m/>
    <n v="3036"/>
    <n v="24288"/>
    <n v="30922.57"/>
    <x v="1"/>
    <x v="0"/>
    <n v="10.185299736495388"/>
    <m/>
  </r>
  <r>
    <x v="2"/>
    <x v="147"/>
    <s v="Onion Powder"/>
    <s v="LB"/>
    <m/>
    <n v="9.56"/>
    <n v="9.56"/>
    <n v="51.5"/>
    <x v="1"/>
    <x v="1"/>
    <n v="5.3870292887029283"/>
    <m/>
  </r>
  <r>
    <x v="6"/>
    <x v="48"/>
    <s v="SOI Old Fashioned 4+1 Lemonade Mix Hgln 6pk FZN"/>
    <s v="CS"/>
    <s v="6/CS"/>
    <n v="901"/>
    <n v="30267.29"/>
    <n v="16418.919999999998"/>
    <x v="2"/>
    <x v="0"/>
    <n v="18.222996670366257"/>
    <m/>
  </r>
  <r>
    <x v="0"/>
    <x v="294"/>
    <s v="Qt HDPE DBJ"/>
    <s v="EA"/>
    <s v="192/BAG"/>
    <n v="132827"/>
    <n v="9669.81"/>
    <n v="26233.48"/>
    <x v="0"/>
    <x v="0"/>
    <n v="0.19750111046699842"/>
    <m/>
  </r>
  <r>
    <x v="3"/>
    <x v="230"/>
    <s v="HGln HDPE DBJ"/>
    <s v="EA"/>
    <s v="108/BAG"/>
    <n v="29376"/>
    <n v="3043.35"/>
    <n v="7802.27"/>
    <x v="0"/>
    <x v="1"/>
    <n v="0.26560014978213509"/>
    <m/>
  </r>
  <r>
    <x v="0"/>
    <x v="73"/>
    <s v="MM Mixed Berries Smoothie Label 10oz V4"/>
    <s v="EA"/>
    <s v="5,000/RL"/>
    <n v="145820"/>
    <n v="14.58"/>
    <n v="1035.32"/>
    <x v="0"/>
    <x v="0"/>
    <n v="7.099986284460293E-3"/>
    <m/>
  </r>
  <r>
    <x v="7"/>
    <x v="279"/>
    <s v="NB Grapefruit Juice REF 12oz 12pk"/>
    <s v="CS"/>
    <s v="12/CS"/>
    <n v="102"/>
    <n v="1132.2"/>
    <n v="660.81"/>
    <x v="2"/>
    <x v="0"/>
    <n v="6.478529411764705"/>
    <m/>
  </r>
  <r>
    <x v="2"/>
    <x v="265"/>
    <s v="Cold Pressed Lime Oil"/>
    <s v="LB"/>
    <m/>
    <n v="36.799999999999997"/>
    <n v="36.799999999999997"/>
    <n v="1353.24"/>
    <x v="1"/>
    <x v="1"/>
    <n v="36.772826086956528"/>
    <m/>
  </r>
  <r>
    <x v="7"/>
    <x v="279"/>
    <s v="NB Grapefruit Juice REF 12oz 12pk"/>
    <s v="EA"/>
    <s v="1/EA"/>
    <n v="-3"/>
    <n v="-2.4300000000000002"/>
    <n v="-1.62"/>
    <x v="2"/>
    <x v="0"/>
    <n v="0.54"/>
    <m/>
  </r>
  <r>
    <x v="4"/>
    <x v="294"/>
    <s v="Qt HDPE DBJ"/>
    <s v="EA"/>
    <s v="192/BAG"/>
    <n v="0"/>
    <n v="0"/>
    <n v="0"/>
    <x v="0"/>
    <x v="1"/>
    <e v="#DIV/0!"/>
    <m/>
  </r>
  <r>
    <x v="3"/>
    <x v="72"/>
    <s v="5+1 Agave Lemonade Hgln Alt Spec 3"/>
    <s v="EA"/>
    <s v="5,000/RL"/>
    <n v="70000"/>
    <n v="7"/>
    <n v="938"/>
    <x v="0"/>
    <x v="1"/>
    <n v="1.34E-2"/>
    <m/>
  </r>
  <r>
    <x v="0"/>
    <x v="295"/>
    <s v="Natural Brands Lemon Juice HGln"/>
    <s v="EA"/>
    <s v="5,000/RL"/>
    <n v="56075"/>
    <n v="5.61"/>
    <n v="728.98"/>
    <x v="0"/>
    <x v="2"/>
    <n v="1.300008916629514E-2"/>
    <m/>
  </r>
  <r>
    <x v="0"/>
    <x v="296"/>
    <s v="Natural Brands Lemon Juice Qt 12pk"/>
    <s v="CS"/>
    <s v="12/CS"/>
    <n v="3"/>
    <n v="82.77"/>
    <n v="41.9"/>
    <x v="2"/>
    <x v="2"/>
    <n v="13.966666666666667"/>
    <m/>
  </r>
  <r>
    <x v="0"/>
    <x v="297"/>
    <s v="WHT 4/Gln Wrap Around V3"/>
    <s v="EA"/>
    <s v="500/PLT"/>
    <n v="577"/>
    <n v="577"/>
    <n v="467.43"/>
    <x v="0"/>
    <x v="0"/>
    <n v="0.81010398613518197"/>
    <m/>
  </r>
  <r>
    <x v="2"/>
    <x v="297"/>
    <s v="WHT 4/Gln Wrap Around V3"/>
    <s v="EA"/>
    <s v="500/PLT"/>
    <n v="10691"/>
    <n v="10691"/>
    <n v="7020.85"/>
    <x v="0"/>
    <x v="1"/>
    <n v="0.65670657562435697"/>
    <m/>
  </r>
  <r>
    <x v="2"/>
    <x v="298"/>
    <s v="SOI Valencia Oil Drum"/>
    <s v="LB"/>
    <s v="1/EA"/>
    <n v="388"/>
    <n v="388"/>
    <n v="59.25"/>
    <x v="2"/>
    <x v="1"/>
    <n v="0.15270618556701032"/>
    <m/>
  </r>
  <r>
    <x v="0"/>
    <x v="299"/>
    <s v="Ground Red Pepper"/>
    <s v="LB"/>
    <m/>
    <n v="20.5"/>
    <n v="20.5"/>
    <n v="62.6"/>
    <x v="1"/>
    <x v="0"/>
    <n v="3.0536585365853659"/>
    <m/>
  </r>
  <r>
    <x v="3"/>
    <x v="297"/>
    <s v="WHT 4/Gln Wrap Around V3"/>
    <s v="EA"/>
    <s v="500/PLT"/>
    <n v="8250"/>
    <n v="8250"/>
    <n v="5420.25"/>
    <x v="0"/>
    <x v="1"/>
    <n v="0.65700000000000003"/>
    <m/>
  </r>
  <r>
    <x v="0"/>
    <x v="300"/>
    <s v="Exberry Shade Red 153330"/>
    <s v="LB"/>
    <m/>
    <n v="110"/>
    <n v="110"/>
    <n v="1490.48"/>
    <x v="1"/>
    <x v="0"/>
    <n v="13.549818181818182"/>
    <m/>
  </r>
  <r>
    <x v="3"/>
    <x v="289"/>
    <s v="SO Limeade FZN 3+1 6pk 32oz Samples"/>
    <s v="CS"/>
    <s v="6/CS"/>
    <n v="116"/>
    <n v="1878.04"/>
    <n v="1076.48"/>
    <x v="2"/>
    <x v="1"/>
    <n v="9.2799999999999994"/>
    <m/>
  </r>
  <r>
    <x v="2"/>
    <x v="294"/>
    <s v="Qt HDPE DBJ"/>
    <s v="EA"/>
    <s v="192/BAG"/>
    <n v="3152"/>
    <n v="229.47"/>
    <n v="719.55"/>
    <x v="0"/>
    <x v="1"/>
    <n v="0.22828362944162436"/>
    <m/>
  </r>
  <r>
    <x v="3"/>
    <x v="295"/>
    <s v="Natural Brands Lemon Juice HGln"/>
    <s v="EA"/>
    <s v="5,000/RL"/>
    <n v="80000"/>
    <n v="8"/>
    <n v="1040"/>
    <x v="0"/>
    <x v="2"/>
    <n v="1.2999999999999999E-2"/>
    <m/>
  </r>
  <r>
    <x v="3"/>
    <x v="301"/>
    <s v="SOI Lemon Juice Gln 4pk"/>
    <s v="CS"/>
    <s v="4/CS"/>
    <n v="2719"/>
    <n v="98971.6"/>
    <n v="41752.379999999997"/>
    <x v="2"/>
    <x v="1"/>
    <n v="15.355785215152629"/>
    <m/>
  </r>
  <r>
    <x v="3"/>
    <x v="286"/>
    <s v="SO Bloody Mary Mix 6pk Hgln"/>
    <s v="EA"/>
    <s v="1/EA"/>
    <n v="-3"/>
    <n v="-13.5"/>
    <n v="-4.49"/>
    <x v="2"/>
    <x v="1"/>
    <n v="1.4966666666666668"/>
    <m/>
  </r>
  <r>
    <x v="5"/>
    <x v="302"/>
    <s v="NB Grapefruit Juice 12oz"/>
    <s v="EA"/>
    <s v="5,000/RL"/>
    <n v="15000"/>
    <n v="1.5"/>
    <n v="205.5"/>
    <x v="0"/>
    <x v="0"/>
    <n v="1.37E-2"/>
    <m/>
  </r>
  <r>
    <x v="1"/>
    <x v="294"/>
    <s v="Qt HDPE DBJ"/>
    <s v="EA"/>
    <s v="192/BAG"/>
    <n v="0"/>
    <n v="0"/>
    <n v="3.71"/>
    <x v="0"/>
    <x v="0"/>
    <e v="#DIV/0!"/>
    <m/>
  </r>
  <r>
    <x v="0"/>
    <x v="303"/>
    <s v="Exberry Mango Yel 450005"/>
    <s v="LB"/>
    <m/>
    <n v="342.35"/>
    <n v="342.35"/>
    <n v="1934.27"/>
    <x v="1"/>
    <x v="0"/>
    <n v="5.6499780925952967"/>
    <m/>
  </r>
  <r>
    <x v="0"/>
    <x v="114"/>
    <s v="OJ USA California Valencia Internal Drum 45GL"/>
    <s v="GL"/>
    <s v="45/DR"/>
    <n v="405"/>
    <n v="3604.5"/>
    <n v="1591.25"/>
    <x v="3"/>
    <x v="0"/>
    <n v="3.9290123456790123"/>
    <m/>
  </r>
  <r>
    <x v="2"/>
    <x v="295"/>
    <s v="Natural Brands Lemon Juice HGln"/>
    <s v="EA"/>
    <s v="5,000/RL"/>
    <n v="4234"/>
    <n v="0.42"/>
    <n v="55.04"/>
    <x v="0"/>
    <x v="2"/>
    <n v="1.2999527633443551E-2"/>
    <m/>
  </r>
  <r>
    <x v="2"/>
    <x v="19"/>
    <s v="OJ Mexican Valencia Tanker"/>
    <s v="GL"/>
    <s v="0/Tanker"/>
    <n v="959"/>
    <n v="8535.1"/>
    <n v="6137.6"/>
    <x v="3"/>
    <x v="1"/>
    <n v="6.4"/>
    <m/>
  </r>
  <r>
    <x v="2"/>
    <x v="299"/>
    <s v="Ground Red Pepper"/>
    <s v="LB"/>
    <m/>
    <n v="38.6"/>
    <n v="38.6"/>
    <n v="104.72"/>
    <x v="1"/>
    <x v="1"/>
    <n v="2.7129533678756474"/>
    <m/>
  </r>
  <r>
    <x v="3"/>
    <x v="304"/>
    <s v="BRN 4/Gln RSC"/>
    <s v="EA"/>
    <s v="500/PLT"/>
    <n v="3500"/>
    <n v="3500"/>
    <n v="2352.6999999999998"/>
    <x v="0"/>
    <x v="1"/>
    <n v="0.67219999999999991"/>
    <m/>
  </r>
  <r>
    <x v="2"/>
    <x v="114"/>
    <s v="OJ USA California Valencia Internal Drum 45GL"/>
    <s v="GL"/>
    <s v="45/DR"/>
    <n v="339"/>
    <n v="3017.1"/>
    <n v="1816.72"/>
    <x v="3"/>
    <x v="1"/>
    <n v="5.3590560471976403"/>
    <m/>
  </r>
  <r>
    <x v="0"/>
    <x v="305"/>
    <s v="SOI LA Lg Nutrition"/>
    <s v="EA"/>
    <s v="5,000/RL"/>
    <n v="32901"/>
    <n v="3.29"/>
    <n v="384.94"/>
    <x v="0"/>
    <x v="0"/>
    <n v="1.1699948329837999E-2"/>
    <m/>
  </r>
  <r>
    <x v="4"/>
    <x v="114"/>
    <s v="OJ USA California Valencia Internal Drum 45GL"/>
    <s v="GL"/>
    <s v="45/DR"/>
    <n v="1209"/>
    <n v="10760.1"/>
    <n v="2435.5700000000002"/>
    <x v="3"/>
    <x v="1"/>
    <n v="2.0145326716294458"/>
    <m/>
  </r>
  <r>
    <x v="1"/>
    <x v="297"/>
    <s v="WHT 4/Gln Wrap Around V3"/>
    <s v="EA"/>
    <s v="500/PLT"/>
    <n v="0"/>
    <n v="0"/>
    <n v="-0.06"/>
    <x v="0"/>
    <x v="0"/>
    <e v="#DIV/0!"/>
    <m/>
  </r>
  <r>
    <x v="2"/>
    <x v="306"/>
    <s v="BRN 16/Qt Wrap Around"/>
    <s v="EA"/>
    <s v="500/PLT"/>
    <n v="194"/>
    <n v="194"/>
    <n v="138.28"/>
    <x v="0"/>
    <x v="1"/>
    <n v="0.71278350515463917"/>
    <m/>
  </r>
  <r>
    <x v="3"/>
    <x v="231"/>
    <s v="Gln HDPE DBJ"/>
    <s v="EA"/>
    <s v="48/BAG"/>
    <n v="78336"/>
    <n v="11225.55"/>
    <n v="27871.95"/>
    <x v="0"/>
    <x v="1"/>
    <n v="0.35580001531862748"/>
    <m/>
  </r>
  <r>
    <x v="3"/>
    <x v="305"/>
    <s v="SOI LA Lg Nutrition"/>
    <s v="EA"/>
    <s v="5,000/RL"/>
    <n v="160000"/>
    <n v="16"/>
    <n v="1872"/>
    <x v="0"/>
    <x v="1"/>
    <n v="1.17E-2"/>
    <m/>
  </r>
  <r>
    <x v="0"/>
    <x v="302"/>
    <s v="NB Grapefruit Juice 12oz"/>
    <s v="EA"/>
    <s v="5,000/RL"/>
    <n v="36873"/>
    <n v="3.69"/>
    <n v="505.16"/>
    <x v="0"/>
    <x v="0"/>
    <n v="1.3699997287988501E-2"/>
    <m/>
  </r>
  <r>
    <x v="4"/>
    <x v="11"/>
    <s v="Strw Puree 7 Brix - seedless Chilled Aseptic"/>
    <s v="LB"/>
    <m/>
    <n v="-9218"/>
    <n v="-9218"/>
    <n v="-5352.89"/>
    <x v="1"/>
    <x v="1"/>
    <n v="0.58069971794315478"/>
    <m/>
  </r>
  <r>
    <x v="2"/>
    <x v="305"/>
    <s v="SOI LA Lg Nutrition"/>
    <s v="EA"/>
    <s v="5,000/RL"/>
    <n v="10501"/>
    <n v="1.05"/>
    <n v="122.86"/>
    <x v="0"/>
    <x v="1"/>
    <n v="1.1699838110656127E-2"/>
    <m/>
  </r>
  <r>
    <x v="3"/>
    <x v="307"/>
    <s v="BRN 6 HGln RSC"/>
    <s v="EA"/>
    <s v="500/PLT"/>
    <n v="4935"/>
    <n v="4935"/>
    <n v="2760.64"/>
    <x v="0"/>
    <x v="1"/>
    <n v="0.55940020263424517"/>
    <m/>
  </r>
  <r>
    <x v="0"/>
    <x v="308"/>
    <s v="MM Mango Smoothie Label 10oz V4"/>
    <s v="EA"/>
    <s v="5,000/RL"/>
    <n v="148008"/>
    <n v="14.8"/>
    <n v="1050.8599999999999"/>
    <x v="0"/>
    <x v="0"/>
    <n v="7.1000216204529475E-3"/>
    <m/>
  </r>
  <r>
    <x v="2"/>
    <x v="309"/>
    <s v="Meyer LA 64oz Nutrition V2"/>
    <s v="EA"/>
    <s v="5,000/RL"/>
    <n v="13190"/>
    <n v="1.32"/>
    <n v="203.13"/>
    <x v="0"/>
    <x v="1"/>
    <n v="1.5400303260045489E-2"/>
    <m/>
  </r>
  <r>
    <x v="3"/>
    <x v="60"/>
    <s v="SOI Lemon Juice Qt 6pk"/>
    <s v="CS"/>
    <s v="6/CS"/>
    <n v="2173"/>
    <n v="29878.75"/>
    <n v="14263.79"/>
    <x v="2"/>
    <x v="1"/>
    <n v="6.5641003221352969"/>
    <m/>
  </r>
  <r>
    <x v="3"/>
    <x v="114"/>
    <s v="OJ USA California Valencia Internal Drum 45GL"/>
    <s v="GL"/>
    <s v="45/DR"/>
    <n v="181915"/>
    <n v="1619043.5"/>
    <n v="768190.64"/>
    <x v="3"/>
    <x v="1"/>
    <n v="4.2227998790643984"/>
    <m/>
  </r>
  <r>
    <x v="4"/>
    <x v="297"/>
    <s v="WHT 4/Gln Wrap Around V3"/>
    <s v="EA"/>
    <s v="500/PLT"/>
    <n v="61"/>
    <n v="61"/>
    <n v="40.06"/>
    <x v="0"/>
    <x v="1"/>
    <n v="0.65672131147540991"/>
    <m/>
  </r>
  <r>
    <x v="3"/>
    <x v="310"/>
    <s v="Natural Brands 3+1 Lemonade Base &amp; Sour Mix Gln 4pk"/>
    <s v="CS"/>
    <s v="4/CS"/>
    <n v="166"/>
    <n v="6962.04"/>
    <n v="3553.81"/>
    <x v="2"/>
    <x v="2"/>
    <n v="21.408493975903614"/>
    <m/>
  </r>
  <r>
    <x v="0"/>
    <x v="311"/>
    <s v="Lime Juice HGln V2"/>
    <s v="EA"/>
    <s v="5,000/RL"/>
    <n v="15277"/>
    <n v="1.53"/>
    <n v="204.71"/>
    <x v="0"/>
    <x v="0"/>
    <n v="1.3399882175819861E-2"/>
    <m/>
  </r>
  <r>
    <x v="7"/>
    <x v="296"/>
    <s v="Natural Brands Lemon Juice Qt 12pk"/>
    <s v="CS"/>
    <s v="12/CS"/>
    <n v="80"/>
    <n v="2207.1999999999998"/>
    <n v="1121.3800000000001"/>
    <x v="2"/>
    <x v="2"/>
    <n v="14.017250000000001"/>
    <m/>
  </r>
  <r>
    <x v="0"/>
    <x v="310"/>
    <s v="Natural Brands 3+1 Lemonade Base &amp; Sour Mix Gln 4pk"/>
    <s v="CS"/>
    <s v="4/CS"/>
    <n v="4"/>
    <n v="167.76"/>
    <n v="83.82"/>
    <x v="2"/>
    <x v="2"/>
    <n v="20.954999999999998"/>
    <m/>
  </r>
  <r>
    <x v="0"/>
    <x v="309"/>
    <s v="Meyer LA 64oz Nutrition V2"/>
    <s v="EA"/>
    <s v="5,000/RL"/>
    <n v="3903"/>
    <n v="0.39"/>
    <n v="59.72"/>
    <x v="0"/>
    <x v="0"/>
    <n v="1.5301050473994363E-2"/>
    <m/>
  </r>
  <r>
    <x v="1"/>
    <x v="296"/>
    <s v="Natural Brands Lemon Juice Qt 12pk"/>
    <s v="CS"/>
    <s v="12/CS"/>
    <n v="-3"/>
    <n v="-82.77"/>
    <n v="-41.9"/>
    <x v="2"/>
    <x v="2"/>
    <n v="13.966666666666667"/>
    <m/>
  </r>
  <r>
    <x v="0"/>
    <x v="312"/>
    <s v="Refurbished 55 Gln Drum"/>
    <s v="EA"/>
    <s v="1/DRM"/>
    <n v="74"/>
    <n v="3256"/>
    <n v="3515.74"/>
    <x v="3"/>
    <x v="0"/>
    <n v="47.51"/>
    <m/>
  </r>
  <r>
    <x v="3"/>
    <x v="294"/>
    <s v="Qt HDPE DBJ"/>
    <s v="EA"/>
    <s v="192/BAG"/>
    <n v="93312"/>
    <n v="6793.11"/>
    <n v="21321.79"/>
    <x v="0"/>
    <x v="1"/>
    <n v="0.22849997856652951"/>
    <m/>
  </r>
  <r>
    <x v="0"/>
    <x v="51"/>
    <s v="NP Orange Juice Gln v1."/>
    <s v="EA"/>
    <s v="5,000/RL"/>
    <n v="37994"/>
    <n v="3.8"/>
    <n v="509.12"/>
    <x v="0"/>
    <x v="0"/>
    <n v="1.3400010527978103E-2"/>
    <m/>
  </r>
  <r>
    <x v="2"/>
    <x v="301"/>
    <s v="SOI Lemon Juice Gln 4pk"/>
    <s v="CS"/>
    <s v="4/CS"/>
    <n v="61"/>
    <n v="2220.4"/>
    <n v="944.39"/>
    <x v="2"/>
    <x v="1"/>
    <n v="15.481803278688524"/>
    <m/>
  </r>
  <r>
    <x v="4"/>
    <x v="290"/>
    <s v="SYSCO Orange Juice NP Gln 4pk"/>
    <s v="CS"/>
    <s v="4/CS"/>
    <n v="0"/>
    <n v="0"/>
    <n v="0"/>
    <x v="2"/>
    <x v="1"/>
    <e v="#DIV/0!"/>
    <m/>
  </r>
  <r>
    <x v="2"/>
    <x v="313"/>
    <s v="6 Hgln Bloody Mary Mix Wrap V3"/>
    <s v="EA"/>
    <s v="900/PLT"/>
    <n v="615"/>
    <n v="615"/>
    <n v="249.08"/>
    <x v="0"/>
    <x v="1"/>
    <n v="0.40500813008130082"/>
    <m/>
  </r>
  <r>
    <x v="2"/>
    <x v="51"/>
    <s v="NP Orange Juice Gln v1."/>
    <s v="EA"/>
    <s v="5,000/RL"/>
    <n v="18666"/>
    <n v="1.87"/>
    <n v="250.12"/>
    <x v="0"/>
    <x v="1"/>
    <n v="1.3399764277295619E-2"/>
    <m/>
  </r>
  <r>
    <x v="3"/>
    <x v="311"/>
    <s v="Lime Juice HGln V2"/>
    <s v="EA"/>
    <s v="5,000/RL"/>
    <n v="60000"/>
    <n v="6"/>
    <n v="804"/>
    <x v="0"/>
    <x v="1"/>
    <n v="1.34E-2"/>
    <m/>
  </r>
  <r>
    <x v="0"/>
    <x v="313"/>
    <s v="6 Hgln Bloody Mary Mix Wrap V3"/>
    <s v="EA"/>
    <s v="900/PLT"/>
    <n v="1177"/>
    <n v="1177"/>
    <n v="616.75"/>
    <x v="0"/>
    <x v="0"/>
    <n v="0.52400169923534412"/>
    <m/>
  </r>
  <r>
    <x v="9"/>
    <x v="296"/>
    <s v="Natural Brands Lemon Juice Qt 12pk"/>
    <s v="CS"/>
    <s v="12/CS"/>
    <n v="997"/>
    <n v="27507.23"/>
    <n v="13977.52"/>
    <x v="2"/>
    <x v="2"/>
    <n v="14.019578736208626"/>
    <m/>
  </r>
  <r>
    <x v="2"/>
    <x v="312"/>
    <s v="Refurbished 55 Gln Drum"/>
    <s v="EA"/>
    <s v="1/DRM"/>
    <n v="88"/>
    <n v="3872"/>
    <n v="2979.19"/>
    <x v="3"/>
    <x v="1"/>
    <n v="33.854431818181816"/>
    <m/>
  </r>
  <r>
    <x v="10"/>
    <x v="296"/>
    <s v="Natural Brands Lemon Juice Qt 12pk"/>
    <s v="CS"/>
    <s v="12/CS"/>
    <n v="14"/>
    <n v="386.26"/>
    <n v="196.3"/>
    <x v="2"/>
    <x v="2"/>
    <n v="14.021428571428572"/>
    <m/>
  </r>
  <r>
    <x v="0"/>
    <x v="88"/>
    <s v="SYSCO Lemon Juice Gln 4pk"/>
    <s v="CS"/>
    <s v="4/CS"/>
    <n v="2"/>
    <n v="72.8"/>
    <n v="32.119999999999997"/>
    <x v="2"/>
    <x v="0"/>
    <n v="16.059999999999999"/>
    <m/>
  </r>
  <r>
    <x v="11"/>
    <x v="296"/>
    <s v="Natural Brands Lemon Juice Qt 12pk"/>
    <s v="CS"/>
    <s v="12/CS"/>
    <n v="35"/>
    <n v="965.65"/>
    <n v="491.26"/>
    <x v="2"/>
    <x v="2"/>
    <n v="14.036"/>
    <m/>
  </r>
  <r>
    <x v="3"/>
    <x v="314"/>
    <s v="Markon Lemon Juice Gln 4pk"/>
    <s v="CS"/>
    <s v="4/CS"/>
    <n v="1197"/>
    <n v="43570.8"/>
    <n v="18212.349999999999"/>
    <x v="2"/>
    <x v="1"/>
    <n v="15.214995822890559"/>
    <m/>
  </r>
  <r>
    <x v="3"/>
    <x v="313"/>
    <s v="6 Hgln Bloody Mary Mix Wrap V3"/>
    <s v="EA"/>
    <s v="900/PLT"/>
    <n v="16900"/>
    <n v="16900"/>
    <n v="8686.6"/>
    <x v="0"/>
    <x v="1"/>
    <n v="0.51400000000000001"/>
    <m/>
  </r>
  <r>
    <x v="2"/>
    <x v="311"/>
    <s v="Lime Juice HGln V2"/>
    <s v="EA"/>
    <s v="5,000/RL"/>
    <n v="27609"/>
    <n v="2.76"/>
    <n v="369.96"/>
    <x v="0"/>
    <x v="1"/>
    <n v="1.33999782679561E-2"/>
    <m/>
  </r>
  <r>
    <x v="9"/>
    <x v="310"/>
    <s v="Natural Brands 3+1 Lemonade Base &amp; Sour Mix Gln 4pk"/>
    <s v="CS"/>
    <s v="4/CS"/>
    <n v="3637"/>
    <n v="152535.78"/>
    <n v="76283.17"/>
    <x v="2"/>
    <x v="2"/>
    <n v="20.974201264778664"/>
    <m/>
  </r>
  <r>
    <x v="9"/>
    <x v="315"/>
    <s v="Natural Brands Orange Juice Qt 12pk"/>
    <s v="CS"/>
    <s v="12/CS"/>
    <n v="1"/>
    <n v="29"/>
    <n v="33.590000000000003"/>
    <x v="2"/>
    <x v="2"/>
    <n v="33.590000000000003"/>
    <m/>
  </r>
  <r>
    <x v="0"/>
    <x v="301"/>
    <s v="SOI Lemon Juice Gln 4pk"/>
    <s v="CS"/>
    <s v="4/CS"/>
    <n v="1"/>
    <n v="36.4"/>
    <n v="15.97"/>
    <x v="2"/>
    <x v="0"/>
    <n v="15.97"/>
    <m/>
  </r>
  <r>
    <x v="9"/>
    <x v="316"/>
    <s v="Natural Brands Lemonade HGln 9pk"/>
    <s v="CS"/>
    <s v="9/CS"/>
    <n v="58"/>
    <n v="2436"/>
    <n v="1305"/>
    <x v="2"/>
    <x v="2"/>
    <n v="22.5"/>
    <m/>
  </r>
  <r>
    <x v="11"/>
    <x v="316"/>
    <s v="Natural Brands Lemonade HGln 9pk"/>
    <s v="CS"/>
    <s v="9/CS"/>
    <n v="5"/>
    <n v="210"/>
    <n v="112.5"/>
    <x v="2"/>
    <x v="2"/>
    <n v="22.5"/>
    <m/>
  </r>
  <r>
    <x v="3"/>
    <x v="317"/>
    <s v="Lemon Juice Qt V3"/>
    <s v="EA"/>
    <s v="5,000/RL"/>
    <n v="40000"/>
    <n v="4"/>
    <n v="528"/>
    <x v="0"/>
    <x v="1"/>
    <n v="1.32E-2"/>
    <m/>
  </r>
  <r>
    <x v="0"/>
    <x v="271"/>
    <s v="Dark Orange DBJ Cap"/>
    <s v="EA"/>
    <s v="2,500/Box"/>
    <n v="103746"/>
    <n v="103.75"/>
    <n v="2479.5300000000002"/>
    <x v="0"/>
    <x v="0"/>
    <n v="2.3900005783355504E-2"/>
    <m/>
  </r>
  <r>
    <x v="2"/>
    <x v="271"/>
    <s v="Dark Orange DBJ Cap"/>
    <s v="EA"/>
    <s v="2,500/Box"/>
    <n v="119068"/>
    <n v="119.07"/>
    <n v="2845.73"/>
    <x v="0"/>
    <x v="1"/>
    <n v="2.3900040313098399E-2"/>
    <m/>
  </r>
  <r>
    <x v="3"/>
    <x v="318"/>
    <s v="FTNF Lemon Oil Juicy"/>
    <s v="LB"/>
    <m/>
    <n v="33"/>
    <n v="33"/>
    <n v="1178.76"/>
    <x v="1"/>
    <x v="1"/>
    <n v="35.72"/>
    <m/>
  </r>
  <r>
    <x v="0"/>
    <x v="54"/>
    <s v="Sysco Lime Juice Gln v1."/>
    <s v="EA"/>
    <s v="5,000/RL"/>
    <n v="32857"/>
    <n v="3.29"/>
    <n v="440.28"/>
    <x v="0"/>
    <x v="0"/>
    <n v="1.3399884347323249E-2"/>
    <m/>
  </r>
  <r>
    <x v="7"/>
    <x v="249"/>
    <s v="Margarita Mix 6pk HGln Rykoff Sexton"/>
    <s v="CS"/>
    <s v="6/CS"/>
    <n v="898"/>
    <n v="25503.200000000001"/>
    <n v="9384.01"/>
    <x v="2"/>
    <x v="0"/>
    <n v="10.449899777282852"/>
    <m/>
  </r>
  <r>
    <x v="2"/>
    <x v="319"/>
    <s v="SOI Margarita Mix 3+1 HGln V2"/>
    <s v="EA"/>
    <s v="5,000/RL"/>
    <n v="1709"/>
    <n v="0.17"/>
    <n v="22.73"/>
    <x v="0"/>
    <x v="1"/>
    <n v="1.3300175541252195E-2"/>
    <m/>
  </r>
  <r>
    <x v="3"/>
    <x v="300"/>
    <s v="Exberry Shade Red 153330"/>
    <s v="LB"/>
    <m/>
    <n v="110"/>
    <n v="110"/>
    <n v="1490.41"/>
    <x v="1"/>
    <x v="1"/>
    <n v="13.549181818181818"/>
    <m/>
  </r>
  <r>
    <x v="4"/>
    <x v="271"/>
    <s v="Dark Orange DBJ Cap"/>
    <s v="EA"/>
    <s v="2,500/Box"/>
    <n v="-8725"/>
    <n v="-8.73"/>
    <n v="-208.53"/>
    <x v="0"/>
    <x v="1"/>
    <n v="2.390028653295129E-2"/>
    <m/>
  </r>
  <r>
    <x v="1"/>
    <x v="310"/>
    <s v="Natural Brands 3+1 Lemonade Base &amp; Sour Mix Gln 4pk"/>
    <s v="CS"/>
    <s v="4/CS"/>
    <n v="-2"/>
    <n v="-83.88"/>
    <n v="-41.85"/>
    <x v="2"/>
    <x v="2"/>
    <n v="20.925000000000001"/>
    <m/>
  </r>
  <r>
    <x v="8"/>
    <x v="310"/>
    <s v="Natural Brands 3+1 Lemonade Base &amp; Sour Mix Gln 4pk"/>
    <s v="CS"/>
    <s v="4/CS"/>
    <n v="0"/>
    <n v="0"/>
    <n v="0"/>
    <x v="2"/>
    <x v="2"/>
    <e v="#DIV/0!"/>
    <m/>
  </r>
  <r>
    <x v="0"/>
    <x v="319"/>
    <s v="SOI Margarita Mix 3+1 HGln V2"/>
    <s v="EA"/>
    <s v="5,000/RL"/>
    <n v="51326"/>
    <n v="5.13"/>
    <n v="687.77"/>
    <x v="0"/>
    <x v="0"/>
    <n v="1.3400031173284494E-2"/>
    <m/>
  </r>
  <r>
    <x v="10"/>
    <x v="310"/>
    <s v="Natural Brands 3+1 Lemonade Base &amp; Sour Mix Gln 4pk"/>
    <s v="CS"/>
    <s v="4/CS"/>
    <n v="17"/>
    <n v="712.98"/>
    <n v="353.24"/>
    <x v="2"/>
    <x v="2"/>
    <n v="20.778823529411767"/>
    <m/>
  </r>
  <r>
    <x v="0"/>
    <x v="317"/>
    <s v="Lemon Juice Qt V3"/>
    <s v="EA"/>
    <s v="5,000/RL"/>
    <n v="34132"/>
    <n v="3.41"/>
    <n v="447.13"/>
    <x v="0"/>
    <x v="0"/>
    <n v="1.3100023438415563E-2"/>
    <m/>
  </r>
  <r>
    <x v="11"/>
    <x v="310"/>
    <s v="Natural Brands 3+1 Lemonade Base &amp; Sour Mix Gln 4pk"/>
    <s v="CS"/>
    <s v="4/CS"/>
    <n v="240"/>
    <n v="10065.6"/>
    <n v="4986.83"/>
    <x v="2"/>
    <x v="2"/>
    <n v="20.778458333333333"/>
    <m/>
  </r>
  <r>
    <x v="2"/>
    <x v="317"/>
    <s v="Lemon Juice Qt V3"/>
    <s v="EA"/>
    <s v="5,000/RL"/>
    <n v="14398"/>
    <n v="1.44"/>
    <n v="190.05"/>
    <x v="0"/>
    <x v="1"/>
    <n v="1.3199749965272956E-2"/>
    <m/>
  </r>
  <r>
    <x v="1"/>
    <x v="271"/>
    <s v="Dark Orange DBJ Cap"/>
    <s v="EA"/>
    <s v="2,500/Box"/>
    <n v="0"/>
    <n v="0"/>
    <n v="-0.01"/>
    <x v="0"/>
    <x v="0"/>
    <e v="#DIV/0!"/>
    <m/>
  </r>
  <r>
    <x v="1"/>
    <x v="317"/>
    <s v="Lemon Juice Qt V3"/>
    <s v="EA"/>
    <s v="5,000/RL"/>
    <n v="235"/>
    <n v="0.02"/>
    <n v="3.08"/>
    <x v="0"/>
    <x v="0"/>
    <n v="1.3106382978723404E-2"/>
    <m/>
  </r>
  <r>
    <x v="2"/>
    <x v="54"/>
    <s v="Sysco Lime Juice Gln v1."/>
    <s v="EA"/>
    <s v="5,000/RL"/>
    <n v="12992"/>
    <n v="1.3"/>
    <n v="174.09"/>
    <x v="0"/>
    <x v="1"/>
    <n v="1.3399784482758621E-2"/>
    <m/>
  </r>
  <r>
    <x v="0"/>
    <x v="320"/>
    <s v="Garlic Powder"/>
    <s v="LB"/>
    <m/>
    <n v="56.4"/>
    <n v="56.4"/>
    <n v="373.46"/>
    <x v="1"/>
    <x v="0"/>
    <n v="6.6216312056737587"/>
    <m/>
  </r>
  <r>
    <x v="0"/>
    <x v="318"/>
    <s v="FTNF Lemon Oil Juicy"/>
    <s v="LB"/>
    <m/>
    <n v="231"/>
    <n v="231"/>
    <n v="8304.57"/>
    <x v="1"/>
    <x v="0"/>
    <n v="35.950519480519482"/>
    <m/>
  </r>
  <r>
    <x v="3"/>
    <x v="71"/>
    <s v="SOI Marg Mix Gln 4pk"/>
    <s v="EA"/>
    <s v="1/EA"/>
    <n v="-6"/>
    <n v="-54.6"/>
    <n v="-14.29"/>
    <x v="2"/>
    <x v="1"/>
    <n v="2.3816666666666664"/>
    <m/>
  </r>
  <r>
    <x v="2"/>
    <x v="320"/>
    <s v="Garlic Powder"/>
    <s v="LB"/>
    <m/>
    <n v="47.2"/>
    <n v="47.2"/>
    <n v="306.81"/>
    <x v="1"/>
    <x v="1"/>
    <n v="6.5002118644067792"/>
    <m/>
  </r>
  <r>
    <x v="3"/>
    <x v="71"/>
    <s v="SOI Marg Mix Gln 4pk"/>
    <s v="CS"/>
    <s v="4/CS"/>
    <n v="236"/>
    <n v="8590.4"/>
    <n v="2248.54"/>
    <x v="2"/>
    <x v="1"/>
    <n v="9.5277118644067791"/>
    <m/>
  </r>
  <r>
    <x v="2"/>
    <x v="318"/>
    <s v="FTNF Lemon Oil Juicy"/>
    <s v="LB"/>
    <m/>
    <n v="35.9"/>
    <n v="35.9"/>
    <n v="1125"/>
    <x v="1"/>
    <x v="1"/>
    <n v="31.337047353760447"/>
    <m/>
  </r>
  <r>
    <x v="3"/>
    <x v="321"/>
    <s v="Natural Brands Lemon Juice Qt"/>
    <s v="EA"/>
    <s v="5,000/RL"/>
    <n v="50000"/>
    <n v="5"/>
    <n v="745"/>
    <x v="0"/>
    <x v="2"/>
    <n v="1.49E-2"/>
    <m/>
  </r>
  <r>
    <x v="0"/>
    <x v="322"/>
    <s v="MM Strw Banana Smoothie Label 10oz Nutrition V3"/>
    <s v="EA"/>
    <s v="5,000/RL"/>
    <n v="26690"/>
    <n v="2.67"/>
    <n v="178.82"/>
    <x v="0"/>
    <x v="0"/>
    <n v="6.699887598351442E-3"/>
    <m/>
  </r>
  <r>
    <x v="0"/>
    <x v="60"/>
    <s v="SOI Lemon Juice Qt 6pk"/>
    <s v="CS"/>
    <s v="6/CS"/>
    <n v="4"/>
    <n v="55"/>
    <n v="28.1"/>
    <x v="2"/>
    <x v="0"/>
    <n v="7.0250000000000004"/>
    <m/>
  </r>
  <r>
    <x v="0"/>
    <x v="323"/>
    <s v="Treatt Lavender Treattarome 9792"/>
    <s v="LB"/>
    <m/>
    <n v="1167.4000000000001"/>
    <n v="1167.4000000000001"/>
    <n v="53699"/>
    <x v="1"/>
    <x v="0"/>
    <n v="45.998800753811885"/>
    <m/>
  </r>
  <r>
    <x v="0"/>
    <x v="321"/>
    <s v="Natural Brands Lemon Juice Qt"/>
    <s v="EA"/>
    <s v="5,000/RL"/>
    <n v="27494"/>
    <n v="2.75"/>
    <n v="409.66"/>
    <x v="0"/>
    <x v="2"/>
    <n v="1.4899978177056813E-2"/>
    <m/>
  </r>
  <r>
    <x v="0"/>
    <x v="62"/>
    <s v="SOI LA Lg v.2."/>
    <s v="EA"/>
    <s v="5,000/RL"/>
    <n v="22301"/>
    <n v="2.23"/>
    <n v="298.83"/>
    <x v="0"/>
    <x v="0"/>
    <n v="1.3399847540469037E-2"/>
    <m/>
  </r>
  <r>
    <x v="3"/>
    <x v="274"/>
    <s v="Lime Juice Qt Version 2"/>
    <s v="EA"/>
    <s v="5,000/RL"/>
    <n v="60000"/>
    <n v="6"/>
    <n v="792"/>
    <x v="0"/>
    <x v="1"/>
    <n v="1.32E-2"/>
    <m/>
  </r>
  <r>
    <x v="2"/>
    <x v="62"/>
    <s v="SOI LA Lg v.2."/>
    <s v="EA"/>
    <s v="5,000/RL"/>
    <n v="14448"/>
    <n v="1.44"/>
    <n v="177.71"/>
    <x v="0"/>
    <x v="1"/>
    <n v="1.2299972314507199E-2"/>
    <m/>
  </r>
  <r>
    <x v="3"/>
    <x v="241"/>
    <s v="SOI Lime Juice FZN Qt 6pk"/>
    <s v="CS"/>
    <s v="6/CS"/>
    <n v="1425"/>
    <n v="18730.2"/>
    <n v="9566.4500000000007"/>
    <x v="2"/>
    <x v="1"/>
    <n v="6.7132982456140358"/>
    <m/>
  </r>
  <r>
    <x v="0"/>
    <x v="274"/>
    <s v="Lime Juice Qt Version 2"/>
    <s v="EA"/>
    <s v="5,000/RL"/>
    <n v="21393"/>
    <n v="2.14"/>
    <n v="282.39"/>
    <x v="0"/>
    <x v="0"/>
    <n v="1.320011218622914E-2"/>
    <m/>
  </r>
  <r>
    <x v="2"/>
    <x v="324"/>
    <s v="Premium Lemonade Flavor Base 1:50 (0322F-50)"/>
    <s v="LB"/>
    <m/>
    <n v="133"/>
    <n v="133"/>
    <n v="222.93"/>
    <x v="1"/>
    <x v="1"/>
    <n v="1.6761654135338346"/>
    <m/>
  </r>
  <r>
    <x v="0"/>
    <x v="325"/>
    <s v="Markon Lemon Juice HGln 6pk"/>
    <s v="CS"/>
    <s v="6/CS"/>
    <n v="1"/>
    <n v="28"/>
    <n v="12.6"/>
    <x v="2"/>
    <x v="0"/>
    <n v="12.6"/>
    <m/>
  </r>
  <r>
    <x v="0"/>
    <x v="64"/>
    <s v="Lemon Cells"/>
    <s v="LB"/>
    <m/>
    <n v="3000"/>
    <n v="3000"/>
    <n v="1832.7"/>
    <x v="1"/>
    <x v="0"/>
    <n v="0.6109"/>
    <m/>
  </r>
  <r>
    <x v="4"/>
    <x v="282"/>
    <s v="WHT 6/HGln Wrap Around V3"/>
    <s v="EA"/>
    <s v="500/PLT"/>
    <n v="0"/>
    <n v="0"/>
    <n v="0"/>
    <x v="0"/>
    <x v="1"/>
    <e v="#DIV/0!"/>
    <m/>
  </r>
  <r>
    <x v="5"/>
    <x v="326"/>
    <s v="NB Grapefruit Juice 12oz Nutrition"/>
    <s v="EA"/>
    <s v="5,000/RL"/>
    <n v="10000"/>
    <n v="1"/>
    <n v="136"/>
    <x v="0"/>
    <x v="0"/>
    <n v="1.3599999999999999E-2"/>
    <m/>
  </r>
  <r>
    <x v="1"/>
    <x v="141"/>
    <s v="Protab VIT Premix w\o maltodextrin 001780"/>
    <s v="LB"/>
    <m/>
    <n v="-67.7"/>
    <n v="-67.7"/>
    <n v="-427.19"/>
    <x v="1"/>
    <x v="0"/>
    <n v="6.3100443131462329"/>
    <m/>
  </r>
  <r>
    <x v="2"/>
    <x v="274"/>
    <s v="Lime Juice Qt Version 2"/>
    <s v="EA"/>
    <s v="5,000/RL"/>
    <n v="4998"/>
    <n v="0.5"/>
    <n v="65.97"/>
    <x v="0"/>
    <x v="1"/>
    <n v="1.3199279711884754E-2"/>
    <m/>
  </r>
  <r>
    <x v="0"/>
    <x v="282"/>
    <s v="WHT 6/HGln Wrap Around V3"/>
    <s v="EA"/>
    <s v="500/PLT"/>
    <n v="435"/>
    <n v="435"/>
    <n v="277.49"/>
    <x v="0"/>
    <x v="0"/>
    <n v="0.63790804597701156"/>
    <m/>
  </r>
  <r>
    <x v="3"/>
    <x v="324"/>
    <s v="Premium Lemonade Flavor Base 1:50 (0322F-50)"/>
    <s v="LB"/>
    <m/>
    <n v="1906"/>
    <n v="1906"/>
    <n v="3194.84"/>
    <x v="1"/>
    <x v="1"/>
    <n v="1.6762014690451208"/>
    <m/>
  </r>
  <r>
    <x v="2"/>
    <x v="282"/>
    <s v="WHT 6/HGln Wrap Around V3"/>
    <s v="EA"/>
    <s v="500/PLT"/>
    <n v="2591"/>
    <n v="2591"/>
    <n v="1453.55"/>
    <x v="0"/>
    <x v="1"/>
    <n v="0.56099961404862986"/>
    <m/>
  </r>
  <r>
    <x v="0"/>
    <x v="324"/>
    <s v="Premium Lemonade Flavor Base 1:50 (0322F-50)"/>
    <s v="LB"/>
    <m/>
    <n v="7624"/>
    <n v="7624"/>
    <n v="12508.7"/>
    <x v="1"/>
    <x v="0"/>
    <n v="1.6407004197271775"/>
    <m/>
  </r>
  <r>
    <x v="3"/>
    <x v="282"/>
    <s v="WHT 6/HGln Wrap Around V3"/>
    <s v="EA"/>
    <s v="500/PLT"/>
    <n v="10450"/>
    <n v="10450"/>
    <n v="5862.45"/>
    <x v="0"/>
    <x v="1"/>
    <n v="0.56099999999999994"/>
    <m/>
  </r>
  <r>
    <x v="0"/>
    <x v="229"/>
    <s v="Marion Blackberry Puree"/>
    <s v="LB"/>
    <m/>
    <n v="1642"/>
    <n v="1642"/>
    <n v="1609.16"/>
    <x v="1"/>
    <x v="0"/>
    <n v="0.98000000000000009"/>
    <m/>
  </r>
  <r>
    <x v="3"/>
    <x v="327"/>
    <s v="Qdoba Lime Juice Gln 4pk"/>
    <s v="CS"/>
    <s v="4/CS"/>
    <n v="1004"/>
    <n v="36545.599999999999"/>
    <n v="15223.65"/>
    <x v="2"/>
    <x v="1"/>
    <n v="15.162998007968127"/>
    <m/>
  </r>
  <r>
    <x v="3"/>
    <x v="328"/>
    <s v="Lime Juice Qt Nutrition Version 2"/>
    <s v="EA"/>
    <s v="5,000/RL"/>
    <n v="95000"/>
    <n v="9.5"/>
    <n v="950"/>
    <x v="0"/>
    <x v="1"/>
    <n v="0.01"/>
    <m/>
  </r>
  <r>
    <x v="0"/>
    <x v="328"/>
    <s v="Lime Juice Qt Nutrition Version 2"/>
    <s v="EA"/>
    <s v="5,000/RL"/>
    <n v="29893"/>
    <n v="2.99"/>
    <n v="301.92"/>
    <x v="0"/>
    <x v="0"/>
    <n v="1.0100023416853444E-2"/>
    <m/>
  </r>
  <r>
    <x v="0"/>
    <x v="108"/>
    <s v="Rasp Puree 9 Brix"/>
    <s v="LB"/>
    <m/>
    <n v="2172.8000000000002"/>
    <n v="2172.8000000000002"/>
    <n v="3963.84"/>
    <x v="1"/>
    <x v="0"/>
    <n v="1.824300441826215"/>
    <m/>
  </r>
  <r>
    <x v="0"/>
    <x v="326"/>
    <s v="NB Grapefruit Juice 12oz Nutrition"/>
    <s v="EA"/>
    <s v="5,000/RL"/>
    <n v="46985"/>
    <n v="4.7"/>
    <n v="639"/>
    <x v="0"/>
    <x v="0"/>
    <n v="1.3600085133553262E-2"/>
    <m/>
  </r>
  <r>
    <x v="3"/>
    <x v="218"/>
    <s v="SOI Lime Juice FZN Qt 16pk"/>
    <s v="CS"/>
    <s v="16/CS"/>
    <n v="296"/>
    <n v="10360"/>
    <n v="5474.9"/>
    <x v="2"/>
    <x v="1"/>
    <n v="18.496283783783781"/>
    <m/>
  </r>
  <r>
    <x v="1"/>
    <x v="282"/>
    <s v="WHT 6/HGln Wrap Around V3"/>
    <s v="EA"/>
    <s v="500/PLT"/>
    <n v="0"/>
    <n v="0"/>
    <n v="-0.13"/>
    <x v="0"/>
    <x v="0"/>
    <e v="#DIV/0!"/>
    <m/>
  </r>
  <r>
    <x v="2"/>
    <x v="64"/>
    <s v="Lemon Cells"/>
    <s v="LB"/>
    <m/>
    <n v="1434"/>
    <n v="1434"/>
    <n v="857.82"/>
    <x v="1"/>
    <x v="1"/>
    <n v="0.59820083682008374"/>
    <m/>
  </r>
  <r>
    <x v="5"/>
    <x v="22"/>
    <s v="LA Gln V2"/>
    <s v="EA"/>
    <s v="5,000/RL"/>
    <n v="10000"/>
    <n v="1"/>
    <n v="134"/>
    <x v="0"/>
    <x v="0"/>
    <n v="1.34E-2"/>
    <m/>
  </r>
  <r>
    <x v="2"/>
    <x v="328"/>
    <s v="Lime Juice Qt Nutrition Version 2"/>
    <s v="EA"/>
    <s v="5,000/RL"/>
    <n v="1401"/>
    <n v="0.14000000000000001"/>
    <n v="14.01"/>
    <x v="0"/>
    <x v="1"/>
    <n v="0.01"/>
    <m/>
  </r>
  <r>
    <x v="3"/>
    <x v="329"/>
    <s v="SYSCO Lime Juice Qt 6pk"/>
    <s v="EA"/>
    <s v="1/EA"/>
    <n v="-2"/>
    <n v="-4.33"/>
    <n v="-2.27"/>
    <x v="2"/>
    <x v="1"/>
    <n v="1.135"/>
    <m/>
  </r>
  <r>
    <x v="2"/>
    <x v="163"/>
    <s v="Balsamic Vinegar, 60 grain"/>
    <s v="LB"/>
    <m/>
    <n v="100.45"/>
    <n v="100.45"/>
    <n v="322.33999999999997"/>
    <x v="1"/>
    <x v="1"/>
    <n v="3.2089596814335488"/>
    <m/>
  </r>
  <r>
    <x v="4"/>
    <x v="102"/>
    <s v="Flavorchem Vanilla 93.7309"/>
    <s v="LB"/>
    <m/>
    <n v="-10"/>
    <n v="-10"/>
    <n v="-172.07"/>
    <x v="1"/>
    <x v="1"/>
    <n v="17.207000000000001"/>
    <m/>
  </r>
  <r>
    <x v="3"/>
    <x v="329"/>
    <s v="SYSCO Lime Juice Qt 6pk"/>
    <s v="CS"/>
    <s v="6/CS"/>
    <n v="1724"/>
    <n v="22412"/>
    <n v="11694.41"/>
    <x v="2"/>
    <x v="1"/>
    <n v="6.7833004640371231"/>
    <m/>
  </r>
  <r>
    <x v="9"/>
    <x v="330"/>
    <s v="Natural Brands Lemonade Pt 12pk"/>
    <s v="CS"/>
    <s v="12/CS"/>
    <n v="8"/>
    <n v="120"/>
    <n v="115.2"/>
    <x v="2"/>
    <x v="2"/>
    <n v="14.4"/>
    <m/>
  </r>
  <r>
    <x v="0"/>
    <x v="140"/>
    <s v="Banana Puree"/>
    <s v="LB"/>
    <m/>
    <n v="19569.150000000001"/>
    <n v="19569.150000000001"/>
    <n v="6287.57"/>
    <x v="1"/>
    <x v="0"/>
    <n v="0.32130010756726785"/>
    <m/>
  </r>
  <r>
    <x v="9"/>
    <x v="331"/>
    <s v="Natural Brands Lemon Juice Qt 6pk"/>
    <s v="CS"/>
    <s v="6/CS"/>
    <n v="191"/>
    <n v="2651.08"/>
    <n v="1353.18"/>
    <x v="2"/>
    <x v="2"/>
    <n v="7.0847120418848171"/>
    <m/>
  </r>
  <r>
    <x v="0"/>
    <x v="332"/>
    <s v="SOI All Natural Lemon Sour QT V2"/>
    <s v="EA"/>
    <s v="5,000/RL"/>
    <n v="19345"/>
    <n v="1.93"/>
    <n v="255.35"/>
    <x v="0"/>
    <x v="0"/>
    <n v="1.3199793228224347E-2"/>
    <m/>
  </r>
  <r>
    <x v="3"/>
    <x v="333"/>
    <s v="SOI Lime Juice Qt 6pk"/>
    <s v="EA"/>
    <s v="1/EA"/>
    <n v="-1"/>
    <n v="-2.17"/>
    <n v="-1.1399999999999999"/>
    <x v="2"/>
    <x v="1"/>
    <n v="1.1399999999999999"/>
    <m/>
  </r>
  <r>
    <x v="3"/>
    <x v="334"/>
    <s v="SOI Lime Juice Gln 4pk"/>
    <s v="CS"/>
    <s v="4/CS"/>
    <n v="2921"/>
    <n v="104863.9"/>
    <n v="44604.84"/>
    <x v="2"/>
    <x v="1"/>
    <n v="15.270400547757616"/>
    <m/>
  </r>
  <r>
    <x v="0"/>
    <x v="163"/>
    <s v="Balsamic Vinegar, 60 grain"/>
    <s v="LB"/>
    <m/>
    <n v="828.93"/>
    <n v="828.93"/>
    <n v="2177.1"/>
    <x v="1"/>
    <x v="0"/>
    <n v="2.6263978864319064"/>
    <m/>
  </r>
  <r>
    <x v="3"/>
    <x v="333"/>
    <s v="SOI Lime Juice Qt 6pk"/>
    <s v="CS"/>
    <s v="6/CS"/>
    <n v="2838"/>
    <n v="39164.400000000001"/>
    <n v="19398.02"/>
    <x v="2"/>
    <x v="1"/>
    <n v="6.8351021846370683"/>
    <m/>
  </r>
  <r>
    <x v="0"/>
    <x v="335"/>
    <s v="NB Lemonade RTS REF 12oz 12pk"/>
    <s v="CS"/>
    <s v="12/CS"/>
    <n v="203"/>
    <n v="2277.66"/>
    <n v="794.69"/>
    <x v="2"/>
    <x v="0"/>
    <n v="3.9147290640394092"/>
    <m/>
  </r>
  <r>
    <x v="5"/>
    <x v="25"/>
    <s v="GOLD DBJ Cap"/>
    <s v="EA"/>
    <s v="2,500/Box"/>
    <n v="87500"/>
    <n v="87.5"/>
    <n v="2082.5"/>
    <x v="0"/>
    <x v="0"/>
    <n v="2.3800000000000002E-2"/>
    <m/>
  </r>
  <r>
    <x v="1"/>
    <x v="336"/>
    <s v="Blue DBJ Cap"/>
    <s v="EA"/>
    <s v="2,500/Box"/>
    <n v="0"/>
    <n v="0"/>
    <n v="0"/>
    <x v="0"/>
    <x v="0"/>
    <e v="#DIV/0!"/>
    <m/>
  </r>
  <r>
    <x v="3"/>
    <x v="335"/>
    <s v="NB Lemonade RTS REF 12oz 12pk"/>
    <s v="EA"/>
    <s v="1/EA"/>
    <n v="-3"/>
    <n v="-2.46"/>
    <n v="-0.95"/>
    <x v="2"/>
    <x v="1"/>
    <n v="0.31666666666666665"/>
    <m/>
  </r>
  <r>
    <x v="0"/>
    <x v="336"/>
    <s v="Blue DBJ Cap"/>
    <s v="EA"/>
    <s v="2,500/Box"/>
    <n v="50150"/>
    <n v="50.15"/>
    <n v="1088.26"/>
    <x v="0"/>
    <x v="0"/>
    <n v="2.1700099700897309E-2"/>
    <m/>
  </r>
  <r>
    <x v="3"/>
    <x v="63"/>
    <s v="Strawberry Flavor 090"/>
    <s v="LB"/>
    <m/>
    <n v="1300"/>
    <n v="1300"/>
    <n v="19269.12"/>
    <x v="1"/>
    <x v="1"/>
    <n v="14.8224"/>
    <m/>
  </r>
  <r>
    <x v="0"/>
    <x v="337"/>
    <s v="Kiwi Fruit Puree"/>
    <s v="LB"/>
    <m/>
    <n v="2000"/>
    <n v="2000"/>
    <n v="1473.2"/>
    <x v="1"/>
    <x v="0"/>
    <n v="0.73660000000000003"/>
    <m/>
  </r>
  <r>
    <x v="3"/>
    <x v="338"/>
    <s v="Markon Lime Juice Gln 4pk"/>
    <s v="CS"/>
    <s v="4/CS"/>
    <n v="1872"/>
    <n v="68140.800000000003"/>
    <n v="28647.23"/>
    <x v="2"/>
    <x v="1"/>
    <n v="15.303007478632479"/>
    <m/>
  </r>
  <r>
    <x v="7"/>
    <x v="335"/>
    <s v="NB Lemonade RTS REF 12oz 12pk"/>
    <s v="CS"/>
    <s v="12/CS"/>
    <n v="167"/>
    <n v="1873.74"/>
    <n v="653.55999999999995"/>
    <x v="2"/>
    <x v="0"/>
    <n v="3.9135329341317364"/>
    <m/>
  </r>
  <r>
    <x v="7"/>
    <x v="335"/>
    <s v="NB Lemonade RTS REF 12oz 12pk"/>
    <s v="EA"/>
    <s v="1/EA"/>
    <n v="-3"/>
    <n v="-2.46"/>
    <n v="-0.98"/>
    <x v="2"/>
    <x v="0"/>
    <n v="0.32666666666666666"/>
    <m/>
  </r>
  <r>
    <x v="9"/>
    <x v="339"/>
    <s v="Natural Brands Orange Juice Pt 12pk"/>
    <s v="CS"/>
    <s v="12/CS"/>
    <n v="41"/>
    <n v="615"/>
    <n v="959.4"/>
    <x v="2"/>
    <x v="2"/>
    <n v="23.4"/>
    <m/>
  </r>
  <r>
    <x v="2"/>
    <x v="340"/>
    <s v="6 Hgln Marg Mix Wrap Around V3"/>
    <s v="EA"/>
    <s v="900/PLT"/>
    <n v="455"/>
    <n v="455"/>
    <n v="155.61000000000001"/>
    <x v="0"/>
    <x v="1"/>
    <n v="0.34200000000000003"/>
    <m/>
  </r>
  <r>
    <x v="1"/>
    <x v="249"/>
    <s v="Margarita Mix 6pk HGln Rykoff Sexton"/>
    <s v="CS"/>
    <s v="6/CS"/>
    <n v="-1"/>
    <n v="-28.4"/>
    <n v="-10.55"/>
    <x v="2"/>
    <x v="0"/>
    <n v="10.55"/>
    <m/>
  </r>
  <r>
    <x v="0"/>
    <x v="340"/>
    <s v="6 Hgln Marg Mix Wrap Around V3"/>
    <s v="EA"/>
    <s v="900/PLT"/>
    <n v="1207"/>
    <n v="1207"/>
    <n v="726.13"/>
    <x v="0"/>
    <x v="0"/>
    <n v="0.60159900579950287"/>
    <m/>
  </r>
  <r>
    <x v="3"/>
    <x v="340"/>
    <s v="6 Hgln Marg Mix Wrap Around V3"/>
    <s v="EA"/>
    <s v="900/PLT"/>
    <n v="4660"/>
    <n v="4660"/>
    <n v="1593.72"/>
    <x v="0"/>
    <x v="1"/>
    <n v="0.34200000000000003"/>
    <m/>
  </r>
  <r>
    <x v="3"/>
    <x v="335"/>
    <s v="NB Lemonade RTS REF 12oz 12pk"/>
    <s v="CS"/>
    <s v="12/CS"/>
    <n v="123"/>
    <n v="1380.06"/>
    <n v="466.45"/>
    <x v="2"/>
    <x v="1"/>
    <n v="3.7922764227642274"/>
    <m/>
  </r>
  <r>
    <x v="5"/>
    <x v="32"/>
    <s v="12oz PET Bottle DBJ Neck"/>
    <s v="EA"/>
    <m/>
    <n v="112000"/>
    <n v="51430.400000000001"/>
    <n v="14728"/>
    <x v="0"/>
    <x v="0"/>
    <n v="0.13150000000000001"/>
    <m/>
  </r>
  <r>
    <x v="4"/>
    <x v="341"/>
    <s v="OJ"/>
    <s v="GL"/>
    <m/>
    <n v="14028"/>
    <n v="124849.2"/>
    <n v="72381.67"/>
    <x v="3"/>
    <x v="1"/>
    <n v="5.1597996863416027"/>
    <m/>
  </r>
  <r>
    <x v="0"/>
    <x v="342"/>
    <s v="Natural Brands Lime Juice HGln"/>
    <s v="EA"/>
    <s v="5,000/RL"/>
    <n v="63792"/>
    <n v="6.38"/>
    <n v="848.43"/>
    <x v="0"/>
    <x v="2"/>
    <n v="1.3299943566591421E-2"/>
    <m/>
  </r>
  <r>
    <x v="5"/>
    <x v="96"/>
    <s v="BRN 12pk 12oz RSC"/>
    <s v="EA"/>
    <s v="1,125/PLT"/>
    <n v="41625"/>
    <n v="41625"/>
    <n v="15359.63"/>
    <x v="0"/>
    <x v="0"/>
    <n v="0.36900012012012012"/>
    <m/>
  </r>
  <r>
    <x v="5"/>
    <x v="343"/>
    <s v="BRN 16/Qt Wrap Around V2"/>
    <s v="EA"/>
    <s v="500/PLT"/>
    <n v="22000"/>
    <n v="22000"/>
    <n v="14986.4"/>
    <x v="0"/>
    <x v="0"/>
    <n v="0.68120000000000003"/>
    <m/>
  </r>
  <r>
    <x v="4"/>
    <x v="344"/>
    <s v="Markon LA Gln 4pk"/>
    <s v="CS"/>
    <s v="4/CS"/>
    <n v="0"/>
    <n v="0"/>
    <n v="0"/>
    <x v="2"/>
    <x v="1"/>
    <e v="#DIV/0!"/>
    <m/>
  </r>
  <r>
    <x v="1"/>
    <x v="48"/>
    <s v="SOI Old Fashioned 4+1 Lemonade Mix Hgln 6pk FZN"/>
    <s v="CS"/>
    <s v="6/CS"/>
    <n v="-1200"/>
    <n v="-40311.599999999999"/>
    <n v="-21867.599999999999"/>
    <x v="2"/>
    <x v="0"/>
    <n v="18.222999999999999"/>
    <m/>
  </r>
  <r>
    <x v="3"/>
    <x v="24"/>
    <s v="SOI 3+1 Sweet LA Mix FZN HGln 9pk"/>
    <s v="CS"/>
    <s v="9/CS"/>
    <n v="170"/>
    <n v="8330"/>
    <n v="3922.31"/>
    <x v="2"/>
    <x v="1"/>
    <n v="23.072411764705883"/>
    <m/>
  </r>
  <r>
    <x v="7"/>
    <x v="44"/>
    <s v="Bloody Mary Mix 6pk Hgln Rykoff Sexton"/>
    <s v="CS"/>
    <s v="6/CS"/>
    <n v="526"/>
    <n v="13481.38"/>
    <n v="4654.3100000000004"/>
    <x v="2"/>
    <x v="0"/>
    <n v="8.8484980988593165"/>
    <m/>
  </r>
  <r>
    <x v="3"/>
    <x v="342"/>
    <s v="Natural Brands Lime Juice HGln"/>
    <s v="EA"/>
    <s v="5,000/RL"/>
    <n v="80000"/>
    <n v="8"/>
    <n v="1040"/>
    <x v="0"/>
    <x v="2"/>
    <n v="1.2999999999999999E-2"/>
    <m/>
  </r>
  <r>
    <x v="2"/>
    <x v="342"/>
    <s v="Natural Brands Lime Juice HGln"/>
    <s v="EA"/>
    <s v="5,000/RL"/>
    <n v="5119"/>
    <n v="0.51"/>
    <n v="66.55"/>
    <x v="0"/>
    <x v="2"/>
    <n v="1.3000586051963274E-2"/>
    <m/>
  </r>
  <r>
    <x v="1"/>
    <x v="71"/>
    <s v="SOI Marg Mix Gln 4pk"/>
    <s v="CS"/>
    <s v="4/CS"/>
    <n v="0"/>
    <n v="0"/>
    <n v="166.73"/>
    <x v="2"/>
    <x v="0"/>
    <e v="#DIV/0!"/>
    <m/>
  </r>
  <r>
    <x v="2"/>
    <x v="304"/>
    <s v="BRN 4/Gln RSC"/>
    <s v="EA"/>
    <s v="500/PLT"/>
    <n v="488"/>
    <n v="488"/>
    <n v="328.03"/>
    <x v="0"/>
    <x v="1"/>
    <n v="0.67219262295081961"/>
    <m/>
  </r>
  <r>
    <x v="0"/>
    <x v="68"/>
    <s v="Blended Orange Pulp Cells"/>
    <s v="LB"/>
    <m/>
    <n v="1954.15"/>
    <n v="1954.15"/>
    <n v="1404.06"/>
    <x v="1"/>
    <x v="0"/>
    <n v="0.71850165033390467"/>
    <m/>
  </r>
  <r>
    <x v="5"/>
    <x v="119"/>
    <s v="Drum Liner .003 ML Clear Length 38&quot;W X 72&quot; L"/>
    <s v="EA"/>
    <s v="75/box"/>
    <n v="8905"/>
    <n v="4452.5"/>
    <n v="6629.77"/>
    <x v="0"/>
    <x v="0"/>
    <n v="0.7444997192588434"/>
    <m/>
  </r>
  <r>
    <x v="2"/>
    <x v="68"/>
    <s v="Blended Orange Pulp Cells"/>
    <s v="LB"/>
    <m/>
    <n v="4900"/>
    <n v="4900"/>
    <n v="3093.88"/>
    <x v="1"/>
    <x v="1"/>
    <n v="0.63140408163265305"/>
    <m/>
  </r>
  <r>
    <x v="1"/>
    <x v="203"/>
    <s v="Defoamer"/>
    <s v="LB"/>
    <m/>
    <n v="0"/>
    <n v="0"/>
    <n v="0"/>
    <x v="1"/>
    <x v="0"/>
    <e v="#DIV/0!"/>
    <m/>
  </r>
  <r>
    <x v="2"/>
    <x v="307"/>
    <s v="BRN 6 HGln RSC"/>
    <s v="EA"/>
    <s v="500/PLT"/>
    <n v="449"/>
    <n v="449"/>
    <n v="250.59"/>
    <x v="0"/>
    <x v="1"/>
    <n v="0.55810690423162579"/>
    <m/>
  </r>
  <r>
    <x v="1"/>
    <x v="102"/>
    <s v="Flavorchem Vanilla 93.7309"/>
    <s v="LB"/>
    <m/>
    <n v="-10.5"/>
    <n v="-10.5"/>
    <n v="-180.52"/>
    <x v="1"/>
    <x v="0"/>
    <n v="17.192380952380955"/>
    <m/>
  </r>
  <r>
    <x v="0"/>
    <x v="209"/>
    <s v="BRN 4/Gln Wrap Around V2"/>
    <s v="EA"/>
    <s v="520/PLT"/>
    <n v="769"/>
    <n v="769"/>
    <n v="578.4"/>
    <x v="0"/>
    <x v="0"/>
    <n v="0.75214564369310788"/>
    <m/>
  </r>
  <r>
    <x v="0"/>
    <x v="345"/>
    <s v="Natural Brands Lime Juice HGln 9pk"/>
    <s v="CS"/>
    <s v="9/CS"/>
    <n v="12"/>
    <n v="488.28"/>
    <n v="215.75"/>
    <x v="2"/>
    <x v="2"/>
    <n v="17.979166666666668"/>
    <m/>
  </r>
  <r>
    <x v="2"/>
    <x v="209"/>
    <s v="BRN 4/Gln Wrap Around V2"/>
    <s v="EA"/>
    <s v="520/PLT"/>
    <n v="2762"/>
    <n v="2762"/>
    <n v="1643.39"/>
    <x v="0"/>
    <x v="1"/>
    <n v="0.59500000000000008"/>
    <m/>
  </r>
  <r>
    <x v="3"/>
    <x v="155"/>
    <s v="White Grape Juice Con Drum Brix 68"/>
    <s v="GL"/>
    <m/>
    <n v="2450"/>
    <n v="29400"/>
    <n v="29399.02"/>
    <x v="1"/>
    <x v="1"/>
    <n v="11.999600000000001"/>
    <m/>
  </r>
  <r>
    <x v="3"/>
    <x v="345"/>
    <s v="Natural Brands Lime Juice HGln 9pk"/>
    <s v="CS"/>
    <s v="9/CS"/>
    <n v="3033"/>
    <n v="123412.77"/>
    <n v="53978.27"/>
    <x v="2"/>
    <x v="2"/>
    <n v="17.796989779096602"/>
    <m/>
  </r>
  <r>
    <x v="3"/>
    <x v="209"/>
    <s v="BRN 4/Gln Wrap Around V2"/>
    <s v="EA"/>
    <s v="520/PLT"/>
    <n v="19800"/>
    <n v="19800"/>
    <n v="11781"/>
    <x v="0"/>
    <x v="1"/>
    <n v="0.59499999999999997"/>
    <m/>
  </r>
  <r>
    <x v="5"/>
    <x v="340"/>
    <s v="6 Hgln Marg Mix Wrap Around V3"/>
    <s v="EA"/>
    <s v="900/PLT"/>
    <n v="4510"/>
    <n v="4510"/>
    <n v="2714.12"/>
    <x v="0"/>
    <x v="0"/>
    <n v="0.60180044345897998"/>
    <m/>
  </r>
  <r>
    <x v="4"/>
    <x v="209"/>
    <s v="BRN 4/Gln Wrap Around V2"/>
    <s v="EA"/>
    <s v="520/PLT"/>
    <n v="-2000"/>
    <n v="-2000"/>
    <n v="-1190"/>
    <x v="0"/>
    <x v="1"/>
    <n v="0.59499999999999997"/>
    <m/>
  </r>
  <r>
    <x v="0"/>
    <x v="346"/>
    <s v="Robertet Blackberry Flv NV-71,606"/>
    <s v="LB"/>
    <m/>
    <n v="619.6"/>
    <n v="619.6"/>
    <n v="5719.9"/>
    <x v="1"/>
    <x v="0"/>
    <n v="9.2316010329244662"/>
    <m/>
  </r>
  <r>
    <x v="3"/>
    <x v="1"/>
    <s v="Lemon Juice Concentrate 400 GPL"/>
    <s v="GL"/>
    <s v="54/Drum"/>
    <n v="3480"/>
    <n v="36644.400000000001"/>
    <n v="47228.12"/>
    <x v="1"/>
    <x v="1"/>
    <n v="13.571298850574713"/>
    <m/>
  </r>
  <r>
    <x v="5"/>
    <x v="347"/>
    <s v="NB Strawberry Lemonade 12oz"/>
    <s v="EA"/>
    <s v="5,000/RL"/>
    <n v="15000"/>
    <n v="1.5"/>
    <n v="205.5"/>
    <x v="0"/>
    <x v="0"/>
    <n v="1.37E-2"/>
    <m/>
  </r>
  <r>
    <x v="5"/>
    <x v="35"/>
    <s v="MM Mango Smoothie Label 10oz Nutrition V3"/>
    <s v="EA"/>
    <s v="5,000/RL"/>
    <n v="405000"/>
    <n v="40.5"/>
    <n v="2713.5"/>
    <x v="0"/>
    <x v="0"/>
    <n v="6.7000000000000002E-3"/>
    <m/>
  </r>
  <r>
    <x v="1"/>
    <x v="345"/>
    <s v="Natural Brands Lime Juice HGln 9pk"/>
    <s v="CS"/>
    <s v="9/CS"/>
    <n v="-12"/>
    <n v="-488.28"/>
    <n v="-215.75"/>
    <x v="2"/>
    <x v="2"/>
    <n v="17.979166666666668"/>
    <m/>
  </r>
  <r>
    <x v="5"/>
    <x v="93"/>
    <s v="Lime Juice Tote in Gallons Mexico"/>
    <s v="GL"/>
    <m/>
    <n v="1524"/>
    <n v="13563.6"/>
    <n v="5393.28"/>
    <x v="3"/>
    <x v="0"/>
    <n v="3.5388976377952752"/>
    <m/>
  </r>
  <r>
    <x v="8"/>
    <x v="345"/>
    <s v="Natural Brands Lime Juice HGln 9pk"/>
    <s v="CS"/>
    <s v="9/CS"/>
    <n v="78"/>
    <n v="3173.82"/>
    <n v="1388.53"/>
    <x v="2"/>
    <x v="2"/>
    <n v="17.801666666666666"/>
    <m/>
  </r>
  <r>
    <x v="7"/>
    <x v="24"/>
    <s v="SOI 3+1 Sweet LA Mix FZN HGln 9pk"/>
    <s v="CS"/>
    <s v="9/CS"/>
    <n v="142"/>
    <n v="6958"/>
    <n v="3066.75"/>
    <x v="2"/>
    <x v="0"/>
    <n v="21.596830985915492"/>
    <m/>
  </r>
  <r>
    <x v="1"/>
    <x v="209"/>
    <s v="BRN 4/Gln Wrap Around V2"/>
    <s v="EA"/>
    <s v="520/PLT"/>
    <n v="-109"/>
    <n v="-109"/>
    <n v="-81.92"/>
    <x v="0"/>
    <x v="0"/>
    <n v="0.75155963302752293"/>
    <m/>
  </r>
  <r>
    <x v="9"/>
    <x v="345"/>
    <s v="Natural Brands Lime Juice HGln 9pk"/>
    <s v="CS"/>
    <s v="9/CS"/>
    <n v="1833"/>
    <n v="74584.77"/>
    <n v="33303.96"/>
    <x v="2"/>
    <x v="2"/>
    <n v="18.169099836333878"/>
    <m/>
  </r>
  <r>
    <x v="10"/>
    <x v="345"/>
    <s v="Natural Brands Lime Juice HGln 9pk"/>
    <s v="CS"/>
    <s v="9/CS"/>
    <n v="451"/>
    <n v="18351.189999999999"/>
    <n v="8150.92"/>
    <x v="2"/>
    <x v="2"/>
    <n v="18.0729933481153"/>
    <m/>
  </r>
  <r>
    <x v="0"/>
    <x v="347"/>
    <s v="NB Strawberry Lemonade 12oz"/>
    <s v="EA"/>
    <s v="5,000/RL"/>
    <n v="33379"/>
    <n v="3.34"/>
    <n v="457.29"/>
    <x v="0"/>
    <x v="0"/>
    <n v="1.3699931094400672E-2"/>
    <m/>
  </r>
  <r>
    <x v="8"/>
    <x v="11"/>
    <s v="Strw Puree 7 Brix - seedless Chilled Aseptic"/>
    <s v="LB"/>
    <m/>
    <n v="0"/>
    <n v="0"/>
    <n v="-853.59"/>
    <x v="1"/>
    <x v="1"/>
    <e v="#DIV/0!"/>
    <m/>
  </r>
  <r>
    <x v="2"/>
    <x v="348"/>
    <s v="Peach Honey Chamomile Tea 6pk/64oz"/>
    <s v="EA"/>
    <s v="5,000/RL"/>
    <n v="11460"/>
    <n v="1.1499999999999999"/>
    <n v="153.56"/>
    <x v="0"/>
    <x v="1"/>
    <n v="1.3399650959860385E-2"/>
    <m/>
  </r>
  <r>
    <x v="11"/>
    <x v="345"/>
    <s v="Natural Brands Lime Juice HGln 9pk"/>
    <s v="CS"/>
    <s v="9/CS"/>
    <n v="789"/>
    <n v="32104.41"/>
    <n v="14181.63"/>
    <x v="2"/>
    <x v="2"/>
    <n v="17.974182509505702"/>
    <m/>
  </r>
  <r>
    <x v="4"/>
    <x v="349"/>
    <s v="OJ Enhanced"/>
    <s v="GL"/>
    <m/>
    <n v="9904"/>
    <n v="88145.600000000006"/>
    <n v="52030.66"/>
    <x v="3"/>
    <x v="1"/>
    <n v="5.2534995961227793"/>
    <m/>
  </r>
  <r>
    <x v="3"/>
    <x v="350"/>
    <s v="Sysco Lemon Juice Gln v.2"/>
    <s v="EA"/>
    <s v="5,000/RL"/>
    <n v="10000"/>
    <n v="1"/>
    <n v="134"/>
    <x v="0"/>
    <x v="1"/>
    <n v="1.34E-2"/>
    <m/>
  </r>
  <r>
    <x v="1"/>
    <x v="169"/>
    <s v="Valencia Cells"/>
    <s v="LB"/>
    <m/>
    <n v="0"/>
    <n v="0"/>
    <n v="0"/>
    <x v="1"/>
    <x v="0"/>
    <e v="#DIV/0!"/>
    <m/>
  </r>
  <r>
    <x v="5"/>
    <x v="259"/>
    <s v="12 QT Key Lime Juice Wrap Around V3"/>
    <s v="EA"/>
    <s v="500/PLT"/>
    <n v="7700"/>
    <n v="7700"/>
    <n v="4658.5"/>
    <x v="0"/>
    <x v="0"/>
    <n v="0.60499999999999998"/>
    <m/>
  </r>
  <r>
    <x v="3"/>
    <x v="298"/>
    <s v="SOI Valencia Oil Drum"/>
    <s v="LB"/>
    <s v="1/EA"/>
    <n v="6053"/>
    <n v="6053"/>
    <n v="928.53"/>
    <x v="2"/>
    <x v="1"/>
    <n v="0.15339996695853295"/>
    <m/>
  </r>
  <r>
    <x v="5"/>
    <x v="336"/>
    <s v="Blue DBJ Cap"/>
    <s v="EA"/>
    <s v="2,500/Box"/>
    <n v="1472500"/>
    <n v="1472.5"/>
    <n v="31806"/>
    <x v="0"/>
    <x v="0"/>
    <n v="2.1600000000000001E-2"/>
    <m/>
  </r>
  <r>
    <x v="5"/>
    <x v="351"/>
    <s v="BRN 12 QT Wrap Around V2"/>
    <s v="EA"/>
    <s v="500/PLT"/>
    <n v="36300"/>
    <n v="36300"/>
    <n v="21380.7"/>
    <x v="0"/>
    <x v="0"/>
    <n v="0.58899999999999997"/>
    <m/>
  </r>
  <r>
    <x v="3"/>
    <x v="348"/>
    <s v="Peach Honey Chamomile Tea 6pk/64oz"/>
    <s v="EA"/>
    <s v="5,000/RL"/>
    <n v="30000"/>
    <n v="3"/>
    <n v="402"/>
    <x v="0"/>
    <x v="1"/>
    <n v="1.34E-2"/>
    <m/>
  </r>
  <r>
    <x v="3"/>
    <x v="352"/>
    <s v="Red Grapefruit Juice NFC Tanker"/>
    <s v="GL"/>
    <m/>
    <n v="5722"/>
    <n v="50925.8"/>
    <n v="20484.759999999998"/>
    <x v="3"/>
    <x v="1"/>
    <n v="3.5799999999999996"/>
    <m/>
  </r>
  <r>
    <x v="5"/>
    <x v="294"/>
    <s v="Qt HDPE DBJ"/>
    <s v="EA"/>
    <s v="192/BAG"/>
    <n v="207360"/>
    <n v="15095.81"/>
    <n v="40787.72"/>
    <x v="0"/>
    <x v="0"/>
    <n v="0.19670003858024693"/>
    <m/>
  </r>
  <r>
    <x v="3"/>
    <x v="353"/>
    <s v="Creative BevBlends 3+1 Sweet LA Mix FZN HGln 9pk"/>
    <s v="CS"/>
    <s v="9/CS"/>
    <n v="550"/>
    <n v="26950"/>
    <n v="11595.1"/>
    <x v="2"/>
    <x v="1"/>
    <n v="21.082000000000001"/>
    <m/>
  </r>
  <r>
    <x v="3"/>
    <x v="61"/>
    <s v="Concord Grape Concentrate"/>
    <s v="GL"/>
    <m/>
    <n v="500"/>
    <n v="5565"/>
    <n v="9750"/>
    <x v="1"/>
    <x v="1"/>
    <n v="19.5"/>
    <m/>
  </r>
  <r>
    <x v="2"/>
    <x v="354"/>
    <s v="55 Gln Drum"/>
    <s v="EA"/>
    <s v="1/DRM"/>
    <n v="1084"/>
    <n v="47696"/>
    <n v="25863.48"/>
    <x v="3"/>
    <x v="1"/>
    <n v="23.859298892988928"/>
    <m/>
  </r>
  <r>
    <x v="0"/>
    <x v="355"/>
    <s v="Mango Flavor 110"/>
    <s v="LB"/>
    <m/>
    <n v="998.9"/>
    <n v="998.9"/>
    <n v="13055.62"/>
    <x v="1"/>
    <x v="0"/>
    <n v="13.069996996696368"/>
    <m/>
  </r>
  <r>
    <x v="0"/>
    <x v="266"/>
    <s v="Cap White DBJ"/>
    <s v="EA"/>
    <s v="2,500/Box"/>
    <n v="76149"/>
    <n v="76.150000000000006"/>
    <n v="1637.2"/>
    <x v="0"/>
    <x v="0"/>
    <n v="2.1499954037479153E-2"/>
    <m/>
  </r>
  <r>
    <x v="3"/>
    <x v="356"/>
    <s v="Natural Brands Lime Juice Qt"/>
    <s v="EA"/>
    <s v="5,000/RL"/>
    <n v="45000"/>
    <n v="4.5"/>
    <n v="670.5"/>
    <x v="0"/>
    <x v="2"/>
    <n v="1.49E-2"/>
    <m/>
  </r>
  <r>
    <x v="2"/>
    <x v="266"/>
    <s v="Cap White DBJ"/>
    <s v="EA"/>
    <s v="2,500/Box"/>
    <n v="3210"/>
    <n v="3.21"/>
    <n v="68.05"/>
    <x v="0"/>
    <x v="1"/>
    <n v="2.1199376947040497E-2"/>
    <m/>
  </r>
  <r>
    <x v="5"/>
    <x v="357"/>
    <s v="Green Premix w/o WheatG &amp; Garlic  001973"/>
    <s v="LB"/>
    <s v="55/BOX"/>
    <n v="495"/>
    <n v="495"/>
    <n v="9939.6"/>
    <x v="1"/>
    <x v="0"/>
    <n v="20.080000000000002"/>
    <m/>
  </r>
  <r>
    <x v="0"/>
    <x v="356"/>
    <s v="Natural Brands Lime Juice Qt"/>
    <s v="EA"/>
    <s v="5,000/RL"/>
    <n v="16681"/>
    <n v="1.67"/>
    <n v="231.87"/>
    <x v="0"/>
    <x v="2"/>
    <n v="1.3900245788621786E-2"/>
    <m/>
  </r>
  <r>
    <x v="7"/>
    <x v="241"/>
    <s v="SOI Lime Juice FZN Qt 6pk"/>
    <s v="CS"/>
    <s v="6/CS"/>
    <n v="470"/>
    <n v="6177.68"/>
    <n v="2770.16"/>
    <x v="2"/>
    <x v="0"/>
    <n v="5.8939574468085105"/>
    <m/>
  </r>
  <r>
    <x v="4"/>
    <x v="266"/>
    <s v="Cap White DBJ"/>
    <s v="EA"/>
    <s v="2,500/Box"/>
    <n v="0"/>
    <n v="0"/>
    <n v="0"/>
    <x v="0"/>
    <x v="1"/>
    <e v="#DIV/0!"/>
    <m/>
  </r>
  <r>
    <x v="2"/>
    <x v="356"/>
    <s v="Natural Brands Lime Juice Qt"/>
    <s v="EA"/>
    <s v="5,000/RL"/>
    <n v="4276"/>
    <n v="0.43"/>
    <n v="63.71"/>
    <x v="0"/>
    <x v="2"/>
    <n v="1.4899438727782975E-2"/>
    <m/>
  </r>
  <r>
    <x v="1"/>
    <x v="355"/>
    <s v="Mango Flavor 110"/>
    <s v="LB"/>
    <m/>
    <n v="-14"/>
    <n v="-14"/>
    <n v="-182.98"/>
    <x v="1"/>
    <x v="0"/>
    <n v="13.069999999999999"/>
    <m/>
  </r>
  <r>
    <x v="1"/>
    <x v="192"/>
    <s v="Strw Puree w/seeds Chilled Aseptic"/>
    <s v="LB"/>
    <m/>
    <n v="5732.1"/>
    <n v="5732.12"/>
    <n v="3296.54"/>
    <x v="1"/>
    <x v="0"/>
    <n v="0.57510162069747561"/>
    <m/>
  </r>
  <r>
    <x v="2"/>
    <x v="358"/>
    <s v="SOI Sweet &amp; Sour Mix 3+1 Nutrition V2"/>
    <s v="EA"/>
    <s v="5,000/RL"/>
    <n v="30000"/>
    <n v="3"/>
    <n v="351"/>
    <x v="0"/>
    <x v="1"/>
    <n v="1.17E-2"/>
    <m/>
  </r>
  <r>
    <x v="0"/>
    <x v="359"/>
    <s v="LA 3+1 HGln  v2"/>
    <s v="EA"/>
    <s v="5,000/RL"/>
    <n v="24224"/>
    <n v="2.42"/>
    <n v="324.60000000000002"/>
    <x v="0"/>
    <x v="0"/>
    <n v="1.3399933949801851E-2"/>
    <m/>
  </r>
  <r>
    <x v="0"/>
    <x v="358"/>
    <s v="SOI Sweet &amp; Sour Mix 3+1 Nutrition V2"/>
    <s v="EA"/>
    <s v="5,000/RL"/>
    <n v="3649"/>
    <n v="0.36"/>
    <n v="43.06"/>
    <x v="0"/>
    <x v="0"/>
    <n v="1.1800493285831735E-2"/>
    <m/>
  </r>
  <r>
    <x v="1"/>
    <x v="106"/>
    <s v="SOI CP Lemon Oil Drum"/>
    <s v="LB"/>
    <s v="400/LB"/>
    <n v="-21.59"/>
    <n v="-21.59"/>
    <n v="-4.1100000000000003"/>
    <x v="2"/>
    <x v="0"/>
    <n v="0.190365910143585"/>
    <m/>
  </r>
  <r>
    <x v="1"/>
    <x v="44"/>
    <s v="Bloody Mary Mix 6pk Hgln Rykoff Sexton"/>
    <s v="CS"/>
    <s v="6/CS"/>
    <n v="-1"/>
    <n v="-25.63"/>
    <n v="-8.7899999999999991"/>
    <x v="2"/>
    <x v="0"/>
    <n v="8.7899999999999991"/>
    <m/>
  </r>
  <r>
    <x v="3"/>
    <x v="92"/>
    <s v="SOI NP Orange Juice FZN 61.5oz 6pk"/>
    <s v="CS"/>
    <s v="6/CS"/>
    <n v="1062"/>
    <n v="27612"/>
    <n v="18233.900000000001"/>
    <x v="2"/>
    <x v="1"/>
    <n v="17.169397363465162"/>
    <m/>
  </r>
  <r>
    <x v="5"/>
    <x v="284"/>
    <s v="Lemon Juice Qt Nutrition V3"/>
    <s v="EA"/>
    <s v="5,000/RL"/>
    <n v="40000"/>
    <n v="4"/>
    <n v="400"/>
    <x v="0"/>
    <x v="0"/>
    <n v="0.01"/>
    <m/>
  </r>
  <r>
    <x v="0"/>
    <x v="360"/>
    <s v="NB Strawberry Lemonade 12oz Nutrition"/>
    <s v="EA"/>
    <s v="5,000/RL"/>
    <n v="75158"/>
    <n v="7.52"/>
    <n v="1074.76"/>
    <x v="0"/>
    <x v="0"/>
    <n v="1.4300007983182096E-2"/>
    <m/>
  </r>
  <r>
    <x v="4"/>
    <x v="273"/>
    <s v="Cap Yellow DBJ"/>
    <s v="EA"/>
    <s v="2,500/Box"/>
    <n v="152"/>
    <n v="0.15"/>
    <n v="3.27"/>
    <x v="0"/>
    <x v="1"/>
    <n v="2.1513157894736842E-2"/>
    <m/>
  </r>
  <r>
    <x v="4"/>
    <x v="361"/>
    <s v="BRN 6 HGln Wrap Around V2"/>
    <s v="EA"/>
    <s v="500/PLT"/>
    <n v="27459"/>
    <n v="27459"/>
    <n v="12513.07"/>
    <x v="0"/>
    <x v="1"/>
    <n v="0.45570013474634907"/>
    <m/>
  </r>
  <r>
    <x v="7"/>
    <x v="362"/>
    <s v="Natural Brands Lime Juice Qt 12pk"/>
    <s v="CS"/>
    <s v="12/CS"/>
    <n v="0"/>
    <n v="0"/>
    <n v="0.03"/>
    <x v="2"/>
    <x v="2"/>
    <e v="#DIV/0!"/>
    <m/>
  </r>
  <r>
    <x v="1"/>
    <x v="362"/>
    <s v="Natural Brands Lime Juice Qt 12pk"/>
    <s v="CS"/>
    <s v="12/CS"/>
    <n v="0"/>
    <n v="0"/>
    <n v="25.04"/>
    <x v="2"/>
    <x v="2"/>
    <e v="#DIV/0!"/>
    <m/>
  </r>
  <r>
    <x v="2"/>
    <x v="183"/>
    <s v="Oil Drum"/>
    <s v="EA"/>
    <s v="1/DRM"/>
    <n v="258"/>
    <n v="11352"/>
    <n v="15884.85"/>
    <x v="3"/>
    <x v="1"/>
    <n v="61.569186046511632"/>
    <m/>
  </r>
  <r>
    <x v="0"/>
    <x v="327"/>
    <s v="Qdoba Lime Juice Gln 4pk"/>
    <s v="CS"/>
    <s v="4/CS"/>
    <n v="1"/>
    <n v="36.4"/>
    <n v="13.44"/>
    <x v="2"/>
    <x v="0"/>
    <n v="13.44"/>
    <m/>
  </r>
  <r>
    <x v="0"/>
    <x v="334"/>
    <s v="SOI Lime Juice Gln 4pk"/>
    <s v="CS"/>
    <s v="4/CS"/>
    <n v="3"/>
    <n v="107.7"/>
    <n v="41.2"/>
    <x v="2"/>
    <x v="0"/>
    <n v="13.733333333333334"/>
    <m/>
  </r>
  <r>
    <x v="3"/>
    <x v="358"/>
    <s v="SOI Sweet &amp; Sour Mix 3+1 Nutrition V2"/>
    <s v="EA"/>
    <s v="5,000/RL"/>
    <n v="15000"/>
    <n v="1.5"/>
    <n v="175.5"/>
    <x v="0"/>
    <x v="1"/>
    <n v="1.17E-2"/>
    <m/>
  </r>
  <r>
    <x v="1"/>
    <x v="24"/>
    <s v="SOI 3+1 Sweet LA Mix FZN HGln 9pk"/>
    <s v="CS"/>
    <s v="9/CS"/>
    <n v="-1"/>
    <n v="-49"/>
    <n v="1604.31"/>
    <x v="2"/>
    <x v="0"/>
    <n v="-1604.31"/>
    <m/>
  </r>
  <r>
    <x v="8"/>
    <x v="362"/>
    <s v="Natural Brands Lime Juice Qt 12pk"/>
    <s v="CS"/>
    <s v="12/CS"/>
    <n v="1311"/>
    <n v="36183.599999999999"/>
    <n v="16042.06"/>
    <x v="2"/>
    <x v="2"/>
    <n v="12.236506483600305"/>
    <m/>
  </r>
  <r>
    <x v="0"/>
    <x v="361"/>
    <s v="BRN 6 HGln Wrap Around V2"/>
    <s v="EA"/>
    <s v="500/PLT"/>
    <n v="10190"/>
    <n v="10190"/>
    <n v="5639.15"/>
    <x v="0"/>
    <x v="0"/>
    <n v="0.55340039254170748"/>
    <m/>
  </r>
  <r>
    <x v="1"/>
    <x v="273"/>
    <s v="Cap Yellow DBJ"/>
    <s v="EA"/>
    <s v="2,500/Box"/>
    <n v="0"/>
    <n v="0"/>
    <n v="0"/>
    <x v="0"/>
    <x v="0"/>
    <e v="#DIV/0!"/>
    <m/>
  </r>
  <r>
    <x v="3"/>
    <x v="361"/>
    <s v="BRN 6 HGln Wrap Around V2"/>
    <s v="EA"/>
    <s v="500/PLT"/>
    <n v="-550"/>
    <n v="-550"/>
    <n v="-250.69"/>
    <x v="0"/>
    <x v="1"/>
    <n v="0.45579999999999998"/>
    <m/>
  </r>
  <r>
    <x v="9"/>
    <x v="362"/>
    <s v="Natural Brands Lime Juice Qt 12pk"/>
    <s v="CS"/>
    <s v="12/CS"/>
    <n v="1278"/>
    <n v="35272.800000000003"/>
    <n v="15637.88"/>
    <x v="2"/>
    <x v="2"/>
    <n v="12.23621283255086"/>
    <m/>
  </r>
  <r>
    <x v="2"/>
    <x v="361"/>
    <s v="BRN 6 HGln Wrap Around V2"/>
    <s v="EA"/>
    <s v="500/PLT"/>
    <n v="6807"/>
    <n v="6807"/>
    <n v="3101.97"/>
    <x v="0"/>
    <x v="1"/>
    <n v="0.45570295284266193"/>
    <m/>
  </r>
  <r>
    <x v="10"/>
    <x v="362"/>
    <s v="Natural Brands Lime Juice Qt 12pk"/>
    <s v="CS"/>
    <s v="12/CS"/>
    <n v="15"/>
    <n v="414"/>
    <n v="183.51"/>
    <x v="2"/>
    <x v="2"/>
    <n v="12.234"/>
    <m/>
  </r>
  <r>
    <x v="11"/>
    <x v="362"/>
    <s v="Natural Brands Lime Juice Qt 12pk"/>
    <s v="CS"/>
    <s v="12/CS"/>
    <n v="41"/>
    <n v="1131.5999999999999"/>
    <n v="501.71"/>
    <x v="2"/>
    <x v="2"/>
    <n v="12.236829268292682"/>
    <m/>
  </r>
  <r>
    <x v="9"/>
    <x v="363"/>
    <s v="Louisburg Cider Mill Old Fashioned Apple Cider Gln 4pk"/>
    <s v="CS"/>
    <s v="4/CS"/>
    <n v="1095"/>
    <n v="41610"/>
    <n v="25132.44"/>
    <x v="2"/>
    <x v="2"/>
    <n v="22.951999999999998"/>
    <m/>
  </r>
  <r>
    <x v="10"/>
    <x v="363"/>
    <s v="Louisburg Cider Mill Old Fashioned Apple Cider Gln 4pk"/>
    <s v="CS"/>
    <s v="4/CS"/>
    <n v="15"/>
    <n v="570"/>
    <n v="345.1"/>
    <x v="2"/>
    <x v="2"/>
    <n v="23.006666666666668"/>
    <m/>
  </r>
  <r>
    <x v="3"/>
    <x v="364"/>
    <s v="Natural Brands 3+1 Lemonade Base &amp; Sour Mix"/>
    <s v="GL"/>
    <m/>
    <n v="1525"/>
    <n v="16165"/>
    <n v="7484.55"/>
    <x v="3"/>
    <x v="2"/>
    <n v="4.9079016393442627"/>
    <m/>
  </r>
  <r>
    <x v="11"/>
    <x v="363"/>
    <s v="Louisburg Cider Mill Old Fashioned Apple Cider Gln 4pk"/>
    <s v="CS"/>
    <s v="4/CS"/>
    <n v="77"/>
    <n v="2926"/>
    <n v="1767.7"/>
    <x v="2"/>
    <x v="2"/>
    <n v="22.957142857142859"/>
    <m/>
  </r>
  <r>
    <x v="7"/>
    <x v="50"/>
    <s v="Markon Orange Juice Gln 4pk"/>
    <s v="CS"/>
    <s v="4/CS"/>
    <n v="639"/>
    <n v="23259.599999999999"/>
    <n v="15989.66"/>
    <x v="2"/>
    <x v="0"/>
    <n v="25.022942097026604"/>
    <m/>
  </r>
  <r>
    <x v="4"/>
    <x v="224"/>
    <s v="Orange Aroma"/>
    <s v="LB"/>
    <m/>
    <n v="-11.6"/>
    <n v="-11.6"/>
    <n v="-50.46"/>
    <x v="1"/>
    <x v="1"/>
    <n v="4.3500000000000005"/>
    <m/>
  </r>
  <r>
    <x v="7"/>
    <x v="365"/>
    <s v="SOI LA Gln 4pk"/>
    <s v="CS"/>
    <s v="4/CS"/>
    <n v="414"/>
    <n v="15251.76"/>
    <n v="3059.8"/>
    <x v="2"/>
    <x v="0"/>
    <n v="7.3908212560386479"/>
    <m/>
  </r>
  <r>
    <x v="7"/>
    <x v="327"/>
    <s v="Qdoba Lime Juice Gln 4pk"/>
    <s v="CS"/>
    <s v="4/CS"/>
    <n v="1038"/>
    <n v="37783.199999999997"/>
    <n v="14228.44"/>
    <x v="2"/>
    <x v="0"/>
    <n v="13.707552986512525"/>
    <m/>
  </r>
  <r>
    <x v="1"/>
    <x v="361"/>
    <s v="BRN 6 HGln Wrap Around V2"/>
    <s v="EA"/>
    <s v="500/PLT"/>
    <n v="-230"/>
    <n v="-230"/>
    <n v="-127.25"/>
    <x v="0"/>
    <x v="0"/>
    <n v="0.55326086956521736"/>
    <m/>
  </r>
  <r>
    <x v="0"/>
    <x v="362"/>
    <s v="Natural Brands Lime Juice Qt 12pk"/>
    <s v="CS"/>
    <s v="12/CS"/>
    <n v="1"/>
    <n v="27.6"/>
    <n v="12.18"/>
    <x v="2"/>
    <x v="2"/>
    <n v="12.18"/>
    <m/>
  </r>
  <r>
    <x v="7"/>
    <x v="344"/>
    <s v="Markon LA Gln 4pk"/>
    <s v="CS"/>
    <s v="4/CS"/>
    <n v="370"/>
    <n v="13468"/>
    <n v="2857.08"/>
    <x v="2"/>
    <x v="0"/>
    <n v="7.7218378378378381"/>
    <m/>
  </r>
  <r>
    <x v="7"/>
    <x v="218"/>
    <s v="SOI Lime Juice FZN Qt 16pk"/>
    <s v="CS"/>
    <s v="16/CS"/>
    <n v="60"/>
    <n v="2100"/>
    <n v="917.48"/>
    <x v="2"/>
    <x v="0"/>
    <n v="15.291333333333334"/>
    <m/>
  </r>
  <r>
    <x v="0"/>
    <x v="273"/>
    <s v="Cap Yellow DBJ"/>
    <s v="EA"/>
    <s v="2,500/Box"/>
    <n v="118605"/>
    <n v="118.61"/>
    <n v="2561.87"/>
    <x v="0"/>
    <x v="0"/>
    <n v="2.1600016862695502E-2"/>
    <m/>
  </r>
  <r>
    <x v="4"/>
    <x v="117"/>
    <s v="Enzyme Processing Aid"/>
    <s v="LB"/>
    <m/>
    <n v="-1"/>
    <n v="-1"/>
    <n v="-7"/>
    <x v="1"/>
    <x v="1"/>
    <n v="7"/>
    <m/>
  </r>
  <r>
    <x v="2"/>
    <x v="273"/>
    <s v="Cap Yellow DBJ"/>
    <s v="EA"/>
    <s v="2,500/Box"/>
    <n v="51200"/>
    <n v="51.2"/>
    <n v="1100.8"/>
    <x v="0"/>
    <x v="1"/>
    <n v="2.1499999999999998E-2"/>
    <m/>
  </r>
  <r>
    <x v="0"/>
    <x v="366"/>
    <s v="SOI 3+1 Sweet LA Mix HGln Version 2"/>
    <s v="EA"/>
    <s v="5,000/RL"/>
    <n v="8702"/>
    <n v="0.87"/>
    <n v="106.17"/>
    <x v="0"/>
    <x v="0"/>
    <n v="1.2200643530222937E-2"/>
    <m/>
  </r>
  <r>
    <x v="0"/>
    <x v="367"/>
    <s v="Natural Brands Lime Juice Qt Nutrition"/>
    <s v="EA"/>
    <s v="5,000/RL"/>
    <n v="10529"/>
    <n v="1.05"/>
    <n v="110.55"/>
    <x v="0"/>
    <x v="2"/>
    <n v="1.0499572608984709E-2"/>
    <m/>
  </r>
  <r>
    <x v="7"/>
    <x v="368"/>
    <s v="Markon Lime Juice HGln 6pk"/>
    <s v="CS"/>
    <s v="6/CS"/>
    <n v="775"/>
    <n v="21700"/>
    <n v="8439.7099999999991"/>
    <x v="2"/>
    <x v="0"/>
    <n v="10.889948387096773"/>
    <m/>
  </r>
  <r>
    <x v="5"/>
    <x v="9"/>
    <s v="Lemon Juice Qt"/>
    <s v="EA"/>
    <s v="5,000/RL"/>
    <n v="70000"/>
    <n v="7"/>
    <n v="924"/>
    <x v="0"/>
    <x v="0"/>
    <n v="1.32E-2"/>
    <m/>
  </r>
  <r>
    <x v="0"/>
    <x v="369"/>
    <s v="Panera Mango NSA 61.5oz V2"/>
    <s v="EA"/>
    <s v="5,000/RL"/>
    <n v="10651"/>
    <n v="1.07"/>
    <n v="141.66"/>
    <x v="0"/>
    <x v="0"/>
    <n v="1.3300159609426345E-2"/>
    <m/>
  </r>
  <r>
    <x v="2"/>
    <x v="369"/>
    <s v="Panera Mango NSA 61.5oz V2"/>
    <s v="EA"/>
    <s v="5,000/RL"/>
    <n v="14011"/>
    <n v="1.4"/>
    <n v="186.35"/>
    <x v="0"/>
    <x v="1"/>
    <n v="1.3300264078224253E-2"/>
    <m/>
  </r>
  <r>
    <x v="3"/>
    <x v="367"/>
    <s v="Natural Brands Lime Juice Qt Nutrition"/>
    <s v="EA"/>
    <s v="5,000/RL"/>
    <n v="30000"/>
    <n v="3"/>
    <n v="315"/>
    <x v="0"/>
    <x v="2"/>
    <n v="1.0500000000000001E-2"/>
    <m/>
  </r>
  <r>
    <x v="0"/>
    <x v="182"/>
    <s v="Coconut Water 4 Brix Aseptic"/>
    <s v="LB"/>
    <m/>
    <n v="13427"/>
    <n v="13427"/>
    <n v="5776.29"/>
    <x v="1"/>
    <x v="0"/>
    <n v="0.43019959782527745"/>
    <m/>
  </r>
  <r>
    <x v="0"/>
    <x v="333"/>
    <s v="SOI Lime Juice Qt 6pk"/>
    <s v="CS"/>
    <s v="6/CS"/>
    <n v="5"/>
    <n v="69"/>
    <n v="30.82"/>
    <x v="2"/>
    <x v="0"/>
    <n v="6.1639999999999997"/>
    <m/>
  </r>
  <r>
    <x v="5"/>
    <x v="278"/>
    <s v="12 QT Meyer Lemon Juice Wrap Around V3"/>
    <s v="EA"/>
    <s v="500/PLT"/>
    <n v="29150"/>
    <n v="29150"/>
    <n v="17143.12"/>
    <x v="0"/>
    <x v="0"/>
    <n v="0.58810017152658656"/>
    <m/>
  </r>
  <r>
    <x v="3"/>
    <x v="21"/>
    <s v="Lime Juice Qt"/>
    <s v="EA"/>
    <s v="5,000/RL"/>
    <n v="50000"/>
    <n v="5"/>
    <n v="660"/>
    <x v="0"/>
    <x v="1"/>
    <n v="1.32E-2"/>
    <m/>
  </r>
  <r>
    <x v="2"/>
    <x v="367"/>
    <s v="Natural Brands Lime Juice Qt Nutrition"/>
    <s v="EA"/>
    <s v="5,000/RL"/>
    <n v="14377"/>
    <n v="1.44"/>
    <n v="150.96"/>
    <x v="0"/>
    <x v="2"/>
    <n v="1.0500104333310148E-2"/>
    <m/>
  </r>
  <r>
    <x v="1"/>
    <x v="182"/>
    <s v="Coconut Water 4 Brix Aseptic"/>
    <s v="LB"/>
    <m/>
    <n v="-462.99"/>
    <n v="-462.97"/>
    <n v="-191.49"/>
    <x v="1"/>
    <x v="0"/>
    <n v="0.41359424609602802"/>
    <m/>
  </r>
  <r>
    <x v="5"/>
    <x v="295"/>
    <s v="Natural Brands Lemon Juice HGln"/>
    <s v="EA"/>
    <s v="5,000/RL"/>
    <n v="40000"/>
    <n v="4"/>
    <n v="520"/>
    <x v="0"/>
    <x v="2"/>
    <n v="1.2999999999999999E-2"/>
    <m/>
  </r>
  <r>
    <x v="2"/>
    <x v="5"/>
    <s v="SOI Orange Juice Gln 4pk"/>
    <s v="CS"/>
    <s v="4/CS"/>
    <n v="1787"/>
    <n v="65118.28"/>
    <n v="43520.959999999999"/>
    <x v="2"/>
    <x v="1"/>
    <n v="24.354202574146615"/>
    <m/>
  </r>
  <r>
    <x v="5"/>
    <x v="21"/>
    <s v="Lime Juice Qt"/>
    <s v="EA"/>
    <s v="5,000/RL"/>
    <n v="40000"/>
    <n v="4"/>
    <n v="528"/>
    <x v="0"/>
    <x v="0"/>
    <n v="1.32E-2"/>
    <m/>
  </r>
  <r>
    <x v="1"/>
    <x v="135"/>
    <s v="Sugar"/>
    <s v="LB"/>
    <m/>
    <n v="0"/>
    <n v="0"/>
    <n v="0"/>
    <x v="1"/>
    <x v="0"/>
    <e v="#DIV/0!"/>
    <m/>
  </r>
  <r>
    <x v="5"/>
    <x v="125"/>
    <s v="Spirulina Powder"/>
    <s v="LB"/>
    <m/>
    <n v="1100"/>
    <n v="1100"/>
    <n v="4609"/>
    <x v="1"/>
    <x v="0"/>
    <n v="4.1900000000000004"/>
    <m/>
  </r>
  <r>
    <x v="0"/>
    <x v="329"/>
    <s v="SYSCO Lime Juice Qt 6pk"/>
    <s v="CS"/>
    <s v="6/CS"/>
    <n v="2"/>
    <n v="26"/>
    <n v="12.27"/>
    <x v="2"/>
    <x v="0"/>
    <n v="6.1349999999999998"/>
    <m/>
  </r>
  <r>
    <x v="5"/>
    <x v="79"/>
    <s v="SO Frozen Grapefruit 30.5oz"/>
    <s v="EA"/>
    <s v="5,000/RL"/>
    <n v="40000"/>
    <n v="4"/>
    <n v="528"/>
    <x v="0"/>
    <x v="0"/>
    <n v="1.32E-2"/>
    <m/>
  </r>
  <r>
    <x v="5"/>
    <x v="11"/>
    <s v="Strw Puree 7 Brix - seedless Chilled Aseptic"/>
    <s v="LB"/>
    <m/>
    <n v="3527.36"/>
    <n v="3527.36"/>
    <n v="2209.54"/>
    <x v="1"/>
    <x v="0"/>
    <n v="0.62640048081284583"/>
    <m/>
  </r>
  <r>
    <x v="5"/>
    <x v="263"/>
    <s v="Red DBJ Cap"/>
    <s v="EA"/>
    <s v="2,500/Box"/>
    <n v="87500"/>
    <n v="87.5"/>
    <n v="1855"/>
    <x v="0"/>
    <x v="0"/>
    <n v="2.12E-2"/>
    <m/>
  </r>
  <r>
    <x v="4"/>
    <x v="124"/>
    <s v="CA Lemons"/>
    <s v="LB"/>
    <m/>
    <n v="120524"/>
    <n v="120524"/>
    <n v="13534.85"/>
    <x v="4"/>
    <x v="1"/>
    <n v="0.11230003982609273"/>
    <m/>
  </r>
  <r>
    <x v="3"/>
    <x v="370"/>
    <s v="Lemon Juice HGln"/>
    <s v="EA"/>
    <s v="5,000/RL"/>
    <n v="40000"/>
    <n v="4"/>
    <n v="536"/>
    <x v="0"/>
    <x v="1"/>
    <n v="1.34E-2"/>
    <m/>
  </r>
  <r>
    <x v="5"/>
    <x v="371"/>
    <s v="Natural Brands &quot;Brewhouse&quot; 2.5+1 Lemonade Gln"/>
    <s v="EA"/>
    <s v="5,000/RL"/>
    <n v="40000"/>
    <n v="4"/>
    <n v="1116"/>
    <x v="0"/>
    <x v="2"/>
    <n v="2.7900000000000001E-2"/>
    <m/>
  </r>
  <r>
    <x v="7"/>
    <x v="105"/>
    <s v="SYSCO Orange Juice Gln 4pk"/>
    <s v="CS"/>
    <s v="4/CS"/>
    <n v="4023"/>
    <n v="146437.20000000001"/>
    <n v="100427.32"/>
    <x v="2"/>
    <x v="0"/>
    <n v="24.963291076311211"/>
    <m/>
  </r>
  <r>
    <x v="5"/>
    <x v="267"/>
    <s v="Cap White Push Lock 2&quot; w/ Logo"/>
    <s v="EA"/>
    <m/>
    <n v="48"/>
    <n v="0.05"/>
    <n v="24"/>
    <x v="0"/>
    <x v="0"/>
    <n v="0.5"/>
    <m/>
  </r>
  <r>
    <x v="1"/>
    <x v="50"/>
    <s v="Markon Orange Juice Gln 4pk"/>
    <s v="CS"/>
    <s v="4/CS"/>
    <n v="-2"/>
    <n v="-72.8"/>
    <n v="-179.25"/>
    <x v="2"/>
    <x v="0"/>
    <n v="89.625"/>
    <m/>
  </r>
  <r>
    <x v="5"/>
    <x v="285"/>
    <s v="Lime Juice Gln V2"/>
    <s v="EA"/>
    <s v="5,000/RL"/>
    <n v="40000"/>
    <n v="4"/>
    <n v="536"/>
    <x v="0"/>
    <x v="0"/>
    <n v="1.34E-2"/>
    <m/>
  </r>
  <r>
    <x v="4"/>
    <x v="113"/>
    <s v="OJ No Pulp"/>
    <s v="GL"/>
    <m/>
    <n v="-2901"/>
    <n v="-25818.9"/>
    <n v="-18566.400000000001"/>
    <x v="3"/>
    <x v="1"/>
    <n v="6.4"/>
    <m/>
  </r>
  <r>
    <x v="0"/>
    <x v="372"/>
    <s v="BRN 6/Qt Wrap Around V2"/>
    <s v="EA"/>
    <s v="750/PLT"/>
    <n v="3248"/>
    <n v="3248"/>
    <n v="1236.8499999999999"/>
    <x v="0"/>
    <x v="0"/>
    <n v="0.38080357142857141"/>
    <m/>
  </r>
  <r>
    <x v="3"/>
    <x v="30"/>
    <s v="LA Gln"/>
    <s v="EA"/>
    <s v="5,000/RL"/>
    <n v="40000"/>
    <n v="4"/>
    <n v="536"/>
    <x v="0"/>
    <x v="1"/>
    <n v="1.34E-2"/>
    <m/>
  </r>
  <r>
    <x v="3"/>
    <x v="372"/>
    <s v="BRN 6/Qt Wrap Around V2"/>
    <s v="EA"/>
    <s v="750/PLT"/>
    <n v="10530"/>
    <n v="10530"/>
    <n v="3348.54"/>
    <x v="0"/>
    <x v="1"/>
    <n v="0.318"/>
    <m/>
  </r>
  <r>
    <x v="2"/>
    <x v="372"/>
    <s v="BRN 6/Qt Wrap Around V2"/>
    <s v="EA"/>
    <s v="750/PLT"/>
    <n v="1241"/>
    <n v="1241"/>
    <n v="394.51"/>
    <x v="0"/>
    <x v="1"/>
    <n v="0.31789685737308621"/>
    <m/>
  </r>
  <r>
    <x v="0"/>
    <x v="373"/>
    <s v="Orange Oil Valencia C/P 12054/190478"/>
    <s v="LB"/>
    <m/>
    <n v="52.57"/>
    <n v="52.57"/>
    <n v="1230.77"/>
    <x v="1"/>
    <x v="0"/>
    <n v="23.412022065817006"/>
    <m/>
  </r>
  <r>
    <x v="3"/>
    <x v="374"/>
    <s v="Natural Brands Lemon Sour Qt"/>
    <s v="EA"/>
    <s v="5,000/RL"/>
    <n v="40000"/>
    <n v="4"/>
    <n v="596"/>
    <x v="0"/>
    <x v="2"/>
    <n v="1.49E-2"/>
    <m/>
  </r>
  <r>
    <x v="1"/>
    <x v="365"/>
    <s v="SOI LA Gln 4pk"/>
    <s v="CS"/>
    <s v="4/CS"/>
    <n v="0"/>
    <n v="0"/>
    <n v="110.26"/>
    <x v="2"/>
    <x v="0"/>
    <e v="#DIV/0!"/>
    <m/>
  </r>
  <r>
    <x v="0"/>
    <x v="350"/>
    <s v="Sysco Lemon Juice Gln v.2"/>
    <s v="EA"/>
    <s v="5,000/RL"/>
    <n v="4805"/>
    <n v="0.48"/>
    <n v="64.39"/>
    <x v="0"/>
    <x v="0"/>
    <n v="1.3400624349635796E-2"/>
    <m/>
  </r>
  <r>
    <x v="1"/>
    <x v="327"/>
    <s v="Qdoba Lime Juice Gln 4pk"/>
    <s v="CS"/>
    <s v="4/CS"/>
    <n v="0"/>
    <n v="0"/>
    <n v="26.4"/>
    <x v="2"/>
    <x v="0"/>
    <e v="#DIV/0!"/>
    <m/>
  </r>
  <r>
    <x v="2"/>
    <x v="350"/>
    <s v="Sysco Lemon Juice Gln v.2"/>
    <s v="EA"/>
    <s v="5,000/RL"/>
    <n v="21488"/>
    <n v="2.15"/>
    <n v="287.94"/>
    <x v="0"/>
    <x v="1"/>
    <n v="1.3400037230081907E-2"/>
    <m/>
  </r>
  <r>
    <x v="0"/>
    <x v="375"/>
    <s v="Panera Strawberry NSA 61.5oz V2"/>
    <s v="EA"/>
    <s v="5,000/RL"/>
    <n v="46674"/>
    <n v="4.67"/>
    <n v="620.76"/>
    <x v="0"/>
    <x v="0"/>
    <n v="1.3299910014140635E-2"/>
    <m/>
  </r>
  <r>
    <x v="5"/>
    <x v="328"/>
    <s v="Lime Juice Qt Nutrition Version 2"/>
    <s v="EA"/>
    <s v="5,000/RL"/>
    <n v="40000"/>
    <n v="4"/>
    <n v="400"/>
    <x v="0"/>
    <x v="0"/>
    <n v="0.01"/>
    <m/>
  </r>
  <r>
    <x v="2"/>
    <x v="144"/>
    <s v="Natural Lemon Extract (515804T)"/>
    <s v="LB"/>
    <s v="50/Pail"/>
    <n v="100"/>
    <n v="100"/>
    <n v="3259.68"/>
    <x v="1"/>
    <x v="1"/>
    <n v="32.596800000000002"/>
    <m/>
  </r>
  <r>
    <x v="2"/>
    <x v="375"/>
    <s v="Panera Strawberry NSA 61.5oz V2"/>
    <s v="EA"/>
    <s v="5,000/RL"/>
    <n v="30108"/>
    <n v="3.01"/>
    <n v="403.45"/>
    <x v="0"/>
    <x v="1"/>
    <n v="1.3400092998538594E-2"/>
    <m/>
  </r>
  <r>
    <x v="0"/>
    <x v="374"/>
    <s v="Natural Brands Lemon Sour Qt"/>
    <s v="EA"/>
    <s v="5,000/RL"/>
    <n v="51969"/>
    <n v="5.2"/>
    <n v="774.34"/>
    <x v="0"/>
    <x v="2"/>
    <n v="1.4900036560257077E-2"/>
    <m/>
  </r>
  <r>
    <x v="1"/>
    <x v="344"/>
    <s v="Markon LA Gln 4pk"/>
    <s v="CS"/>
    <s v="4/CS"/>
    <n v="0"/>
    <n v="0"/>
    <n v="310.45"/>
    <x v="2"/>
    <x v="0"/>
    <e v="#DIV/0!"/>
    <m/>
  </r>
  <r>
    <x v="1"/>
    <x v="372"/>
    <s v="BRN 6/Qt Wrap Around V2"/>
    <s v="EA"/>
    <s v="750/PLT"/>
    <n v="0"/>
    <n v="0"/>
    <n v="-11.26"/>
    <x v="0"/>
    <x v="0"/>
    <e v="#DIV/0!"/>
    <m/>
  </r>
  <r>
    <x v="2"/>
    <x v="374"/>
    <s v="Natural Brands Lemon Sour Qt"/>
    <s v="EA"/>
    <s v="5,000/RL"/>
    <n v="1140"/>
    <n v="0.11"/>
    <n v="16.989999999999998"/>
    <x v="0"/>
    <x v="2"/>
    <n v="1.4903508771929823E-2"/>
    <m/>
  </r>
  <r>
    <x v="3"/>
    <x v="144"/>
    <s v="Natural Lemon Extract (515804T)"/>
    <s v="LB"/>
    <s v="50/Pail"/>
    <n v="100"/>
    <n v="100"/>
    <n v="5970"/>
    <x v="1"/>
    <x v="1"/>
    <n v="59.7"/>
    <m/>
  </r>
  <r>
    <x v="7"/>
    <x v="145"/>
    <s v="SOI LA Cond 3+1 FZN HGln 6pk"/>
    <s v="CS"/>
    <s v="6/CS"/>
    <n v="36"/>
    <n v="1116"/>
    <n v="577.08000000000004"/>
    <x v="2"/>
    <x v="0"/>
    <n v="16.03"/>
    <m/>
  </r>
  <r>
    <x v="0"/>
    <x v="144"/>
    <s v="Natural Lemon Extract (515804T)"/>
    <s v="LB"/>
    <s v="50/Pail"/>
    <n v="100"/>
    <n v="100"/>
    <n v="3275.98"/>
    <x v="1"/>
    <x v="0"/>
    <n v="32.759799999999998"/>
    <m/>
  </r>
  <r>
    <x v="7"/>
    <x v="334"/>
    <s v="SOI Lime Juice Gln 4pk"/>
    <s v="CS"/>
    <s v="4/CS"/>
    <n v="1442"/>
    <n v="51767.8"/>
    <n v="19769.38"/>
    <x v="2"/>
    <x v="0"/>
    <n v="13.709694868238559"/>
    <m/>
  </r>
  <r>
    <x v="3"/>
    <x v="20"/>
    <s v="Orange Juice Gln"/>
    <s v="EA"/>
    <s v="5,000/RL"/>
    <n v="70000"/>
    <n v="7"/>
    <n v="938"/>
    <x v="0"/>
    <x v="1"/>
    <n v="1.34E-2"/>
    <m/>
  </r>
  <r>
    <x v="5"/>
    <x v="12"/>
    <s v="White Grape Juice Con Bin Brix 68"/>
    <s v="GL"/>
    <m/>
    <n v="300"/>
    <n v="2400"/>
    <n v="3091.77"/>
    <x v="1"/>
    <x v="0"/>
    <n v="10.305899999999999"/>
    <m/>
  </r>
  <r>
    <x v="5"/>
    <x v="30"/>
    <s v="LA Gln"/>
    <s v="EA"/>
    <s v="5,000/RL"/>
    <n v="40000"/>
    <n v="4"/>
    <n v="536"/>
    <x v="0"/>
    <x v="0"/>
    <n v="1.34E-2"/>
    <m/>
  </r>
  <r>
    <x v="3"/>
    <x v="375"/>
    <s v="Panera Strawberry NSA 61.5oz V2"/>
    <s v="EA"/>
    <s v="5,000/RL"/>
    <n v="30000"/>
    <n v="3"/>
    <n v="402"/>
    <x v="0"/>
    <x v="1"/>
    <n v="1.34E-2"/>
    <m/>
  </r>
  <r>
    <x v="5"/>
    <x v="342"/>
    <s v="Natural Brands Lime Juice HGln"/>
    <s v="EA"/>
    <s v="5,000/RL"/>
    <n v="30000"/>
    <n v="3"/>
    <n v="399"/>
    <x v="0"/>
    <x v="2"/>
    <n v="1.3299999999999999E-2"/>
    <m/>
  </r>
  <r>
    <x v="5"/>
    <x v="0"/>
    <s v="WHT 4/Gln Wrap Around V2"/>
    <s v="EA"/>
    <s v="500/PLT"/>
    <n v="38500"/>
    <n v="38500"/>
    <n v="30719.15"/>
    <x v="0"/>
    <x v="0"/>
    <n v="0.79790000000000005"/>
    <m/>
  </r>
  <r>
    <x v="9"/>
    <x v="376"/>
    <s v="Natural Brands Lime Juice Qt 6pk"/>
    <s v="CS"/>
    <s v="6/CS"/>
    <n v="283"/>
    <n v="3942.19"/>
    <n v="1758.36"/>
    <x v="2"/>
    <x v="2"/>
    <n v="6.2132862190812714"/>
    <m/>
  </r>
  <r>
    <x v="5"/>
    <x v="80"/>
    <s v="Sams Club MM Reduced Sugar &amp; Fiber Multipack 12pk 10oz"/>
    <s v="CS"/>
    <s v="12/CS"/>
    <n v="0"/>
    <n v="0"/>
    <n v="0.02"/>
    <x v="2"/>
    <x v="0"/>
    <e v="#DIV/0!"/>
    <m/>
  </r>
  <r>
    <x v="3"/>
    <x v="115"/>
    <s v="SOI Sweet &amp; Sour Mix 3+1"/>
    <s v="EA"/>
    <s v="5,000/RL"/>
    <n v="20000"/>
    <n v="2"/>
    <n v="196"/>
    <x v="0"/>
    <x v="1"/>
    <n v="9.7999999999999997E-3"/>
    <m/>
  </r>
  <r>
    <x v="1"/>
    <x v="105"/>
    <s v="SYSCO Orange Juice Gln 4pk"/>
    <s v="CS"/>
    <s v="4/CS"/>
    <n v="0"/>
    <n v="0"/>
    <n v="-531.04999999999995"/>
    <x v="2"/>
    <x v="0"/>
    <e v="#DIV/0!"/>
    <m/>
  </r>
  <r>
    <x v="3"/>
    <x v="116"/>
    <s v="SOI 3+1 Sweet LA Mix HGln"/>
    <s v="EA"/>
    <s v="5,000/RL"/>
    <n v="10000"/>
    <n v="1"/>
    <n v="114"/>
    <x v="0"/>
    <x v="1"/>
    <n v="1.14E-2"/>
    <m/>
  </r>
  <r>
    <x v="4"/>
    <x v="56"/>
    <s v="Stevia"/>
    <s v="LB"/>
    <m/>
    <n v="-10.9"/>
    <n v="-10.9"/>
    <n v="-458.35"/>
    <x v="1"/>
    <x v="1"/>
    <n v="42.050458715596328"/>
    <m/>
  </r>
  <r>
    <x v="5"/>
    <x v="20"/>
    <s v="Orange Juice Gln"/>
    <s v="EA"/>
    <s v="5,000/RL"/>
    <n v="60000"/>
    <n v="6"/>
    <n v="804"/>
    <x v="0"/>
    <x v="0"/>
    <n v="1.34E-2"/>
    <m/>
  </r>
  <r>
    <x v="0"/>
    <x v="377"/>
    <s v="3+1 Sweet Strw LA FZN 61.5 oz Version 2"/>
    <s v="EA"/>
    <s v="5,000/RL"/>
    <n v="17228"/>
    <n v="1.72"/>
    <n v="230.86"/>
    <x v="0"/>
    <x v="0"/>
    <n v="1.3400278616206176E-2"/>
    <m/>
  </r>
  <r>
    <x v="1"/>
    <x v="368"/>
    <s v="Markon Lime Juice HGln 6pk"/>
    <s v="CS"/>
    <s v="6/CS"/>
    <n v="0"/>
    <n v="0"/>
    <n v="11.48"/>
    <x v="2"/>
    <x v="0"/>
    <e v="#DIV/0!"/>
    <m/>
  </r>
  <r>
    <x v="3"/>
    <x v="187"/>
    <s v="Panera Mango Fruit Base No Refined Sugar Added FZN"/>
    <s v="CS"/>
    <s v="6/CS"/>
    <n v="844"/>
    <n v="24205.08"/>
    <n v="13548.9"/>
    <x v="2"/>
    <x v="1"/>
    <n v="16.053199052132701"/>
    <m/>
  </r>
  <r>
    <x v="3"/>
    <x v="206"/>
    <s v="SOI Sweet &amp; Sour Mix 3+1 FZN Hgln 6pk"/>
    <s v="CS"/>
    <s v="6/CS"/>
    <n v="91"/>
    <n v="3037.58"/>
    <n v="1677.45"/>
    <x v="2"/>
    <x v="1"/>
    <n v="18.433516483516485"/>
    <m/>
  </r>
  <r>
    <x v="7"/>
    <x v="378"/>
    <s v="SOI Lime Juice HGln 6pk"/>
    <s v="CS"/>
    <s v="6/CS"/>
    <n v="401"/>
    <n v="11228"/>
    <n v="4311.63"/>
    <x v="2"/>
    <x v="0"/>
    <n v="10.752194513715711"/>
    <m/>
  </r>
  <r>
    <x v="3"/>
    <x v="206"/>
    <s v="SOI Sweet &amp; Sour Mix 3+1 FZN Hgln 6pk"/>
    <s v="EA"/>
    <s v="1/EA"/>
    <n v="-1"/>
    <n v="-5.56"/>
    <n v="-4.6100000000000003"/>
    <x v="2"/>
    <x v="1"/>
    <n v="4.6100000000000003"/>
    <m/>
  </r>
  <r>
    <x v="3"/>
    <x v="379"/>
    <s v="BRN 6/Qt RSC V2"/>
    <s v="EA"/>
    <s v="1,350/PLT"/>
    <n v="3315"/>
    <n v="3315"/>
    <n v="1524.9"/>
    <x v="0"/>
    <x v="1"/>
    <n v="0.46"/>
    <m/>
  </r>
  <r>
    <x v="2"/>
    <x v="379"/>
    <s v="BRN 6/Qt RSC V2"/>
    <s v="EA"/>
    <s v="1,350/PLT"/>
    <n v="984"/>
    <n v="984"/>
    <n v="452.64"/>
    <x v="0"/>
    <x v="1"/>
    <n v="0.45999999999999996"/>
    <m/>
  </r>
  <r>
    <x v="5"/>
    <x v="162"/>
    <s v="Lemon Juice Gln V2"/>
    <s v="EA"/>
    <s v="5,000/RL"/>
    <n v="40000"/>
    <n v="4"/>
    <n v="536"/>
    <x v="0"/>
    <x v="0"/>
    <n v="1.34E-2"/>
    <m/>
  </r>
  <r>
    <x v="3"/>
    <x v="377"/>
    <s v="3+1 Sweet Strw LA FZN 61.5 oz Version 2"/>
    <s v="EA"/>
    <s v="5,000/RL"/>
    <n v="50000"/>
    <n v="5"/>
    <n v="670"/>
    <x v="0"/>
    <x v="1"/>
    <n v="1.34E-2"/>
    <m/>
  </r>
  <r>
    <x v="1"/>
    <x v="334"/>
    <s v="SOI Lime Juice Gln 4pk"/>
    <s v="CS"/>
    <s v="4/CS"/>
    <n v="-2"/>
    <n v="-71.8"/>
    <n v="4.32"/>
    <x v="2"/>
    <x v="0"/>
    <n v="-2.16"/>
    <m/>
  </r>
  <r>
    <x v="5"/>
    <x v="380"/>
    <s v="Gft Juice 6 Pk HGln Version 2"/>
    <s v="EA"/>
    <s v="5,000/RL"/>
    <n v="10000"/>
    <n v="1"/>
    <n v="134"/>
    <x v="0"/>
    <x v="0"/>
    <n v="1.34E-2"/>
    <m/>
  </r>
  <r>
    <x v="5"/>
    <x v="39"/>
    <s v="Aseptic Peach Puree"/>
    <s v="LB"/>
    <m/>
    <n v="1428"/>
    <n v="1428"/>
    <n v="1106.4100000000001"/>
    <x v="1"/>
    <x v="0"/>
    <n v="0.77479691876750711"/>
    <m/>
  </r>
  <r>
    <x v="7"/>
    <x v="329"/>
    <s v="SYSCO Lime Juice Qt 6pk"/>
    <s v="CS"/>
    <s v="6/CS"/>
    <n v="5431"/>
    <n v="70603"/>
    <n v="33312.14"/>
    <x v="2"/>
    <x v="0"/>
    <n v="6.1337028171607439"/>
    <m/>
  </r>
  <r>
    <x v="3"/>
    <x v="67"/>
    <s v="Natural Brands Lemon Sour Qt Nutrition"/>
    <s v="EA"/>
    <s v="5,000/RL"/>
    <n v="90000"/>
    <n v="9"/>
    <n v="945"/>
    <x v="0"/>
    <x v="2"/>
    <n v="1.0500000000000001E-2"/>
    <m/>
  </r>
  <r>
    <x v="0"/>
    <x v="196"/>
    <s v="SOI Orange Juice NP Gln 4pk"/>
    <s v="CS"/>
    <s v="4/CS"/>
    <n v="1"/>
    <n v="36.4"/>
    <n v="22.77"/>
    <x v="2"/>
    <x v="0"/>
    <n v="22.77"/>
    <m/>
  </r>
  <r>
    <x v="3"/>
    <x v="119"/>
    <s v="Drum Liner .003 ML Clear Length 38&quot;W X 72&quot; L"/>
    <s v="EA"/>
    <s v="75/box"/>
    <n v="6000"/>
    <n v="3000"/>
    <n v="5418"/>
    <x v="0"/>
    <x v="1"/>
    <n v="0.90300000000000002"/>
    <m/>
  </r>
  <r>
    <x v="0"/>
    <x v="67"/>
    <s v="Natural Brands Lemon Sour Qt Nutrition"/>
    <s v="EA"/>
    <s v="5,000/RL"/>
    <n v="71617"/>
    <n v="7.16"/>
    <n v="751.98"/>
    <x v="0"/>
    <x v="2"/>
    <n v="1.0500020944747756E-2"/>
    <m/>
  </r>
  <r>
    <x v="3"/>
    <x v="381"/>
    <s v="Meyer Lemon Juice Blend"/>
    <s v="GL"/>
    <m/>
    <n v="65"/>
    <n v="578.5"/>
    <n v="225.88"/>
    <x v="3"/>
    <x v="1"/>
    <n v="3.475076923076923"/>
    <m/>
  </r>
  <r>
    <x v="2"/>
    <x v="67"/>
    <s v="Natural Brands Lemon Sour Qt Nutrition"/>
    <s v="EA"/>
    <s v="5,000/RL"/>
    <n v="1115"/>
    <n v="0.11"/>
    <n v="11.71"/>
    <x v="0"/>
    <x v="2"/>
    <n v="1.0502242152466368E-2"/>
    <m/>
  </r>
  <r>
    <x v="3"/>
    <x v="93"/>
    <s v="Lime Juice Tote in Gallons Mexico"/>
    <s v="GL"/>
    <m/>
    <n v="10640"/>
    <n v="94696"/>
    <n v="36069.599999999999"/>
    <x v="3"/>
    <x v="1"/>
    <n v="3.3899999999999997"/>
    <m/>
  </r>
  <r>
    <x v="4"/>
    <x v="17"/>
    <s v="Mango (Bell) 85.20948 (no PG) Panera"/>
    <s v="LB"/>
    <m/>
    <n v="0"/>
    <n v="0"/>
    <n v="0"/>
    <x v="1"/>
    <x v="1"/>
    <e v="#DIV/0!"/>
    <m/>
  </r>
  <r>
    <x v="7"/>
    <x v="333"/>
    <s v="SOI Lime Juice Qt 6pk"/>
    <s v="CS"/>
    <s v="6/CS"/>
    <n v="2067"/>
    <n v="28524.6"/>
    <n v="12790"/>
    <x v="2"/>
    <x v="0"/>
    <n v="6.1877116594097723"/>
    <m/>
  </r>
  <r>
    <x v="4"/>
    <x v="63"/>
    <s v="Strawberry Flavor 090"/>
    <s v="LB"/>
    <m/>
    <n v="-231.7"/>
    <n v="-231.7"/>
    <n v="-3433.89"/>
    <x v="1"/>
    <x v="1"/>
    <n v="14.820414328873543"/>
    <m/>
  </r>
  <r>
    <x v="3"/>
    <x v="382"/>
    <s v="Natural Brands Lemon Sour Ade Base &amp; Sour Qt 6pk"/>
    <s v="CS"/>
    <s v="6/CS"/>
    <n v="1805"/>
    <n v="29060.5"/>
    <n v="15851.33"/>
    <x v="2"/>
    <x v="2"/>
    <n v="8.7819002770083099"/>
    <m/>
  </r>
  <r>
    <x v="5"/>
    <x v="236"/>
    <s v="MM Green Smoothie Label 10oz V4"/>
    <s v="EA"/>
    <s v="5,000/RL"/>
    <n v="410000"/>
    <n v="41"/>
    <n v="2911"/>
    <x v="0"/>
    <x v="0"/>
    <n v="7.1000000000000004E-3"/>
    <m/>
  </r>
  <r>
    <x v="0"/>
    <x v="343"/>
    <s v="BRN 16/Qt Wrap Around V2"/>
    <s v="EA"/>
    <s v="500/PLT"/>
    <n v="539"/>
    <n v="539"/>
    <n v="367.12"/>
    <x v="0"/>
    <x v="0"/>
    <n v="0.68111317254174397"/>
    <m/>
  </r>
  <r>
    <x v="3"/>
    <x v="383"/>
    <s v="LA Strw 3+1 Gln Version 2"/>
    <s v="EA"/>
    <s v="5,000/RL"/>
    <n v="10000"/>
    <n v="1"/>
    <n v="134"/>
    <x v="0"/>
    <x v="1"/>
    <n v="1.34E-2"/>
    <m/>
  </r>
  <r>
    <x v="7"/>
    <x v="276"/>
    <s v="SOI All Natural Lemon Sour FZN 12pk Qt"/>
    <s v="CS"/>
    <s v="12/CS"/>
    <n v="600"/>
    <n v="18874.2"/>
    <n v="10494"/>
    <x v="2"/>
    <x v="0"/>
    <n v="17.489999999999998"/>
    <m/>
  </r>
  <r>
    <x v="1"/>
    <x v="378"/>
    <s v="SOI Lime Juice HGln 6pk"/>
    <s v="CS"/>
    <s v="6/CS"/>
    <n v="0"/>
    <n v="0"/>
    <n v="3.93"/>
    <x v="2"/>
    <x v="0"/>
    <e v="#DIV/0!"/>
    <m/>
  </r>
  <r>
    <x v="2"/>
    <x v="383"/>
    <s v="LA Strw 3+1 Gln Version 2"/>
    <s v="EA"/>
    <s v="5,000/RL"/>
    <n v="23611"/>
    <n v="2.36"/>
    <n v="316.39"/>
    <x v="0"/>
    <x v="1"/>
    <n v="1.3400110118165262E-2"/>
    <m/>
  </r>
  <r>
    <x v="5"/>
    <x v="268"/>
    <s v="MM Strw Banana Smoothie Label 10oz V4"/>
    <s v="EA"/>
    <s v="5,000/RL"/>
    <n v="440000"/>
    <n v="44"/>
    <n v="3124"/>
    <x v="0"/>
    <x v="0"/>
    <n v="7.1000000000000004E-3"/>
    <m/>
  </r>
  <r>
    <x v="3"/>
    <x v="384"/>
    <s v="Lemon Juice Tanker"/>
    <s v="GL"/>
    <s v="5,500/Tanker"/>
    <n v="40223"/>
    <n v="357984.7"/>
    <n v="136758.20000000001"/>
    <x v="3"/>
    <x v="1"/>
    <n v="3.4000000000000004"/>
    <m/>
  </r>
  <r>
    <x v="1"/>
    <x v="100"/>
    <s v="Wild Flavors Nat Taste Modifier 223"/>
    <s v="LB"/>
    <m/>
    <n v="6"/>
    <n v="6"/>
    <n v="204.5"/>
    <x v="1"/>
    <x v="0"/>
    <n v="34.083333333333336"/>
    <m/>
  </r>
  <r>
    <x v="0"/>
    <x v="385"/>
    <s v="Natural Brands 3+1 Lemonade HGln"/>
    <s v="EA"/>
    <s v="5,000/RL"/>
    <n v="12983"/>
    <n v="1.3"/>
    <n v="168.78"/>
    <x v="0"/>
    <x v="2"/>
    <n v="1.3000077023800355E-2"/>
    <m/>
  </r>
  <r>
    <x v="3"/>
    <x v="386"/>
    <s v="Limeade RTS Blend"/>
    <s v="GL"/>
    <s v="0/GL"/>
    <n v="2115"/>
    <n v="18537.98"/>
    <n v="7905.02"/>
    <x v="3"/>
    <x v="1"/>
    <n v="3.7375981087470453"/>
    <m/>
  </r>
  <r>
    <x v="9"/>
    <x v="382"/>
    <s v="Natural Brands Lemon Sour Ade Base &amp; Sour Qt 6pk"/>
    <s v="CS"/>
    <s v="6/CS"/>
    <n v="6292"/>
    <n v="101301.2"/>
    <n v="53997.95"/>
    <x v="2"/>
    <x v="2"/>
    <n v="8.5820009535918622"/>
    <m/>
  </r>
  <r>
    <x v="3"/>
    <x v="385"/>
    <s v="Natural Brands 3+1 Lemonade HGln"/>
    <s v="EA"/>
    <s v="5,000/RL"/>
    <n v="50000"/>
    <n v="5"/>
    <n v="650"/>
    <x v="0"/>
    <x v="2"/>
    <n v="1.2999999999999999E-2"/>
    <m/>
  </r>
  <r>
    <x v="10"/>
    <x v="382"/>
    <s v="Natural Brands Lemon Sour Ade Base &amp; Sour Qt 6pk"/>
    <s v="CS"/>
    <s v="6/CS"/>
    <n v="30"/>
    <n v="483"/>
    <n v="257.07"/>
    <x v="2"/>
    <x v="2"/>
    <n v="8.5689999999999991"/>
    <m/>
  </r>
  <r>
    <x v="7"/>
    <x v="382"/>
    <s v="Natural Brands Lemon Sour Ade Base &amp; Sour Qt 6pk"/>
    <s v="CS"/>
    <s v="6/CS"/>
    <n v="1576"/>
    <n v="25373.599999999999"/>
    <n v="13198.37"/>
    <x v="2"/>
    <x v="2"/>
    <n v="8.3746002538071078"/>
    <m/>
  </r>
  <r>
    <x v="2"/>
    <x v="385"/>
    <s v="Natural Brands 3+1 Lemonade HGln"/>
    <s v="EA"/>
    <s v="5,000/RL"/>
    <n v="15291"/>
    <n v="1.53"/>
    <n v="198.78"/>
    <x v="0"/>
    <x v="2"/>
    <n v="1.2999803806160486E-2"/>
    <m/>
  </r>
  <r>
    <x v="1"/>
    <x v="55"/>
    <s v="Citric Acid"/>
    <s v="LB"/>
    <s v="50/BAG"/>
    <n v="-17.100000000000001"/>
    <n v="-17.100000000000001"/>
    <n v="-22.71"/>
    <x v="1"/>
    <x v="0"/>
    <n v="1.3280701754385964"/>
    <m/>
  </r>
  <r>
    <x v="8"/>
    <x v="382"/>
    <s v="Natural Brands Lemon Sour Ade Base &amp; Sour Qt 6pk"/>
    <s v="CS"/>
    <s v="6/CS"/>
    <n v="0"/>
    <n v="0"/>
    <n v="-0.06"/>
    <x v="2"/>
    <x v="2"/>
    <e v="#DIV/0!"/>
    <m/>
  </r>
  <r>
    <x v="7"/>
    <x v="5"/>
    <s v="SOI Orange Juice Gln 4pk"/>
    <s v="CS"/>
    <s v="4/CS"/>
    <n v="1357"/>
    <n v="49449.08"/>
    <n v="33324.25"/>
    <x v="2"/>
    <x v="0"/>
    <n v="24.557295504789977"/>
    <m/>
  </r>
  <r>
    <x v="13"/>
    <x v="202"/>
    <s v="Bottled MM Green Smoothie Blend 10oz"/>
    <s v="EA"/>
    <s v="1/EA"/>
    <n v="40206"/>
    <n v="28144.2"/>
    <n v="19222.46"/>
    <x v="3"/>
    <x v="0"/>
    <n v="0.47809928866338353"/>
    <m/>
  </r>
  <r>
    <x v="13"/>
    <x v="80"/>
    <s v="Sams Club MM Reduced Sugar &amp; Fiber Multipack 12pk 10oz"/>
    <s v="CS"/>
    <s v="12/CS"/>
    <n v="-13440"/>
    <n v="-120960"/>
    <n v="-79695.17"/>
    <x v="2"/>
    <x v="0"/>
    <n v="5.9297001488095233"/>
    <m/>
  </r>
  <r>
    <x v="1"/>
    <x v="329"/>
    <s v="SYSCO Lime Juice Qt 6pk"/>
    <s v="CS"/>
    <s v="6/CS"/>
    <n v="-2"/>
    <n v="-26"/>
    <n v="-51.83"/>
    <x v="2"/>
    <x v="0"/>
    <n v="25.914999999999999"/>
    <m/>
  </r>
  <r>
    <x v="13"/>
    <x v="213"/>
    <s v="Bottled MM Mixed Berries Smoothie Blend 10oz"/>
    <s v="EA"/>
    <s v="1/EA"/>
    <n v="40081"/>
    <n v="28056.7"/>
    <n v="17976.349999999999"/>
    <x v="3"/>
    <x v="0"/>
    <n v="0.44850053641376209"/>
    <m/>
  </r>
  <r>
    <x v="0"/>
    <x v="387"/>
    <s v="Orange Juice NP Gln Version 2"/>
    <s v="EA"/>
    <s v="5,000/RL"/>
    <n v="9429"/>
    <n v="0.94"/>
    <n v="66"/>
    <x v="0"/>
    <x v="0"/>
    <n v="6.9996818326439709E-3"/>
    <m/>
  </r>
  <r>
    <x v="13"/>
    <x v="240"/>
    <s v="Bottled MM Mango Smoothie Blend 10oz"/>
    <s v="EA"/>
    <s v="1/EA"/>
    <n v="40781"/>
    <n v="28546.7"/>
    <n v="20696.34"/>
    <x v="3"/>
    <x v="0"/>
    <n v="0.50749957087859543"/>
    <m/>
  </r>
  <r>
    <x v="3"/>
    <x v="387"/>
    <s v="Orange Juice NP Gln Version 2"/>
    <s v="EA"/>
    <s v="5,000/RL"/>
    <n v="40000"/>
    <n v="4"/>
    <n v="536"/>
    <x v="0"/>
    <x v="1"/>
    <n v="1.34E-2"/>
    <m/>
  </r>
  <r>
    <x v="13"/>
    <x v="243"/>
    <s v="Bottled MM Strawberry Banana Smoothie Blend 10oz"/>
    <s v="EA"/>
    <s v="1/EA"/>
    <n v="40604"/>
    <n v="28422.799999999999"/>
    <n v="20740.650000000001"/>
    <x v="3"/>
    <x v="0"/>
    <n v="0.51080312284503993"/>
    <m/>
  </r>
  <r>
    <x v="2"/>
    <x v="387"/>
    <s v="Orange Juice NP Gln Version 2"/>
    <s v="EA"/>
    <s v="5,000/RL"/>
    <n v="7005"/>
    <n v="0.7"/>
    <n v="93.87"/>
    <x v="0"/>
    <x v="1"/>
    <n v="1.3400428265524626E-2"/>
    <m/>
  </r>
  <r>
    <x v="1"/>
    <x v="333"/>
    <s v="SOI Lime Juice Qt 6pk"/>
    <s v="CS"/>
    <s v="6/CS"/>
    <n v="-3"/>
    <n v="-41.4"/>
    <n v="-35.86"/>
    <x v="2"/>
    <x v="0"/>
    <n v="11.953333333333333"/>
    <m/>
  </r>
  <r>
    <x v="7"/>
    <x v="137"/>
    <s v="SOI Marg Mix Cond 3+1 FZN HGln 9pk"/>
    <s v="CS"/>
    <s v="9/CS"/>
    <n v="-6"/>
    <n v="-304.8"/>
    <n v="-174.97"/>
    <x v="2"/>
    <x v="0"/>
    <n v="29.161666666666665"/>
    <m/>
  </r>
  <r>
    <x v="2"/>
    <x v="351"/>
    <s v="BRN 12 QT Wrap Around V2"/>
    <s v="EA"/>
    <s v="500/PLT"/>
    <n v="1036"/>
    <n v="1036"/>
    <n v="483.81"/>
    <x v="0"/>
    <x v="1"/>
    <n v="0.46699806949806949"/>
    <m/>
  </r>
  <r>
    <x v="0"/>
    <x v="351"/>
    <s v="BRN 12 QT Wrap Around V2"/>
    <s v="EA"/>
    <s v="500/PLT"/>
    <n v="1560"/>
    <n v="1560"/>
    <n v="908.72"/>
    <x v="0"/>
    <x v="0"/>
    <n v="0.5825128205128205"/>
    <m/>
  </r>
  <r>
    <x v="3"/>
    <x v="351"/>
    <s v="BRN 12 QT Wrap Around V2"/>
    <s v="EA"/>
    <s v="500/PLT"/>
    <n v="32661"/>
    <n v="32661"/>
    <n v="15523.77"/>
    <x v="0"/>
    <x v="1"/>
    <n v="0.47529989896206487"/>
    <m/>
  </r>
  <r>
    <x v="1"/>
    <x v="357"/>
    <s v="Green Premix w/o WheatG &amp; Garlic  001973"/>
    <s v="LB"/>
    <s v="55/BOX"/>
    <n v="0"/>
    <n v="0"/>
    <n v="0"/>
    <x v="1"/>
    <x v="0"/>
    <e v="#DIV/0!"/>
    <m/>
  </r>
  <r>
    <x v="1"/>
    <x v="351"/>
    <s v="BRN 12 QT Wrap Around V2"/>
    <s v="EA"/>
    <s v="500/PLT"/>
    <n v="0"/>
    <n v="0"/>
    <n v="1.58"/>
    <x v="0"/>
    <x v="0"/>
    <e v="#DIV/0!"/>
    <m/>
  </r>
  <r>
    <x v="0"/>
    <x v="357"/>
    <s v="Green Premix w/o WheatG &amp; Garlic  001973"/>
    <s v="LB"/>
    <s v="55/BOX"/>
    <n v="93.4"/>
    <n v="93.4"/>
    <n v="1875.47"/>
    <x v="1"/>
    <x v="0"/>
    <n v="20.079978586723769"/>
    <m/>
  </r>
  <r>
    <x v="3"/>
    <x v="371"/>
    <s v="Natural Brands &quot;Brewhouse&quot; 2.5+1 Lemonade Gln"/>
    <s v="EA"/>
    <s v="5,000/RL"/>
    <n v="45000"/>
    <n v="4.5"/>
    <n v="1255.5"/>
    <x v="0"/>
    <x v="2"/>
    <n v="2.7900000000000001E-2"/>
    <m/>
  </r>
  <r>
    <x v="5"/>
    <x v="150"/>
    <s v="6 Hgln Meyer LA Wrap Around V3"/>
    <s v="EA"/>
    <s v="500/PLT"/>
    <n v="7830"/>
    <n v="7830"/>
    <n v="4712.09"/>
    <x v="0"/>
    <x v="0"/>
    <n v="0.6017994891443168"/>
    <m/>
  </r>
  <r>
    <x v="5"/>
    <x v="234"/>
    <s v="SO Agave Margarita Mix FZN 6pk 61.5"/>
    <s v="EA"/>
    <s v="5,000/RL"/>
    <n v="20000"/>
    <n v="2"/>
    <n v="266"/>
    <x v="0"/>
    <x v="0"/>
    <n v="1.3299999999999999E-2"/>
    <m/>
  </r>
  <r>
    <x v="3"/>
    <x v="23"/>
    <s v="SO Limeade Base 3+1 FZN HGln 6pk"/>
    <s v="EA"/>
    <s v="1/EA"/>
    <n v="-4"/>
    <n v="-20.3"/>
    <n v="-11.57"/>
    <x v="2"/>
    <x v="1"/>
    <n v="2.8925000000000001"/>
    <m/>
  </r>
  <r>
    <x v="0"/>
    <x v="388"/>
    <s v="Natural Brands 3+1 Lemonade Base HGln 9pk"/>
    <s v="CS"/>
    <s v="9/CS"/>
    <n v="48"/>
    <n v="2260.8000000000002"/>
    <n v="988.68"/>
    <x v="2"/>
    <x v="2"/>
    <n v="20.5975"/>
    <m/>
  </r>
  <r>
    <x v="3"/>
    <x v="23"/>
    <s v="SO Limeade Base 3+1 FZN HGln 6pk"/>
    <s v="CS"/>
    <s v="6/CS"/>
    <n v="513"/>
    <n v="16313.4"/>
    <n v="8901.58"/>
    <x v="2"/>
    <x v="1"/>
    <n v="17.352007797270954"/>
    <m/>
  </r>
  <r>
    <x v="4"/>
    <x v="106"/>
    <s v="SOI CP Lemon Oil Drum"/>
    <s v="LB"/>
    <s v="400/LB"/>
    <n v="-14.02"/>
    <n v="-14.02"/>
    <n v="-2.42"/>
    <x v="2"/>
    <x v="1"/>
    <n v="0.17261055634807418"/>
    <m/>
  </r>
  <r>
    <x v="1"/>
    <x v="275"/>
    <s v="Lime Juice"/>
    <s v="GL"/>
    <m/>
    <n v="90"/>
    <n v="801"/>
    <n v="261.42"/>
    <x v="3"/>
    <x v="0"/>
    <n v="2.904666666666667"/>
    <m/>
  </r>
  <r>
    <x v="1"/>
    <x v="61"/>
    <s v="Concord Grape Concentrate"/>
    <s v="GL"/>
    <m/>
    <n v="-95"/>
    <n v="-1057.3499999999999"/>
    <n v="-1882.78"/>
    <x v="1"/>
    <x v="0"/>
    <n v="19.818736842105263"/>
    <m/>
  </r>
  <r>
    <x v="1"/>
    <x v="283"/>
    <s v="Apple Juice Tanker"/>
    <s v="GL"/>
    <m/>
    <n v="4425"/>
    <n v="38760.79"/>
    <n v="9777.92"/>
    <x v="3"/>
    <x v="0"/>
    <n v="2.2096994350282486"/>
    <m/>
  </r>
  <r>
    <x v="5"/>
    <x v="90"/>
    <s v="Shrink Film Sam's 10oz V3 (in impressions/eaches)"/>
    <s v="EA"/>
    <m/>
    <n v="71972"/>
    <n v="7197.2"/>
    <n v="7643.42"/>
    <x v="0"/>
    <x v="0"/>
    <n v="0.10619991107652976"/>
    <m/>
  </r>
  <r>
    <x v="3"/>
    <x v="388"/>
    <s v="Natural Brands 3+1 Lemonade Base HGln 9pk"/>
    <s v="CS"/>
    <s v="9/CS"/>
    <n v="268"/>
    <n v="12622.8"/>
    <n v="6353.96"/>
    <x v="2"/>
    <x v="2"/>
    <n v="23.708805970149253"/>
    <m/>
  </r>
  <r>
    <x v="3"/>
    <x v="124"/>
    <s v="CA Lemons"/>
    <s v="LB"/>
    <m/>
    <n v="39928"/>
    <n v="39928"/>
    <n v="8166.54"/>
    <x v="4"/>
    <x v="1"/>
    <n v="0.20453165698256862"/>
    <m/>
  </r>
  <r>
    <x v="4"/>
    <x v="141"/>
    <s v="Protab VIT Premix w\o maltodextrin 001780"/>
    <s v="LB"/>
    <m/>
    <n v="-67.099999999999994"/>
    <n v="-67.099999999999994"/>
    <n v="-423.4"/>
    <x v="1"/>
    <x v="1"/>
    <n v="6.309985096870343"/>
    <m/>
  </r>
  <r>
    <x v="5"/>
    <x v="270"/>
    <s v="Lime Juice Gln Version 2"/>
    <s v="EA"/>
    <s v="5,000/RL"/>
    <n v="40000"/>
    <n v="4"/>
    <n v="536"/>
    <x v="0"/>
    <x v="0"/>
    <n v="1.34E-2"/>
    <m/>
  </r>
  <r>
    <x v="2"/>
    <x v="370"/>
    <s v="Lemon Juice HGln"/>
    <s v="EA"/>
    <s v="5,000/RL"/>
    <n v="16468"/>
    <n v="1.65"/>
    <n v="220.67"/>
    <x v="0"/>
    <x v="1"/>
    <n v="1.3399927131406364E-2"/>
    <m/>
  </r>
  <r>
    <x v="5"/>
    <x v="309"/>
    <s v="Meyer LA 64oz Nutrition V2"/>
    <s v="EA"/>
    <s v="5,000/RL"/>
    <n v="20000"/>
    <n v="2"/>
    <n v="308"/>
    <x v="0"/>
    <x v="0"/>
    <n v="1.54E-2"/>
    <m/>
  </r>
  <r>
    <x v="3"/>
    <x v="58"/>
    <s v="Lemon Juice Qt FZN"/>
    <s v="EA"/>
    <s v="5,000/RL"/>
    <n v="20000"/>
    <n v="2"/>
    <n v="244"/>
    <x v="0"/>
    <x v="1"/>
    <n v="1.2200000000000001E-2"/>
    <m/>
  </r>
  <r>
    <x v="2"/>
    <x v="21"/>
    <s v="Lime Juice Qt"/>
    <s v="EA"/>
    <s v="5,000/RL"/>
    <n v="22820"/>
    <n v="2.2799999999999998"/>
    <n v="301.22000000000003"/>
    <x v="0"/>
    <x v="1"/>
    <n v="1.319982471516214E-2"/>
    <m/>
  </r>
  <r>
    <x v="1"/>
    <x v="5"/>
    <s v="SOI Orange Juice Gln 4pk"/>
    <s v="CS"/>
    <s v="4/CS"/>
    <n v="0"/>
    <n v="0"/>
    <n v="-3403.92"/>
    <x v="2"/>
    <x v="0"/>
    <e v="#DIV/0!"/>
    <m/>
  </r>
  <r>
    <x v="0"/>
    <x v="389"/>
    <s v="6 Hgln 100% Red Gft WA"/>
    <s v="EA"/>
    <s v="500/PLT"/>
    <n v="109"/>
    <n v="109"/>
    <n v="116.03"/>
    <x v="0"/>
    <x v="0"/>
    <n v="1.0644954128440367"/>
    <m/>
  </r>
  <r>
    <x v="3"/>
    <x v="101"/>
    <s v="Panera Mango Base W\Vitamins NSA"/>
    <s v="GL"/>
    <m/>
    <n v="130"/>
    <n v="1191.05"/>
    <n v="638.01"/>
    <x v="3"/>
    <x v="1"/>
    <n v="4.9077692307692304"/>
    <m/>
  </r>
  <r>
    <x v="9"/>
    <x v="388"/>
    <s v="Natural Brands 3+1 Lemonade Base HGln 9pk"/>
    <s v="CS"/>
    <s v="9/CS"/>
    <n v="437"/>
    <n v="20582.7"/>
    <n v="9001.0499999999993"/>
    <x v="2"/>
    <x v="2"/>
    <n v="20.597368421052629"/>
    <m/>
  </r>
  <r>
    <x v="4"/>
    <x v="75"/>
    <s v="Cane Sugar Totes"/>
    <s v="LB"/>
    <s v="2,204/Tote"/>
    <n v="-21341.599999999999"/>
    <n v="-21341.599999999999"/>
    <n v="-13218.16"/>
    <x v="1"/>
    <x v="1"/>
    <n v="0.61936124751658739"/>
    <m/>
  </r>
  <r>
    <x v="0"/>
    <x v="371"/>
    <s v="Natural Brands &quot;Brewhouse&quot; 2.5+1 Lemonade Gln"/>
    <s v="EA"/>
    <s v="5,000/RL"/>
    <n v="10073"/>
    <n v="1.01"/>
    <n v="277.01"/>
    <x v="0"/>
    <x v="2"/>
    <n v="2.750024818822595E-2"/>
    <m/>
  </r>
  <r>
    <x v="1"/>
    <x v="371"/>
    <s v="Natural Brands &quot;Brewhouse&quot; 2.5+1 Lemonade Gln"/>
    <s v="EA"/>
    <s v="5,000/RL"/>
    <n v="-448"/>
    <n v="-0.04"/>
    <n v="-12.32"/>
    <x v="0"/>
    <x v="2"/>
    <n v="2.75E-2"/>
    <m/>
  </r>
  <r>
    <x v="3"/>
    <x v="97"/>
    <s v="Auntie Annes FZN LA 3+1 HGln 6pk"/>
    <s v="CS"/>
    <s v="6/CS"/>
    <n v="5828"/>
    <n v="186496"/>
    <n v="78490.92"/>
    <x v="2"/>
    <x v="1"/>
    <n v="13.467899794097461"/>
    <m/>
  </r>
  <r>
    <x v="4"/>
    <x v="68"/>
    <s v="Blended Orange Pulp Cells"/>
    <s v="LB"/>
    <m/>
    <n v="-1050"/>
    <n v="-1050"/>
    <n v="-662.97"/>
    <x v="1"/>
    <x v="1"/>
    <n v="0.63140000000000007"/>
    <m/>
  </r>
  <r>
    <x v="0"/>
    <x v="390"/>
    <s v="NP Orange Juice 61.5oz FZN Version 2"/>
    <s v="EA"/>
    <s v="5,000/RL"/>
    <n v="24637"/>
    <n v="2.46"/>
    <n v="330.14"/>
    <x v="0"/>
    <x v="0"/>
    <n v="1.3400170475301376E-2"/>
    <m/>
  </r>
  <r>
    <x v="3"/>
    <x v="390"/>
    <s v="NP Orange Juice 61.5oz FZN Version 2"/>
    <s v="EA"/>
    <s v="5,000/RL"/>
    <n v="25000"/>
    <n v="2.5"/>
    <n v="335"/>
    <x v="0"/>
    <x v="1"/>
    <n v="1.34E-2"/>
    <m/>
  </r>
  <r>
    <x v="2"/>
    <x v="30"/>
    <s v="LA Gln"/>
    <s v="EA"/>
    <s v="5,000/RL"/>
    <n v="21614"/>
    <n v="2.16"/>
    <n v="289.63"/>
    <x v="0"/>
    <x v="1"/>
    <n v="1.3400111039141297E-2"/>
    <m/>
  </r>
  <r>
    <x v="5"/>
    <x v="217"/>
    <s v="Green DBJ Cap"/>
    <s v="EA"/>
    <s v="2,500/Box"/>
    <n v="597500"/>
    <n v="597.5"/>
    <n v="12846.25"/>
    <x v="0"/>
    <x v="0"/>
    <n v="2.1499999999999998E-2"/>
    <m/>
  </r>
  <r>
    <x v="5"/>
    <x v="311"/>
    <s v="Lime Juice HGln V2"/>
    <s v="EA"/>
    <s v="5,000/RL"/>
    <n v="40000"/>
    <n v="4"/>
    <n v="536"/>
    <x v="0"/>
    <x v="0"/>
    <n v="1.34E-2"/>
    <m/>
  </r>
  <r>
    <x v="3"/>
    <x v="70"/>
    <s v="Panera Strawberry Fruit Base No Refined Sugar Added FZN"/>
    <s v="CS"/>
    <s v="6/CS"/>
    <n v="900"/>
    <n v="25605.9"/>
    <n v="19291.37"/>
    <x v="2"/>
    <x v="1"/>
    <n v="21.434855555555554"/>
    <m/>
  </r>
  <r>
    <x v="3"/>
    <x v="201"/>
    <s v="Valencia Cells - California"/>
    <s v="LB"/>
    <m/>
    <n v="9000"/>
    <n v="9000"/>
    <n v="7226.1"/>
    <x v="1"/>
    <x v="1"/>
    <n v="0.80290000000000006"/>
    <m/>
  </r>
  <r>
    <x v="3"/>
    <x v="391"/>
    <s v="Marg Mix 3+1"/>
    <s v="GL"/>
    <m/>
    <n v="360"/>
    <n v="3888"/>
    <n v="2225.48"/>
    <x v="3"/>
    <x v="1"/>
    <n v="6.1818888888888885"/>
    <m/>
  </r>
  <r>
    <x v="4"/>
    <x v="392"/>
    <s v="Lime Lemon Juice"/>
    <s v="GL"/>
    <m/>
    <n v="14798"/>
    <n v="129112.55"/>
    <n v="46712.85"/>
    <x v="3"/>
    <x v="1"/>
    <n v="3.1567002297607782"/>
    <m/>
  </r>
  <r>
    <x v="5"/>
    <x v="202"/>
    <s v="Bottled MM Green Smoothie Blend 10oz"/>
    <s v="EA"/>
    <s v="1/EA"/>
    <n v="0"/>
    <n v="0"/>
    <n v="0"/>
    <x v="3"/>
    <x v="0"/>
    <e v="#DIV/0!"/>
    <m/>
  </r>
  <r>
    <x v="3"/>
    <x v="77"/>
    <s v="Pasteurized California Mixed Varietal Orange Juice Tanker"/>
    <s v="GL"/>
    <s v="0/Tanker"/>
    <n v="10166"/>
    <n v="90477.4"/>
    <n v="45673.81"/>
    <x v="3"/>
    <x v="1"/>
    <n v="4.4928005115089515"/>
    <m/>
  </r>
  <r>
    <x v="3"/>
    <x v="197"/>
    <s v="NP Orange Juice 61.5oz FZN v1"/>
    <s v="EA"/>
    <s v="5,000/RL"/>
    <n v="10000"/>
    <n v="1"/>
    <n v="133"/>
    <x v="0"/>
    <x v="1"/>
    <n v="1.3299999999999999E-2"/>
    <m/>
  </r>
  <r>
    <x v="2"/>
    <x v="20"/>
    <s v="Orange Juice Gln"/>
    <s v="EA"/>
    <s v="5,000/RL"/>
    <n v="23337"/>
    <n v="2.33"/>
    <n v="312.72000000000003"/>
    <x v="0"/>
    <x v="1"/>
    <n v="1.3400179971718731E-2"/>
    <m/>
  </r>
  <r>
    <x v="3"/>
    <x v="393"/>
    <s v="Natural Brands 3+1 Lemonade Sour Mix Gln"/>
    <s v="EA"/>
    <s v="5,000/RL"/>
    <n v="30000"/>
    <n v="3"/>
    <n v="447"/>
    <x v="0"/>
    <x v="2"/>
    <n v="1.49E-2"/>
    <m/>
  </r>
  <r>
    <x v="1"/>
    <x v="232"/>
    <s v="Lime Juice Tanker Mexico"/>
    <s v="GL"/>
    <m/>
    <n v="-156"/>
    <n v="-1388.4"/>
    <n v="-454.85"/>
    <x v="3"/>
    <x v="0"/>
    <n v="2.9157051282051283"/>
    <m/>
  </r>
  <r>
    <x v="3"/>
    <x v="394"/>
    <s v="Rykoff Sexton Margarita Mix 64oz V3"/>
    <s v="EA"/>
    <s v="5,000/RL"/>
    <n v="20000"/>
    <n v="2"/>
    <n v="348"/>
    <x v="0"/>
    <x v="1"/>
    <n v="1.7399999999999999E-2"/>
    <m/>
  </r>
  <r>
    <x v="4"/>
    <x v="257"/>
    <s v="SYSCO LA Gln 4pk"/>
    <s v="CS"/>
    <s v="4/CS"/>
    <n v="0"/>
    <n v="0"/>
    <n v="0"/>
    <x v="2"/>
    <x v="1"/>
    <e v="#DIV/0!"/>
    <m/>
  </r>
  <r>
    <x v="7"/>
    <x v="395"/>
    <s v="Past Lemon Juice Drum REF 48GL"/>
    <s v="DR"/>
    <s v="48/Drum"/>
    <n v="0"/>
    <n v="0"/>
    <n v="0"/>
    <x v="2"/>
    <x v="0"/>
    <e v="#DIV/0!"/>
    <m/>
  </r>
  <r>
    <x v="3"/>
    <x v="396"/>
    <s v="Gft"/>
    <s v="GL"/>
    <m/>
    <n v="685"/>
    <n v="6096.5"/>
    <n v="2452.3000000000002"/>
    <x v="3"/>
    <x v="1"/>
    <n v="3.58"/>
    <m/>
  </r>
  <r>
    <x v="2"/>
    <x v="393"/>
    <s v="Natural Brands 3+1 Lemonade Sour Mix Gln"/>
    <s v="EA"/>
    <s v="5,000/RL"/>
    <n v="15928"/>
    <n v="1.59"/>
    <n v="237.33"/>
    <x v="0"/>
    <x v="2"/>
    <n v="1.490017579105977E-2"/>
    <m/>
  </r>
  <r>
    <x v="4"/>
    <x v="368"/>
    <s v="Markon Lime Juice HGln 6pk"/>
    <s v="CS"/>
    <s v="6/CS"/>
    <n v="0"/>
    <n v="0"/>
    <n v="0"/>
    <x v="2"/>
    <x v="1"/>
    <e v="#DIV/0!"/>
    <m/>
  </r>
  <r>
    <x v="5"/>
    <x v="127"/>
    <s v="Sea Salt"/>
    <s v="LB"/>
    <m/>
    <n v="500"/>
    <n v="500"/>
    <n v="475"/>
    <x v="1"/>
    <x v="0"/>
    <n v="0.95"/>
    <m/>
  </r>
  <r>
    <x v="0"/>
    <x v="380"/>
    <s v="Gft Juice 6 Pk HGln Version 2"/>
    <s v="EA"/>
    <s v="5,000/RL"/>
    <n v="9097"/>
    <n v="0.91"/>
    <n v="121.9"/>
    <x v="0"/>
    <x v="0"/>
    <n v="1.3400021985269869E-2"/>
    <m/>
  </r>
  <r>
    <x v="3"/>
    <x v="380"/>
    <s v="Gft Juice 6 Pk HGln Version 2"/>
    <s v="EA"/>
    <s v="5,000/RL"/>
    <n v="50000"/>
    <n v="5"/>
    <n v="670"/>
    <x v="0"/>
    <x v="1"/>
    <n v="1.34E-2"/>
    <m/>
  </r>
  <r>
    <x v="2"/>
    <x v="380"/>
    <s v="Gft Juice 6 Pk HGln Version 2"/>
    <s v="EA"/>
    <s v="5,000/RL"/>
    <n v="13678"/>
    <n v="1.37"/>
    <n v="183.29"/>
    <x v="0"/>
    <x v="1"/>
    <n v="1.3400350928498318E-2"/>
    <m/>
  </r>
  <r>
    <x v="1"/>
    <x v="397"/>
    <s v="Sweet Flavor 120"/>
    <s v="LB"/>
    <m/>
    <n v="-13"/>
    <n v="-13"/>
    <n v="-125.06"/>
    <x v="1"/>
    <x v="0"/>
    <n v="9.620000000000001"/>
    <m/>
  </r>
  <r>
    <x v="2"/>
    <x v="394"/>
    <s v="Rykoff Sexton Margarita Mix 64oz V3"/>
    <s v="EA"/>
    <s v="5,000/RL"/>
    <n v="9709"/>
    <n v="0.97"/>
    <n v="168.94"/>
    <x v="0"/>
    <x v="1"/>
    <n v="1.7400350190544856E-2"/>
    <m/>
  </r>
  <r>
    <x v="0"/>
    <x v="398"/>
    <s v="Natural Brands &quot;Brewhouse&quot; 2.5+1 Lemonade Base Gln 4pk"/>
    <s v="CS"/>
    <s v="4/CS"/>
    <n v="1"/>
    <n v="41"/>
    <n v="19.02"/>
    <x v="2"/>
    <x v="2"/>
    <n v="19.02"/>
    <m/>
  </r>
  <r>
    <x v="0"/>
    <x v="397"/>
    <s v="Sweet Flavor 120"/>
    <s v="LB"/>
    <m/>
    <n v="1616.28"/>
    <n v="1616.28"/>
    <n v="15548.59"/>
    <x v="1"/>
    <x v="0"/>
    <n v="9.6199853985695558"/>
    <m/>
  </r>
  <r>
    <x v="0"/>
    <x v="393"/>
    <s v="Natural Brands 3+1 Lemonade Sour Mix Gln"/>
    <s v="EA"/>
    <s v="5,000/RL"/>
    <n v="46463"/>
    <n v="4.6500000000000004"/>
    <n v="678.36"/>
    <x v="0"/>
    <x v="2"/>
    <n v="1.4600004304500355E-2"/>
    <m/>
  </r>
  <r>
    <x v="0"/>
    <x v="394"/>
    <s v="Rykoff Sexton Margarita Mix 64oz V3"/>
    <s v="EA"/>
    <s v="5,000/RL"/>
    <n v="22707"/>
    <n v="2.27"/>
    <n v="395.1"/>
    <x v="0"/>
    <x v="0"/>
    <n v="1.7399920729290527E-2"/>
    <m/>
  </r>
  <r>
    <x v="7"/>
    <x v="399"/>
    <s v="SOI Gft Juice HGln 6pk"/>
    <s v="CS"/>
    <s v="6/CS"/>
    <n v="430"/>
    <n v="11678.8"/>
    <n v="5296.4"/>
    <x v="2"/>
    <x v="0"/>
    <n v="12.31720930232558"/>
    <m/>
  </r>
  <r>
    <x v="9"/>
    <x v="398"/>
    <s v="Natural Brands &quot;Brewhouse&quot; 2.5+1 Lemonade Base Gln 4pk"/>
    <s v="CS"/>
    <s v="4/CS"/>
    <n v="1343"/>
    <n v="55063"/>
    <n v="26164.720000000001"/>
    <x v="2"/>
    <x v="2"/>
    <n v="19.482293373045422"/>
    <m/>
  </r>
  <r>
    <x v="3"/>
    <x v="154"/>
    <s v="Meyer LA 6pk Hgln Rykoff Sexton."/>
    <s v="CS"/>
    <s v="6/CS"/>
    <n v="1137"/>
    <n v="31267.5"/>
    <n v="7494.76"/>
    <x v="2"/>
    <x v="1"/>
    <n v="6.5916974494283203"/>
    <m/>
  </r>
  <r>
    <x v="3"/>
    <x v="400"/>
    <s v="Gft Juice 6 Pk HGln Nutrition Version 2"/>
    <s v="EA"/>
    <s v="5,000/RL"/>
    <n v="20000"/>
    <n v="2"/>
    <n v="236"/>
    <x v="0"/>
    <x v="1"/>
    <n v="1.18E-2"/>
    <m/>
  </r>
  <r>
    <x v="2"/>
    <x v="400"/>
    <s v="Gft Juice 6 Pk HGln Nutrition Version 2"/>
    <s v="EA"/>
    <s v="5,000/RL"/>
    <n v="21591"/>
    <n v="2.16"/>
    <n v="254.77"/>
    <x v="0"/>
    <x v="1"/>
    <n v="1.179982400074105E-2"/>
    <m/>
  </r>
  <r>
    <x v="5"/>
    <x v="281"/>
    <s v="MM Green Smoothie Label 10oz Nutrition V3"/>
    <s v="EA"/>
    <s v="5,000/RL"/>
    <n v="400000"/>
    <n v="40"/>
    <n v="2640"/>
    <x v="0"/>
    <x v="0"/>
    <n v="6.6E-3"/>
    <m/>
  </r>
  <r>
    <x v="7"/>
    <x v="398"/>
    <s v="Natural Brands &quot;Brewhouse&quot; 2.5+1 Lemonade Base Gln 4pk"/>
    <s v="CS"/>
    <s v="4/CS"/>
    <n v="572"/>
    <n v="23452"/>
    <n v="10879.38"/>
    <x v="2"/>
    <x v="2"/>
    <n v="19.019895104895102"/>
    <m/>
  </r>
  <r>
    <x v="1"/>
    <x v="398"/>
    <s v="Natural Brands &quot;Brewhouse&quot; 2.5+1 Lemonade Base Gln 4pk"/>
    <s v="CS"/>
    <s v="4/CS"/>
    <n v="-1"/>
    <n v="-41"/>
    <n v="-19.02"/>
    <x v="2"/>
    <x v="2"/>
    <n v="19.02"/>
    <m/>
  </r>
  <r>
    <x v="5"/>
    <x v="313"/>
    <s v="6 Hgln Bloody Mary Mix Wrap V3"/>
    <s v="EA"/>
    <s v="900/PLT"/>
    <n v="550"/>
    <n v="550"/>
    <n v="288.2"/>
    <x v="0"/>
    <x v="0"/>
    <n v="0.52400000000000002"/>
    <m/>
  </r>
  <r>
    <x v="8"/>
    <x v="398"/>
    <s v="Natural Brands &quot;Brewhouse&quot; 2.5+1 Lemonade Base Gln 4pk"/>
    <s v="CS"/>
    <s v="4/CS"/>
    <n v="540"/>
    <n v="22140"/>
    <n v="10270.75"/>
    <x v="2"/>
    <x v="2"/>
    <n v="19.019907407407409"/>
    <m/>
  </r>
  <r>
    <x v="5"/>
    <x v="51"/>
    <s v="NP Orange Juice Gln v1."/>
    <s v="EA"/>
    <s v="5,000/RL"/>
    <n v="40000"/>
    <n v="4"/>
    <n v="536"/>
    <x v="0"/>
    <x v="0"/>
    <n v="1.34E-2"/>
    <m/>
  </r>
  <r>
    <x v="11"/>
    <x v="398"/>
    <s v="Natural Brands &quot;Brewhouse&quot; 2.5+1 Lemonade Base Gln 4pk"/>
    <s v="CS"/>
    <s v="4/CS"/>
    <n v="150"/>
    <n v="6150"/>
    <n v="2942.64"/>
    <x v="2"/>
    <x v="2"/>
    <n v="19.617599999999999"/>
    <m/>
  </r>
  <r>
    <x v="3"/>
    <x v="275"/>
    <s v="Lime Juice"/>
    <s v="GL"/>
    <m/>
    <n v="32"/>
    <n v="284.8"/>
    <n v="115.2"/>
    <x v="3"/>
    <x v="1"/>
    <n v="3.6"/>
    <m/>
  </r>
  <r>
    <x v="3"/>
    <x v="19"/>
    <s v="OJ Mexican Valencia Tanker"/>
    <s v="GL"/>
    <s v="0/Tanker"/>
    <n v="5494"/>
    <n v="48896.6"/>
    <n v="35161.599999999999"/>
    <x v="3"/>
    <x v="1"/>
    <n v="6.3999999999999995"/>
    <m/>
  </r>
  <r>
    <x v="5"/>
    <x v="401"/>
    <s v="Key Lime Juice 32oz V3"/>
    <s v="EA"/>
    <s v="5,000/RL"/>
    <n v="40000"/>
    <n v="4"/>
    <n v="1220"/>
    <x v="0"/>
    <x v="0"/>
    <n v="3.0499999999999999E-2"/>
    <m/>
  </r>
  <r>
    <x v="7"/>
    <x v="287"/>
    <s v="SYSCO Lime Juice Gln 4pk"/>
    <s v="CS"/>
    <s v="4/CS"/>
    <n v="3185"/>
    <n v="115934"/>
    <n v="43819.24"/>
    <x v="2"/>
    <x v="0"/>
    <n v="13.758003139717426"/>
    <m/>
  </r>
  <r>
    <x v="3"/>
    <x v="402"/>
    <s v="Bloody Mary Mix 64oz Nutrition V3"/>
    <s v="EA"/>
    <s v="5,000/RL"/>
    <n v="30000"/>
    <n v="3"/>
    <n v="462"/>
    <x v="0"/>
    <x v="1"/>
    <n v="1.54E-2"/>
    <m/>
  </r>
  <r>
    <x v="5"/>
    <x v="300"/>
    <s v="Exberry Shade Red 153330"/>
    <s v="LB"/>
    <m/>
    <n v="4.5"/>
    <n v="4.5"/>
    <n v="60.97"/>
    <x v="1"/>
    <x v="0"/>
    <n v="13.548888888888889"/>
    <m/>
  </r>
  <r>
    <x v="0"/>
    <x v="400"/>
    <s v="Gft Juice 6 Pk HGln Nutrition Version 2"/>
    <s v="EA"/>
    <s v="5,000/RL"/>
    <n v="7496"/>
    <n v="0.75"/>
    <n v="88.45"/>
    <x v="0"/>
    <x v="0"/>
    <n v="1.1799626467449307E-2"/>
    <m/>
  </r>
  <r>
    <x v="3"/>
    <x v="232"/>
    <s v="Lime Juice Tanker Mexico"/>
    <s v="GL"/>
    <m/>
    <n v="10544"/>
    <n v="93841.600000000006"/>
    <n v="33865.21"/>
    <x v="3"/>
    <x v="1"/>
    <n v="3.2117991274658575"/>
    <m/>
  </r>
  <r>
    <x v="4"/>
    <x v="183"/>
    <s v="Oil Drum"/>
    <s v="EA"/>
    <s v="1/DRM"/>
    <n v="-7"/>
    <n v="-308"/>
    <n v="-430.98"/>
    <x v="3"/>
    <x v="1"/>
    <n v="61.568571428571431"/>
    <m/>
  </r>
  <r>
    <x v="2"/>
    <x v="402"/>
    <s v="Bloody Mary Mix 64oz Nutrition V3"/>
    <s v="EA"/>
    <s v="5,000/RL"/>
    <n v="3755"/>
    <n v="0.38"/>
    <n v="57.83"/>
    <x v="0"/>
    <x v="1"/>
    <n v="1.5400798934753662E-2"/>
    <m/>
  </r>
  <r>
    <x v="0"/>
    <x v="402"/>
    <s v="Bloody Mary Mix 64oz Nutrition V3"/>
    <s v="EA"/>
    <s v="5,000/RL"/>
    <n v="16897"/>
    <n v="1.69"/>
    <n v="260.20999999999998"/>
    <x v="0"/>
    <x v="0"/>
    <n v="1.5399775108007337E-2"/>
    <m/>
  </r>
  <r>
    <x v="7"/>
    <x v="290"/>
    <s v="SYSCO Orange Juice NP Gln 4pk"/>
    <s v="CS"/>
    <s v="4/CS"/>
    <n v="2899"/>
    <n v="105523.6"/>
    <n v="69978.11"/>
    <x v="2"/>
    <x v="0"/>
    <n v="24.138706450500173"/>
    <m/>
  </r>
  <r>
    <x v="4"/>
    <x v="403"/>
    <s v="Lemon Juice"/>
    <s v="GL"/>
    <m/>
    <n v="0"/>
    <n v="0"/>
    <n v="0"/>
    <x v="3"/>
    <x v="1"/>
    <e v="#DIV/0!"/>
    <m/>
  </r>
  <r>
    <x v="4"/>
    <x v="404"/>
    <s v="Panera Strawberry Base W\Vitamins NSA"/>
    <s v="GL"/>
    <m/>
    <n v="5185"/>
    <n v="47007.73"/>
    <n v="35846.5"/>
    <x v="3"/>
    <x v="1"/>
    <n v="6.9135004821600772"/>
    <m/>
  </r>
  <r>
    <x v="13"/>
    <x v="157"/>
    <s v="Natural Brands Grapefruit Juice Qt 12pk"/>
    <s v="CS"/>
    <s v="12/CS"/>
    <n v="-2"/>
    <n v="-58"/>
    <n v="-59.52"/>
    <x v="2"/>
    <x v="2"/>
    <n v="29.76"/>
    <m/>
  </r>
  <r>
    <x v="5"/>
    <x v="115"/>
    <s v="SOI Sweet &amp; Sour Mix 3+1"/>
    <s v="EA"/>
    <s v="5,000/RL"/>
    <n v="20000"/>
    <n v="2"/>
    <n v="268"/>
    <x v="0"/>
    <x v="0"/>
    <n v="1.34E-2"/>
    <m/>
  </r>
  <r>
    <x v="0"/>
    <x v="405"/>
    <s v="IFF Strawberry Flv SC611352"/>
    <s v="LB"/>
    <m/>
    <n v="1159.6600000000001"/>
    <n v="1159.6600000000001"/>
    <n v="12188.03"/>
    <x v="1"/>
    <x v="0"/>
    <n v="10.510002931893832"/>
    <m/>
  </r>
  <r>
    <x v="3"/>
    <x v="113"/>
    <s v="OJ No Pulp"/>
    <s v="GL"/>
    <m/>
    <n v="69412"/>
    <n v="617766.80000000005"/>
    <n v="278106.12"/>
    <x v="3"/>
    <x v="1"/>
    <n v="4.0066000115253848"/>
    <m/>
  </r>
  <r>
    <x v="1"/>
    <x v="56"/>
    <s v="Stevia"/>
    <s v="LB"/>
    <m/>
    <n v="-11"/>
    <n v="-11"/>
    <n v="-466.31"/>
    <x v="1"/>
    <x v="0"/>
    <n v="42.391818181818181"/>
    <m/>
  </r>
  <r>
    <x v="15"/>
    <x v="204"/>
    <s v="Aseptic Mango Puree 16 Brix"/>
    <s v="LB"/>
    <m/>
    <n v="356934"/>
    <n v="356934"/>
    <n v="178217.15"/>
    <x v="1"/>
    <x v="0"/>
    <n v="0.49930001064622592"/>
    <m/>
  </r>
  <r>
    <x v="1"/>
    <x v="63"/>
    <s v="Strawberry Flavor 090"/>
    <s v="LB"/>
    <m/>
    <n v="-224.7"/>
    <n v="-224.7"/>
    <n v="-3330.55"/>
    <x v="1"/>
    <x v="0"/>
    <n v="14.82220738762795"/>
    <m/>
  </r>
  <r>
    <x v="7"/>
    <x v="131"/>
    <s v="GOSH Ent. LA Cond FZN 4+1 Gln 4pk"/>
    <s v="CS"/>
    <s v="4/CS"/>
    <n v="360"/>
    <n v="15988.32"/>
    <n v="8585"/>
    <x v="2"/>
    <x v="0"/>
    <n v="23.847222222222221"/>
    <m/>
  </r>
  <r>
    <x v="1"/>
    <x v="261"/>
    <s v="Velcorin"/>
    <s v="LB"/>
    <m/>
    <n v="70.180000000000007"/>
    <n v="70.180000000000007"/>
    <n v="3562.64"/>
    <x v="1"/>
    <x v="0"/>
    <n v="50.764320319179248"/>
    <m/>
  </r>
  <r>
    <x v="3"/>
    <x v="246"/>
    <s v="SOI CP Meyer Lemon Oil Drum"/>
    <s v="LB"/>
    <s v="1/LB"/>
    <n v="815"/>
    <n v="815"/>
    <n v="254.52"/>
    <x v="2"/>
    <x v="1"/>
    <n v="0.31229447852760739"/>
    <m/>
  </r>
  <r>
    <x v="2"/>
    <x v="359"/>
    <s v="LA 3+1 HGln  v2"/>
    <s v="EA"/>
    <s v="5,000/RL"/>
    <n v="13189"/>
    <n v="1.32"/>
    <n v="176.73"/>
    <x v="0"/>
    <x v="1"/>
    <n v="1.3399802866024716E-2"/>
    <m/>
  </r>
  <r>
    <x v="5"/>
    <x v="356"/>
    <s v="Natural Brands Lime Juice Qt"/>
    <s v="EA"/>
    <s v="5,000/RL"/>
    <n v="110000"/>
    <n v="11"/>
    <n v="1584"/>
    <x v="0"/>
    <x v="2"/>
    <n v="1.44E-2"/>
    <m/>
  </r>
  <r>
    <x v="1"/>
    <x v="287"/>
    <s v="SYSCO Lime Juice Gln 4pk"/>
    <s v="CS"/>
    <s v="4/CS"/>
    <n v="0"/>
    <n v="0"/>
    <n v="4.2699999999999996"/>
    <x v="2"/>
    <x v="0"/>
    <e v="#DIV/0!"/>
    <m/>
  </r>
  <r>
    <x v="3"/>
    <x v="249"/>
    <s v="Margarita Mix 6pk HGln Rykoff Sexton"/>
    <s v="CS"/>
    <s v="6/CS"/>
    <n v="779"/>
    <n v="22123.599999999999"/>
    <n v="8070.6"/>
    <x v="2"/>
    <x v="1"/>
    <n v="10.3602053915276"/>
    <m/>
  </r>
  <r>
    <x v="5"/>
    <x v="204"/>
    <s v="Aseptic Mango Puree 16 Brix"/>
    <s v="LB"/>
    <m/>
    <n v="6084"/>
    <n v="6084"/>
    <n v="3037.74"/>
    <x v="1"/>
    <x v="0"/>
    <n v="0.49929980276134117"/>
    <m/>
  </r>
  <r>
    <x v="1"/>
    <x v="250"/>
    <s v="Aseptic NFC Pineapple Juice"/>
    <s v="GL"/>
    <m/>
    <n v="0"/>
    <n v="0"/>
    <n v="0"/>
    <x v="3"/>
    <x v="0"/>
    <e v="#DIV/0!"/>
    <m/>
  </r>
  <r>
    <x v="1"/>
    <x v="290"/>
    <s v="SYSCO Orange Juice NP Gln 4pk"/>
    <s v="CS"/>
    <s v="4/CS"/>
    <n v="0"/>
    <n v="0"/>
    <n v="2075.12"/>
    <x v="2"/>
    <x v="0"/>
    <e v="#DIV/0!"/>
    <m/>
  </r>
  <r>
    <x v="5"/>
    <x v="135"/>
    <s v="Sugar"/>
    <s v="LB"/>
    <m/>
    <n v="42500"/>
    <n v="42500"/>
    <n v="23579"/>
    <x v="1"/>
    <x v="0"/>
    <n v="0.55479999999999996"/>
    <m/>
  </r>
  <r>
    <x v="5"/>
    <x v="308"/>
    <s v="MM Mango Smoothie Label 10oz V4"/>
    <s v="EA"/>
    <s v="5,000/RL"/>
    <n v="300000"/>
    <n v="30"/>
    <n v="2130"/>
    <x v="0"/>
    <x v="0"/>
    <n v="7.1000000000000004E-3"/>
    <m/>
  </r>
  <r>
    <x v="5"/>
    <x v="355"/>
    <s v="Mango Flavor 110"/>
    <s v="LB"/>
    <m/>
    <n v="40"/>
    <n v="40"/>
    <n v="522.79999999999995"/>
    <x v="1"/>
    <x v="0"/>
    <n v="13.069999999999999"/>
    <m/>
  </r>
  <r>
    <x v="2"/>
    <x v="406"/>
    <s v="Bloody Mary Mix 64oz V3"/>
    <s v="EA"/>
    <s v="5,000/RL"/>
    <n v="13204"/>
    <n v="1.32"/>
    <n v="229.75"/>
    <x v="0"/>
    <x v="1"/>
    <n v="1.7400030293850347E-2"/>
    <m/>
  </r>
  <r>
    <x v="0"/>
    <x v="406"/>
    <s v="Bloody Mary Mix 64oz V3"/>
    <s v="EA"/>
    <s v="5,000/RL"/>
    <n v="16897"/>
    <n v="1.69"/>
    <n v="294.01"/>
    <x v="0"/>
    <x v="0"/>
    <n v="1.740013020062733E-2"/>
    <m/>
  </r>
  <r>
    <x v="5"/>
    <x v="237"/>
    <s v="BRN Corrugated IBC 275GL Tote"/>
    <s v="EA"/>
    <s v="12/PLT"/>
    <n v="9"/>
    <n v="9"/>
    <n v="842.31"/>
    <x v="0"/>
    <x v="0"/>
    <n v="93.589999999999989"/>
    <m/>
  </r>
  <r>
    <x v="7"/>
    <x v="104"/>
    <s v="SOI Lemon Juice FZN Qt 6pk"/>
    <s v="CS"/>
    <s v="6/CS"/>
    <n v="350"/>
    <n v="4576.25"/>
    <n v="2369.37"/>
    <x v="2"/>
    <x v="0"/>
    <n v="6.7696285714285711"/>
    <m/>
  </r>
  <r>
    <x v="3"/>
    <x v="406"/>
    <s v="Bloody Mary Mix 64oz V3"/>
    <s v="EA"/>
    <s v="5,000/RL"/>
    <n v="40000"/>
    <n v="4"/>
    <n v="696"/>
    <x v="0"/>
    <x v="1"/>
    <n v="1.7399999999999999E-2"/>
    <m/>
  </r>
  <r>
    <x v="1"/>
    <x v="407"/>
    <s v="Old Fashioned Lemonade Mix"/>
    <s v="GL"/>
    <m/>
    <n v="4799"/>
    <n v="48469.9"/>
    <n v="25949.15"/>
    <x v="3"/>
    <x v="0"/>
    <n v="5.4071994165451143"/>
    <m/>
  </r>
  <r>
    <x v="0"/>
    <x v="408"/>
    <s v="SO Bloody Mary Mix 64oz Version 2"/>
    <s v="EA"/>
    <s v="5,000/RL"/>
    <n v="49367"/>
    <n v="4.9400000000000004"/>
    <n v="858.99"/>
    <x v="0"/>
    <x v="0"/>
    <n v="1.7400085077075779E-2"/>
    <m/>
  </r>
  <r>
    <x v="16"/>
    <x v="142"/>
    <s v="Starbucks Lemonade 2X 50.7oz 6pk"/>
    <s v="CS"/>
    <s v="6/CS"/>
    <n v="0"/>
    <n v="0"/>
    <n v="0"/>
    <x v="2"/>
    <x v="0"/>
    <e v="#DIV/0!"/>
    <m/>
  </r>
  <r>
    <x v="2"/>
    <x v="408"/>
    <s v="SO Bloody Mary Mix 64oz Version 2"/>
    <s v="EA"/>
    <s v="5,000/RL"/>
    <n v="21538"/>
    <n v="2.15"/>
    <n v="374.76"/>
    <x v="0"/>
    <x v="1"/>
    <n v="1.7399944284520383E-2"/>
    <m/>
  </r>
  <r>
    <x v="2"/>
    <x v="401"/>
    <s v="Key Lime Juice 32oz V3"/>
    <s v="EA"/>
    <s v="5,000/RL"/>
    <n v="7306"/>
    <n v="0.73"/>
    <n v="222.83"/>
    <x v="0"/>
    <x v="1"/>
    <n v="3.0499589378592939E-2"/>
    <m/>
  </r>
  <r>
    <x v="0"/>
    <x v="401"/>
    <s v="Key Lime Juice 32oz V3"/>
    <s v="EA"/>
    <s v="5,000/RL"/>
    <n v="12428"/>
    <n v="1.24"/>
    <n v="379.05"/>
    <x v="0"/>
    <x v="0"/>
    <n v="3.0499678146121662E-2"/>
    <m/>
  </r>
  <r>
    <x v="5"/>
    <x v="358"/>
    <s v="SOI Sweet &amp; Sour Mix 3+1 Nutrition V2"/>
    <s v="EA"/>
    <s v="5,000/RL"/>
    <n v="20000"/>
    <n v="2"/>
    <n v="236"/>
    <x v="0"/>
    <x v="0"/>
    <n v="1.18E-2"/>
    <m/>
  </r>
  <r>
    <x v="3"/>
    <x v="401"/>
    <s v="Key Lime Juice 32oz V3"/>
    <s v="EA"/>
    <s v="5,000/RL"/>
    <n v="20000"/>
    <n v="2"/>
    <n v="610"/>
    <x v="0"/>
    <x v="1"/>
    <n v="3.0499999999999999E-2"/>
    <m/>
  </r>
  <r>
    <x v="7"/>
    <x v="103"/>
    <s v="Premium Lime Lemon 4pk Gln"/>
    <s v="CS"/>
    <s v="4/CS"/>
    <n v="1287"/>
    <n v="46846.8"/>
    <n v="19086.34"/>
    <x v="2"/>
    <x v="0"/>
    <n v="14.830101010101011"/>
    <m/>
  </r>
  <r>
    <x v="15"/>
    <x v="140"/>
    <s v="Banana Puree"/>
    <s v="LB"/>
    <m/>
    <n v="205028.52"/>
    <n v="205028.52"/>
    <n v="65875.66"/>
    <x v="1"/>
    <x v="0"/>
    <n v="0.32129998304626112"/>
    <m/>
  </r>
  <r>
    <x v="5"/>
    <x v="317"/>
    <s v="Lemon Juice Qt V3"/>
    <s v="EA"/>
    <s v="5,000/RL"/>
    <n v="40000"/>
    <n v="4"/>
    <n v="528"/>
    <x v="0"/>
    <x v="0"/>
    <n v="1.32E-2"/>
    <m/>
  </r>
  <r>
    <x v="4"/>
    <x v="155"/>
    <s v="White Grape Juice Con Drum Brix 68"/>
    <s v="GL"/>
    <m/>
    <n v="-850"/>
    <n v="-10200"/>
    <n v="-10199.66"/>
    <x v="1"/>
    <x v="1"/>
    <n v="11.999599999999999"/>
    <m/>
  </r>
  <r>
    <x v="0"/>
    <x v="409"/>
    <s v="Treat Apple Essence 1500x"/>
    <s v="LB"/>
    <m/>
    <n v="268.2"/>
    <n v="268.2"/>
    <n v="7225.82"/>
    <x v="1"/>
    <x v="0"/>
    <n v="26.941909023117077"/>
    <m/>
  </r>
  <r>
    <x v="9"/>
    <x v="247"/>
    <s v="Natural Brands &quot;Brewhouse&quot; 2.5+1 Lemonade Base 270Gln Tote"/>
    <s v="TT"/>
    <s v="1/TT"/>
    <n v="-2"/>
    <n v="-5502.8"/>
    <n v="-2636.98"/>
    <x v="2"/>
    <x v="2"/>
    <n v="1318.49"/>
    <m/>
  </r>
  <r>
    <x v="3"/>
    <x v="145"/>
    <s v="SOI LA Cond 3+1 FZN HGln 6pk"/>
    <s v="CS"/>
    <s v="6/CS"/>
    <n v="1625"/>
    <n v="50375"/>
    <n v="27578.85"/>
    <x v="2"/>
    <x v="1"/>
    <n v="16.971599999999999"/>
    <m/>
  </r>
  <r>
    <x v="3"/>
    <x v="410"/>
    <s v="Markon Marg Mix Gln 4pk"/>
    <s v="CS"/>
    <s v="4/CS"/>
    <n v="689"/>
    <n v="25079.599999999999"/>
    <n v="6644.84"/>
    <x v="2"/>
    <x v="1"/>
    <n v="9.6441799709724236"/>
    <m/>
  </r>
  <r>
    <x v="1"/>
    <x v="409"/>
    <s v="Treat Apple Essence 1500x"/>
    <s v="LB"/>
    <m/>
    <n v="0"/>
    <n v="0"/>
    <n v="0"/>
    <x v="1"/>
    <x v="0"/>
    <e v="#DIV/0!"/>
    <m/>
  </r>
  <r>
    <x v="3"/>
    <x v="410"/>
    <s v="Markon Marg Mix Gln 4pk"/>
    <s v="EA"/>
    <s v="1/EA"/>
    <n v="-12"/>
    <n v="-109.2"/>
    <n v="-28.93"/>
    <x v="2"/>
    <x v="1"/>
    <n v="2.4108333333333332"/>
    <m/>
  </r>
  <r>
    <x v="3"/>
    <x v="411"/>
    <s v="LA 3+1 HGln Version 4"/>
    <s v="EA"/>
    <s v="5,000/RL"/>
    <n v="70000"/>
    <n v="7"/>
    <n v="938"/>
    <x v="0"/>
    <x v="1"/>
    <n v="1.34E-2"/>
    <m/>
  </r>
  <r>
    <x v="1"/>
    <x v="131"/>
    <s v="GOSH Ent. LA Cond FZN 4+1 Gln 4pk"/>
    <s v="CS"/>
    <s v="4/CS"/>
    <n v="0"/>
    <n v="0"/>
    <n v="-901.99"/>
    <x v="2"/>
    <x v="0"/>
    <e v="#DIV/0!"/>
    <m/>
  </r>
  <r>
    <x v="5"/>
    <x v="361"/>
    <s v="BRN 6 HGln Wrap Around V2"/>
    <s v="EA"/>
    <s v="500/PLT"/>
    <n v="21010"/>
    <n v="21010"/>
    <n v="11639.55"/>
    <x v="0"/>
    <x v="0"/>
    <n v="0.55400047596382673"/>
    <m/>
  </r>
  <r>
    <x v="7"/>
    <x v="239"/>
    <s v="SOI Lemon Juice FZN Qt 16pk"/>
    <s v="CS"/>
    <s v="16/CS"/>
    <n v="90"/>
    <n v="3174.3"/>
    <n v="1602.78"/>
    <x v="2"/>
    <x v="0"/>
    <n v="17.808666666666667"/>
    <m/>
  </r>
  <r>
    <x v="0"/>
    <x v="411"/>
    <s v="LA 3+1 HGln Version 4"/>
    <s v="EA"/>
    <s v="5,000/RL"/>
    <n v="86432"/>
    <n v="8.64"/>
    <n v="1158.19"/>
    <x v="0"/>
    <x v="0"/>
    <n v="1.340001388374676E-2"/>
    <m/>
  </r>
  <r>
    <x v="3"/>
    <x v="412"/>
    <s v="Meyer LA 64oz V3"/>
    <s v="EA"/>
    <s v="5,000/RL"/>
    <n v="90000"/>
    <n v="9"/>
    <n v="2088"/>
    <x v="0"/>
    <x v="1"/>
    <n v="2.3199999999999998E-2"/>
    <m/>
  </r>
  <r>
    <x v="5"/>
    <x v="297"/>
    <s v="WHT 4/Gln Wrap Around V3"/>
    <s v="EA"/>
    <s v="500/PLT"/>
    <n v="17006"/>
    <n v="17006"/>
    <n v="13776.56"/>
    <x v="0"/>
    <x v="0"/>
    <n v="0.81009996471833468"/>
    <m/>
  </r>
  <r>
    <x v="2"/>
    <x v="412"/>
    <s v="Meyer LA 64oz V3"/>
    <s v="EA"/>
    <s v="5,000/RL"/>
    <n v="16031"/>
    <n v="1.6"/>
    <n v="278.94"/>
    <x v="0"/>
    <x v="1"/>
    <n v="1.740003742748425E-2"/>
    <m/>
  </r>
  <r>
    <x v="0"/>
    <x v="412"/>
    <s v="Meyer LA 64oz V3"/>
    <s v="EA"/>
    <s v="5,000/RL"/>
    <n v="22878"/>
    <n v="2.29"/>
    <n v="398.08"/>
    <x v="0"/>
    <x v="0"/>
    <n v="1.7400122388320657E-2"/>
    <m/>
  </r>
  <r>
    <x v="5"/>
    <x v="413"/>
    <s v="Orange Juice Gln Nutrition Version 2"/>
    <s v="EA"/>
    <s v="5,000/RL"/>
    <n v="20000"/>
    <n v="2"/>
    <n v="236"/>
    <x v="0"/>
    <x v="0"/>
    <n v="1.18E-2"/>
    <m/>
  </r>
  <r>
    <x v="3"/>
    <x v="414"/>
    <s v="Natural Brands Lemon Juice HGln 9pk"/>
    <s v="CS"/>
    <s v="9/CS"/>
    <n v="10"/>
    <n v="405"/>
    <n v="180.03"/>
    <x v="2"/>
    <x v="2"/>
    <n v="18.003"/>
    <m/>
  </r>
  <r>
    <x v="1"/>
    <x v="415"/>
    <s v="Apple Flavor 125"/>
    <s v="LB"/>
    <m/>
    <n v="0"/>
    <n v="0"/>
    <n v="0"/>
    <x v="1"/>
    <x v="0"/>
    <e v="#DIV/0!"/>
    <m/>
  </r>
  <r>
    <x v="5"/>
    <x v="142"/>
    <s v="Starbucks Lemonade 2X 50.7oz 6pk"/>
    <s v="CS"/>
    <s v="6/CS"/>
    <n v="32907"/>
    <n v="721979.58"/>
    <n v="376906.91"/>
    <x v="2"/>
    <x v="0"/>
    <n v="11.453700124593551"/>
    <m/>
  </r>
  <r>
    <x v="1"/>
    <x v="103"/>
    <s v="Premium Lime Lemon 4pk Gln"/>
    <s v="CS"/>
    <s v="4/CS"/>
    <n v="-7"/>
    <n v="-254.8"/>
    <n v="193.18"/>
    <x v="2"/>
    <x v="0"/>
    <n v="-27.59714285714286"/>
    <m/>
  </r>
  <r>
    <x v="0"/>
    <x v="414"/>
    <s v="Natural Brands Lemon Juice HGln 9pk"/>
    <s v="CS"/>
    <s v="9/CS"/>
    <n v="1"/>
    <n v="40.5"/>
    <n v="18.690000000000001"/>
    <x v="2"/>
    <x v="2"/>
    <n v="18.690000000000001"/>
    <m/>
  </r>
  <r>
    <x v="10"/>
    <x v="414"/>
    <s v="Natural Brands Lemon Juice HGln 9pk"/>
    <s v="CS"/>
    <s v="9/CS"/>
    <n v="329"/>
    <n v="13324.5"/>
    <n v="5940.78"/>
    <x v="2"/>
    <x v="2"/>
    <n v="18.057082066869299"/>
    <m/>
  </r>
  <r>
    <x v="7"/>
    <x v="414"/>
    <s v="Natural Brands Lemon Juice HGln 9pk"/>
    <s v="CS"/>
    <s v="9/CS"/>
    <n v="528"/>
    <n v="21384"/>
    <n v="9870.2199999999993"/>
    <x v="2"/>
    <x v="2"/>
    <n v="18.693598484848483"/>
    <m/>
  </r>
  <r>
    <x v="5"/>
    <x v="271"/>
    <s v="Dark Orange DBJ Cap"/>
    <s v="EA"/>
    <s v="2,500/Box"/>
    <n v="175000"/>
    <n v="175"/>
    <n v="4182.5"/>
    <x v="0"/>
    <x v="0"/>
    <n v="2.3900000000000001E-2"/>
    <m/>
  </r>
  <r>
    <x v="9"/>
    <x v="414"/>
    <s v="Natural Brands Lemon Juice HGln 9pk"/>
    <s v="CS"/>
    <s v="9/CS"/>
    <n v="1090"/>
    <n v="44145"/>
    <n v="19598.86"/>
    <x v="2"/>
    <x v="2"/>
    <n v="17.980605504587157"/>
    <m/>
  </r>
  <r>
    <x v="4"/>
    <x v="416"/>
    <s v="SOI LA Cond 4+1 Gln 4pk"/>
    <s v="CS"/>
    <s v="4/CS"/>
    <n v="0"/>
    <n v="0"/>
    <n v="0"/>
    <x v="2"/>
    <x v="1"/>
    <e v="#DIV/0!"/>
    <m/>
  </r>
  <r>
    <x v="0"/>
    <x v="415"/>
    <s v="Apple Flavor 125"/>
    <s v="LB"/>
    <m/>
    <n v="1488.4"/>
    <n v="1488.4"/>
    <n v="30341.78"/>
    <x v="1"/>
    <x v="0"/>
    <n v="20.385501209352324"/>
    <m/>
  </r>
  <r>
    <x v="11"/>
    <x v="414"/>
    <s v="Natural Brands Lemon Juice HGln 9pk"/>
    <s v="CS"/>
    <s v="9/CS"/>
    <n v="214"/>
    <n v="8667"/>
    <n v="3917.15"/>
    <x v="2"/>
    <x v="2"/>
    <n v="18.304439252336451"/>
    <m/>
  </r>
  <r>
    <x v="3"/>
    <x v="244"/>
    <s v="Old Fashioned Lemonade Mix V2"/>
    <s v="EA"/>
    <s v="5,000/RL"/>
    <n v="5000"/>
    <n v="0.5"/>
    <n v="66.5"/>
    <x v="0"/>
    <x v="1"/>
    <n v="1.3299999999999999E-2"/>
    <m/>
  </r>
  <r>
    <x v="1"/>
    <x v="414"/>
    <s v="Natural Brands Lemon Juice HGln 9pk"/>
    <s v="CS"/>
    <s v="9/CS"/>
    <n v="-1"/>
    <n v="-40.5"/>
    <n v="-218.91"/>
    <x v="2"/>
    <x v="2"/>
    <n v="218.91"/>
    <m/>
  </r>
  <r>
    <x v="3"/>
    <x v="50"/>
    <s v="Markon Orange Juice Gln 4pk"/>
    <s v="EA"/>
    <s v="1/EA"/>
    <n v="-6"/>
    <n v="-54.6"/>
    <n v="-2.57"/>
    <x v="2"/>
    <x v="1"/>
    <n v="0.42833333333333329"/>
    <m/>
  </r>
  <r>
    <x v="3"/>
    <x v="50"/>
    <s v="Markon Orange Juice Gln 4pk"/>
    <s v="CS"/>
    <s v="4/CS"/>
    <n v="2567"/>
    <n v="93438.8"/>
    <n v="62118.559999999998"/>
    <x v="2"/>
    <x v="1"/>
    <n v="24.1988936501753"/>
    <m/>
  </r>
  <r>
    <x v="4"/>
    <x v="417"/>
    <s v="LA RTB"/>
    <s v="GL"/>
    <m/>
    <n v="4560"/>
    <n v="39672"/>
    <n v="5207.97"/>
    <x v="3"/>
    <x v="1"/>
    <n v="1.1420986842105263"/>
    <m/>
  </r>
  <r>
    <x v="15"/>
    <x v="39"/>
    <s v="Aseptic Peach Puree"/>
    <s v="LB"/>
    <m/>
    <n v="88638"/>
    <n v="88638"/>
    <n v="68694.45"/>
    <x v="1"/>
    <x v="0"/>
    <n v="0.77500000000000002"/>
    <m/>
  </r>
  <r>
    <x v="2"/>
    <x v="418"/>
    <s v="Meyer Lemon Juice 32oz V3"/>
    <s v="EA"/>
    <s v="5,000/RL"/>
    <n v="10942"/>
    <n v="1.0900000000000001"/>
    <n v="333.73"/>
    <x v="0"/>
    <x v="1"/>
    <n v="3.049990860902943E-2"/>
    <m/>
  </r>
  <r>
    <x v="0"/>
    <x v="418"/>
    <s v="Meyer Lemon Juice 32oz V3"/>
    <s v="EA"/>
    <s v="5,000/RL"/>
    <n v="27689"/>
    <n v="2.77"/>
    <n v="844.51"/>
    <x v="0"/>
    <x v="0"/>
    <n v="3.049983748058796E-2"/>
    <m/>
  </r>
  <r>
    <x v="3"/>
    <x v="365"/>
    <s v="SOI LA Gln 4pk"/>
    <s v="CS"/>
    <s v="4/CS"/>
    <n v="872"/>
    <n v="32124.48"/>
    <n v="5859.67"/>
    <x v="2"/>
    <x v="1"/>
    <n v="6.7198050458715599"/>
    <m/>
  </r>
  <r>
    <x v="3"/>
    <x v="365"/>
    <s v="SOI LA Gln 4pk"/>
    <s v="EA"/>
    <s v="1/EA"/>
    <n v="-3"/>
    <n v="-27.3"/>
    <n v="-5.04"/>
    <x v="2"/>
    <x v="1"/>
    <n v="1.68"/>
    <m/>
  </r>
  <r>
    <x v="3"/>
    <x v="344"/>
    <s v="Markon LA Gln 4pk"/>
    <s v="CS"/>
    <s v="4/CS"/>
    <n v="922"/>
    <n v="33560.800000000003"/>
    <n v="6191.51"/>
    <x v="2"/>
    <x v="1"/>
    <n v="6.7153036876355747"/>
    <m/>
  </r>
  <r>
    <x v="0"/>
    <x v="8"/>
    <s v="Meyer Lemon Juice Blend 12pk Qt Rykoff Sexton"/>
    <s v="CS"/>
    <s v="12/CS"/>
    <n v="341"/>
    <n v="9343.4"/>
    <n v="4963.53"/>
    <x v="2"/>
    <x v="0"/>
    <n v="14.555806451612902"/>
    <m/>
  </r>
  <r>
    <x v="4"/>
    <x v="105"/>
    <s v="SYSCO Orange Juice Gln 4pk"/>
    <s v="CS"/>
    <s v="4/CS"/>
    <n v="0"/>
    <n v="0"/>
    <n v="0"/>
    <x v="2"/>
    <x v="1"/>
    <e v="#DIV/0!"/>
    <m/>
  </r>
  <r>
    <x v="7"/>
    <x v="301"/>
    <s v="SOI Lemon Juice Gln 4pk"/>
    <s v="CS"/>
    <s v="4/CS"/>
    <n v="2746"/>
    <n v="99954.4"/>
    <n v="43962.37"/>
    <x v="2"/>
    <x v="0"/>
    <n v="16.009603058994902"/>
    <m/>
  </r>
  <r>
    <x v="3"/>
    <x v="399"/>
    <s v="SOI Gft Juice HGln 6pk"/>
    <s v="EA"/>
    <s v="1/EA"/>
    <n v="-4"/>
    <n v="-18.64"/>
    <n v="-8.7799999999999994"/>
    <x v="2"/>
    <x v="1"/>
    <n v="2.1949999999999998"/>
    <m/>
  </r>
  <r>
    <x v="7"/>
    <x v="257"/>
    <s v="SYSCO LA Gln 4pk"/>
    <s v="CS"/>
    <s v="4/CS"/>
    <n v="1729"/>
    <n v="62935.6"/>
    <n v="13453.18"/>
    <x v="2"/>
    <x v="0"/>
    <n v="7.7809022556390977"/>
    <m/>
  </r>
  <r>
    <x v="3"/>
    <x v="399"/>
    <s v="SOI Gft Juice HGln 6pk"/>
    <s v="CS"/>
    <s v="6/CS"/>
    <n v="660"/>
    <n v="17925.599999999999"/>
    <n v="8687.92"/>
    <x v="2"/>
    <x v="1"/>
    <n v="13.163515151515151"/>
    <m/>
  </r>
  <r>
    <x v="5"/>
    <x v="419"/>
    <s v="Orange Juice Gln Version 3"/>
    <s v="EA"/>
    <s v="5,000/RL"/>
    <n v="20000"/>
    <n v="2"/>
    <n v="268"/>
    <x v="0"/>
    <x v="0"/>
    <n v="1.34E-2"/>
    <m/>
  </r>
  <r>
    <x v="4"/>
    <x v="384"/>
    <s v="Lemon Juice Tanker"/>
    <s v="GL"/>
    <s v="5,500/Tanker"/>
    <n v="-53"/>
    <n v="-471.7"/>
    <n v="-180.2"/>
    <x v="3"/>
    <x v="1"/>
    <n v="3.4"/>
    <m/>
  </r>
  <r>
    <x v="5"/>
    <x v="240"/>
    <s v="Bottled MM Mango Smoothie Blend 10oz"/>
    <s v="EA"/>
    <s v="1/EA"/>
    <n v="0"/>
    <n v="0"/>
    <n v="0"/>
    <x v="3"/>
    <x v="0"/>
    <e v="#DIV/0!"/>
    <m/>
  </r>
  <r>
    <x v="5"/>
    <x v="367"/>
    <s v="Natural Brands Lime Juice Qt Nutrition"/>
    <s v="EA"/>
    <s v="5,000/RL"/>
    <n v="120000"/>
    <n v="12"/>
    <n v="1260"/>
    <x v="0"/>
    <x v="2"/>
    <n v="1.0500000000000001E-2"/>
    <m/>
  </r>
  <r>
    <x v="5"/>
    <x v="273"/>
    <s v="Cap Yellow DBJ"/>
    <s v="EA"/>
    <s v="2,500/Box"/>
    <n v="350000"/>
    <n v="350"/>
    <n v="7560"/>
    <x v="0"/>
    <x v="0"/>
    <n v="2.1600000000000001E-2"/>
    <m/>
  </r>
  <r>
    <x v="3"/>
    <x v="146"/>
    <s v="SOI Lemon Juice FZN HGln 6pk"/>
    <s v="CS"/>
    <s v="6/CS"/>
    <n v="411"/>
    <n v="10686"/>
    <n v="4406.82"/>
    <x v="2"/>
    <x v="1"/>
    <n v="10.722189781021896"/>
    <m/>
  </r>
  <r>
    <x v="5"/>
    <x v="55"/>
    <s v="Citric Acid"/>
    <s v="LB"/>
    <s v="50/BAG"/>
    <n v="14400"/>
    <n v="14400"/>
    <n v="19124.64"/>
    <x v="1"/>
    <x v="0"/>
    <n v="1.3281000000000001"/>
    <m/>
  </r>
  <r>
    <x v="3"/>
    <x v="128"/>
    <s v="Sun Orchard Orange Juice Qt 6pk"/>
    <s v="CS"/>
    <s v="6/CS"/>
    <n v="329"/>
    <n v="4606"/>
    <n v="3145.87"/>
    <x v="2"/>
    <x v="1"/>
    <n v="9.5619148936170202"/>
    <m/>
  </r>
  <r>
    <x v="5"/>
    <x v="420"/>
    <s v="70/30 Lime Lemon Juice Gln Version 2"/>
    <s v="EA"/>
    <s v="5,000/RL"/>
    <n v="190000"/>
    <n v="19"/>
    <n v="2546"/>
    <x v="0"/>
    <x v="0"/>
    <n v="1.34E-2"/>
    <m/>
  </r>
  <r>
    <x v="5"/>
    <x v="141"/>
    <s v="Protab VIT Premix w\o maltodextrin 001780"/>
    <s v="LB"/>
    <m/>
    <n v="969.1"/>
    <n v="969.1"/>
    <n v="6115.02"/>
    <x v="1"/>
    <x v="0"/>
    <n v="6.3099989681147459"/>
    <m/>
  </r>
  <r>
    <x v="5"/>
    <x v="98"/>
    <s v="RS 100% Premium Red Gft Juice 64oz V2"/>
    <s v="EA"/>
    <s v="5,000/RL"/>
    <n v="40000"/>
    <n v="4"/>
    <n v="616"/>
    <x v="0"/>
    <x v="0"/>
    <n v="1.54E-2"/>
    <m/>
  </r>
  <r>
    <x v="0"/>
    <x v="413"/>
    <s v="Orange Juice Gln Nutrition Version 2"/>
    <s v="EA"/>
    <s v="5,000/RL"/>
    <n v="17572"/>
    <n v="1.76"/>
    <n v="207.35"/>
    <x v="0"/>
    <x v="0"/>
    <n v="1.1800022763487366E-2"/>
    <m/>
  </r>
  <r>
    <x v="3"/>
    <x v="413"/>
    <s v="Orange Juice Gln Nutrition Version 2"/>
    <s v="EA"/>
    <s v="5,000/RL"/>
    <n v="50000"/>
    <n v="5"/>
    <n v="595"/>
    <x v="0"/>
    <x v="1"/>
    <n v="1.1900000000000001E-2"/>
    <m/>
  </r>
  <r>
    <x v="7"/>
    <x v="88"/>
    <s v="SYSCO Lemon Juice Gln 4pk"/>
    <s v="CS"/>
    <s v="4/CS"/>
    <n v="1999"/>
    <n v="72763.600000000006"/>
    <n v="32116.93"/>
    <x v="2"/>
    <x v="0"/>
    <n v="16.066498249124564"/>
    <m/>
  </r>
  <r>
    <x v="2"/>
    <x v="413"/>
    <s v="Orange Juice Gln Nutrition Version 2"/>
    <s v="EA"/>
    <s v="5,000/RL"/>
    <n v="27828"/>
    <n v="2.78"/>
    <n v="333.94"/>
    <x v="0"/>
    <x v="1"/>
    <n v="1.2000143740117868E-2"/>
    <m/>
  </r>
  <r>
    <x v="7"/>
    <x v="6"/>
    <s v="Key Lime Juice 12pk Qt Rykoff Sexton"/>
    <s v="CS"/>
    <s v="12/CS"/>
    <n v="724"/>
    <n v="19837.599999999999"/>
    <n v="11255.1"/>
    <x v="2"/>
    <x v="0"/>
    <n v="15.5457182320442"/>
    <m/>
  </r>
  <r>
    <x v="3"/>
    <x v="131"/>
    <s v="GOSH Ent. LA Cond FZN 4+1 Gln 4pk"/>
    <s v="CS"/>
    <s v="4/CS"/>
    <n v="1847"/>
    <n v="82028.960000000006"/>
    <n v="44805.63"/>
    <x v="2"/>
    <x v="1"/>
    <n v="24.258597726042229"/>
    <m/>
  </r>
  <r>
    <x v="4"/>
    <x v="413"/>
    <s v="Orange Juice Gln Nutrition Version 2"/>
    <s v="EA"/>
    <s v="5,000/RL"/>
    <n v="-8908"/>
    <n v="-0.89"/>
    <n v="-106.9"/>
    <x v="0"/>
    <x v="1"/>
    <n v="1.2000449034575663E-2"/>
    <m/>
  </r>
  <r>
    <x v="7"/>
    <x v="196"/>
    <s v="SOI Orange Juice NP Gln 4pk"/>
    <s v="CS"/>
    <s v="4/CS"/>
    <n v="169"/>
    <n v="6151.6"/>
    <n v="4137.1499999999996"/>
    <x v="2"/>
    <x v="0"/>
    <n v="24.480177514792896"/>
    <m/>
  </r>
  <r>
    <x v="7"/>
    <x v="325"/>
    <s v="Markon Lemon Juice HGln 6pk"/>
    <s v="CS"/>
    <s v="6/CS"/>
    <n v="951"/>
    <n v="26628"/>
    <n v="12014.58"/>
    <x v="2"/>
    <x v="0"/>
    <n v="12.633627760252367"/>
    <m/>
  </r>
  <r>
    <x v="3"/>
    <x v="104"/>
    <s v="SOI Lemon Juice FZN Qt 6pk"/>
    <s v="CS"/>
    <s v="6/CS"/>
    <n v="245"/>
    <n v="3203.38"/>
    <n v="1538.21"/>
    <x v="2"/>
    <x v="1"/>
    <n v="6.2784081632653059"/>
    <m/>
  </r>
  <r>
    <x v="7"/>
    <x v="8"/>
    <s v="Meyer Lemon Juice Blend 12pk Qt Rykoff Sexton"/>
    <s v="CS"/>
    <s v="12/CS"/>
    <n v="1039"/>
    <n v="28468.6"/>
    <n v="15123.48"/>
    <x v="2"/>
    <x v="0"/>
    <n v="14.555803657362848"/>
    <m/>
  </r>
  <r>
    <x v="3"/>
    <x v="325"/>
    <s v="Markon Lemon Juice HGln 6pk"/>
    <s v="EA"/>
    <s v="1/EA"/>
    <n v="-6"/>
    <n v="-13.02"/>
    <n v="-12.04"/>
    <x v="2"/>
    <x v="1"/>
    <n v="2.0066666666666664"/>
    <m/>
  </r>
  <r>
    <x v="3"/>
    <x v="325"/>
    <s v="Markon Lemon Juice HGln 6pk"/>
    <s v="CS"/>
    <s v="6/CS"/>
    <n v="1869"/>
    <n v="52332"/>
    <n v="22644.39"/>
    <x v="2"/>
    <x v="1"/>
    <n v="12.115778491171749"/>
    <m/>
  </r>
  <r>
    <x v="0"/>
    <x v="419"/>
    <s v="Orange Juice Gln Version 3"/>
    <s v="EA"/>
    <s v="5,000/RL"/>
    <n v="12515"/>
    <n v="1.25"/>
    <n v="167.7"/>
    <x v="0"/>
    <x v="0"/>
    <n v="1.3399920095884936E-2"/>
    <m/>
  </r>
  <r>
    <x v="2"/>
    <x v="419"/>
    <s v="Orange Juice Gln Version 3"/>
    <s v="EA"/>
    <s v="5,000/RL"/>
    <n v="27899"/>
    <n v="2.79"/>
    <n v="373.85"/>
    <x v="0"/>
    <x v="1"/>
    <n v="1.3400121868167318E-2"/>
    <m/>
  </r>
  <r>
    <x v="3"/>
    <x v="257"/>
    <s v="SYSCO LA Gln 4pk"/>
    <s v="CS"/>
    <s v="4/CS"/>
    <n v="1247"/>
    <n v="45390.8"/>
    <n v="8303.92"/>
    <x v="2"/>
    <x v="1"/>
    <n v="6.6591178829190056"/>
    <m/>
  </r>
  <r>
    <x v="5"/>
    <x v="322"/>
    <s v="MM Strw Banana Smoothie Label 10oz Nutrition V3"/>
    <s v="EA"/>
    <s v="5,000/RL"/>
    <n v="440000"/>
    <n v="44"/>
    <n v="2904"/>
    <x v="0"/>
    <x v="0"/>
    <n v="6.6E-3"/>
    <m/>
  </r>
  <r>
    <x v="5"/>
    <x v="366"/>
    <s v="SOI 3+1 Sweet LA Mix HGln Version 2"/>
    <s v="EA"/>
    <s v="5,000/RL"/>
    <n v="40000"/>
    <n v="4"/>
    <n v="536"/>
    <x v="0"/>
    <x v="0"/>
    <n v="1.34E-2"/>
    <m/>
  </r>
  <r>
    <x v="1"/>
    <x v="301"/>
    <s v="SOI Lemon Juice Gln 4pk"/>
    <s v="CS"/>
    <s v="4/CS"/>
    <n v="-1"/>
    <n v="-36.4"/>
    <n v="-30.68"/>
    <x v="2"/>
    <x v="0"/>
    <n v="30.68"/>
    <m/>
  </r>
  <r>
    <x v="3"/>
    <x v="257"/>
    <s v="SYSCO LA Gln 4pk"/>
    <s v="EA"/>
    <s v="1/EA"/>
    <n v="-4"/>
    <n v="-36.4"/>
    <n v="-6.66"/>
    <x v="2"/>
    <x v="1"/>
    <n v="1.665"/>
    <m/>
  </r>
  <r>
    <x v="1"/>
    <x v="257"/>
    <s v="SYSCO LA Gln 4pk"/>
    <s v="CS"/>
    <s v="4/CS"/>
    <n v="-1"/>
    <n v="-36.4"/>
    <n v="480.06"/>
    <x v="2"/>
    <x v="0"/>
    <n v="-480.06"/>
    <m/>
  </r>
  <r>
    <x v="4"/>
    <x v="419"/>
    <s v="Orange Juice Gln Version 3"/>
    <s v="EA"/>
    <s v="5,000/RL"/>
    <n v="-8904"/>
    <n v="-0.89"/>
    <n v="-119.31"/>
    <x v="0"/>
    <x v="1"/>
    <n v="1.3399595687331537E-2"/>
    <m/>
  </r>
  <r>
    <x v="3"/>
    <x v="416"/>
    <s v="SOI LA Cond 4+1 Gln 4pk"/>
    <s v="CS"/>
    <s v="4/CS"/>
    <n v="72"/>
    <n v="3016.8"/>
    <n v="1419.4"/>
    <x v="2"/>
    <x v="1"/>
    <n v="19.713888888888889"/>
    <m/>
  </r>
  <r>
    <x v="3"/>
    <x v="419"/>
    <s v="Orange Juice Gln Version 3"/>
    <s v="EA"/>
    <s v="5,000/RL"/>
    <n v="60000"/>
    <n v="6"/>
    <n v="804"/>
    <x v="0"/>
    <x v="1"/>
    <n v="1.34E-2"/>
    <m/>
  </r>
  <r>
    <x v="3"/>
    <x v="416"/>
    <s v="SOI LA Cond 4+1 Gln 4pk"/>
    <s v="EA"/>
    <s v="1/EA"/>
    <n v="-5"/>
    <n v="-52.75"/>
    <n v="-24.64"/>
    <x v="2"/>
    <x v="1"/>
    <n v="4.9279999999999999"/>
    <m/>
  </r>
  <r>
    <x v="4"/>
    <x v="204"/>
    <s v="Aseptic Mango Puree 16 Brix"/>
    <s v="LB"/>
    <m/>
    <n v="0"/>
    <n v="0"/>
    <n v="0"/>
    <x v="1"/>
    <x v="1"/>
    <e v="#DIV/0!"/>
    <m/>
  </r>
  <r>
    <x v="7"/>
    <x v="154"/>
    <s v="Meyer LA 6pk Hgln Rykoff Sexton."/>
    <s v="CS"/>
    <s v="6/CS"/>
    <n v="1756"/>
    <n v="48290"/>
    <n v="10789.22"/>
    <x v="2"/>
    <x v="0"/>
    <n v="6.1442027334851934"/>
    <m/>
  </r>
  <r>
    <x v="3"/>
    <x v="59"/>
    <s v="SOI Lemon Juice HGln 6pk"/>
    <s v="EA"/>
    <s v="1/EA"/>
    <n v="-1"/>
    <n v="-4.67"/>
    <n v="-1.95"/>
    <x v="2"/>
    <x v="1"/>
    <n v="1.95"/>
    <m/>
  </r>
  <r>
    <x v="3"/>
    <x v="59"/>
    <s v="SOI Lemon Juice HGln 6pk"/>
    <s v="CS"/>
    <s v="6/CS"/>
    <n v="1278"/>
    <n v="35784"/>
    <n v="15198.88"/>
    <x v="2"/>
    <x v="1"/>
    <n v="11.892707355242566"/>
    <m/>
  </r>
  <r>
    <x v="5"/>
    <x v="318"/>
    <s v="FTNF Lemon Oil Juicy"/>
    <s v="LB"/>
    <m/>
    <n v="11"/>
    <n v="11"/>
    <n v="410.67"/>
    <x v="1"/>
    <x v="0"/>
    <n v="37.333636363636366"/>
    <m/>
  </r>
  <r>
    <x v="5"/>
    <x v="243"/>
    <s v="Bottled MM Strawberry Banana Smoothie Blend 10oz"/>
    <s v="EA"/>
    <s v="1/EA"/>
    <n v="0"/>
    <n v="0"/>
    <n v="0"/>
    <x v="3"/>
    <x v="0"/>
    <e v="#DIV/0!"/>
    <m/>
  </r>
  <r>
    <x v="5"/>
    <x v="372"/>
    <s v="BRN 6/Qt Wrap Around V2"/>
    <s v="EA"/>
    <s v="750/PLT"/>
    <n v="46629"/>
    <n v="46629"/>
    <n v="18036.099999999999"/>
    <x v="0"/>
    <x v="0"/>
    <n v="0.38680006004846768"/>
    <m/>
  </r>
  <r>
    <x v="1"/>
    <x v="196"/>
    <s v="SOI Orange Juice NP Gln 4pk"/>
    <s v="CS"/>
    <s v="4/CS"/>
    <n v="-1"/>
    <n v="-36.4"/>
    <n v="-106.56"/>
    <x v="2"/>
    <x v="0"/>
    <n v="106.56"/>
    <m/>
  </r>
  <r>
    <x v="3"/>
    <x v="421"/>
    <s v="SYSCO Lemon Juice HGln 6pk"/>
    <s v="EA"/>
    <s v="1/EA"/>
    <n v="-2"/>
    <n v="-0.93"/>
    <n v="-4.0199999999999996"/>
    <x v="2"/>
    <x v="1"/>
    <n v="2.0099999999999998"/>
    <m/>
  </r>
  <r>
    <x v="1"/>
    <x v="8"/>
    <s v="Meyer Lemon Juice Blend 12pk Qt Rykoff Sexton"/>
    <s v="CS"/>
    <s v="12/CS"/>
    <n v="0"/>
    <n v="0"/>
    <n v="0"/>
    <x v="2"/>
    <x v="0"/>
    <e v="#DIV/0!"/>
    <m/>
  </r>
  <r>
    <x v="3"/>
    <x v="421"/>
    <s v="SYSCO Lemon Juice HGln 6pk"/>
    <s v="CS"/>
    <s v="6/CS"/>
    <n v="1017"/>
    <n v="28476"/>
    <n v="12254.96"/>
    <x v="2"/>
    <x v="1"/>
    <n v="12.050108161258603"/>
    <m/>
  </r>
  <r>
    <x v="12"/>
    <x v="337"/>
    <s v="Kiwi Fruit Puree"/>
    <s v="LB"/>
    <m/>
    <n v="32000"/>
    <n v="32000"/>
    <n v="23416.639999999999"/>
    <x v="1"/>
    <x v="0"/>
    <n v="0.73177000000000003"/>
    <m/>
  </r>
  <r>
    <x v="12"/>
    <x v="11"/>
    <s v="Strw Puree 7 Brix - seedless Chilled Aseptic"/>
    <s v="LB"/>
    <m/>
    <n v="38801.379999999997"/>
    <n v="38801.339999999997"/>
    <n v="24324.560000000001"/>
    <x v="1"/>
    <x v="0"/>
    <n v="0.62689935254880114"/>
    <m/>
  </r>
  <r>
    <x v="1"/>
    <x v="228"/>
    <s v="Strawberry Treatarome 9855"/>
    <s v="LB"/>
    <m/>
    <n v="0"/>
    <n v="0"/>
    <n v="0"/>
    <x v="1"/>
    <x v="0"/>
    <e v="#DIV/0!"/>
    <m/>
  </r>
  <r>
    <x v="3"/>
    <x v="368"/>
    <s v="Markon Lime Juice HGln 6pk"/>
    <s v="CS"/>
    <s v="6/CS"/>
    <n v="2344"/>
    <n v="65632"/>
    <n v="28528.36"/>
    <x v="2"/>
    <x v="1"/>
    <n v="12.170802047781571"/>
    <m/>
  </r>
  <r>
    <x v="1"/>
    <x v="88"/>
    <s v="SYSCO Lemon Juice Gln 4pk"/>
    <s v="CS"/>
    <s v="4/CS"/>
    <n v="-2"/>
    <n v="-72.8"/>
    <n v="14.94"/>
    <x v="2"/>
    <x v="0"/>
    <n v="-7.47"/>
    <m/>
  </r>
  <r>
    <x v="3"/>
    <x v="106"/>
    <s v="SOI CP Lemon Oil Drum"/>
    <s v="LB"/>
    <s v="400/LB"/>
    <n v="28455"/>
    <n v="28455"/>
    <n v="5443.44"/>
    <x v="2"/>
    <x v="1"/>
    <n v="0.19129994728518712"/>
    <m/>
  </r>
  <r>
    <x v="5"/>
    <x v="375"/>
    <s v="Panera Strawberry NSA 61.5oz V2"/>
    <s v="EA"/>
    <s v="5,000/RL"/>
    <n v="50000"/>
    <n v="5"/>
    <n v="670"/>
    <x v="0"/>
    <x v="0"/>
    <n v="1.34E-2"/>
    <m/>
  </r>
  <r>
    <x v="0"/>
    <x v="422"/>
    <s v="Orange Juice HGln Version 3"/>
    <s v="EA"/>
    <s v="5,000/RL"/>
    <n v="16646"/>
    <n v="1.66"/>
    <n v="196.42"/>
    <x v="0"/>
    <x v="0"/>
    <n v="1.1799831791421361E-2"/>
    <m/>
  </r>
  <r>
    <x v="3"/>
    <x v="378"/>
    <s v="SOI Lime Juice HGln 6pk"/>
    <s v="CS"/>
    <s v="6/CS"/>
    <n v="608"/>
    <n v="17024"/>
    <n v="7289.98"/>
    <x v="2"/>
    <x v="1"/>
    <n v="11.990098684210526"/>
    <m/>
  </r>
  <r>
    <x v="2"/>
    <x v="66"/>
    <s v="Apple Puree .033 screen"/>
    <s v="LB"/>
    <m/>
    <n v="12964"/>
    <n v="12964"/>
    <n v="5065.03"/>
    <x v="1"/>
    <x v="1"/>
    <n v="0.39069962974390621"/>
    <m/>
  </r>
  <r>
    <x v="5"/>
    <x v="208"/>
    <s v="Cap Maroon DBJ"/>
    <s v="EA"/>
    <s v="2,500/Box"/>
    <n v="87500"/>
    <n v="87.5"/>
    <n v="2038.75"/>
    <x v="0"/>
    <x v="0"/>
    <n v="2.3300000000000001E-2"/>
    <m/>
  </r>
  <r>
    <x v="1"/>
    <x v="403"/>
    <s v="Lemon Juice"/>
    <s v="GL"/>
    <m/>
    <n v="254"/>
    <n v="2260.6"/>
    <n v="881.08"/>
    <x v="3"/>
    <x v="0"/>
    <n v="3.4688188976377954"/>
    <m/>
  </r>
  <r>
    <x v="3"/>
    <x v="137"/>
    <s v="SOI Marg Mix Cond 3+1 FZN HGln 9pk"/>
    <s v="CS"/>
    <s v="9/CS"/>
    <n v="144"/>
    <n v="7315.2"/>
    <n v="4249.53"/>
    <x v="2"/>
    <x v="1"/>
    <n v="29.510624999999997"/>
    <m/>
  </r>
  <r>
    <x v="1"/>
    <x v="404"/>
    <s v="Panera Strawberry Base W\Vitamins NSA"/>
    <s v="GL"/>
    <m/>
    <n v="9835"/>
    <n v="89165.09"/>
    <n v="63358.05"/>
    <x v="3"/>
    <x v="0"/>
    <n v="6.4420996441281142"/>
    <m/>
  </r>
  <r>
    <x v="3"/>
    <x v="420"/>
    <s v="70/30 Lime Lemon Juice Gln Version 2"/>
    <s v="EA"/>
    <s v="5,000/RL"/>
    <n v="90000"/>
    <n v="9"/>
    <n v="1206"/>
    <x v="0"/>
    <x v="1"/>
    <n v="1.34E-2"/>
    <m/>
  </r>
  <r>
    <x v="5"/>
    <x v="374"/>
    <s v="Natural Brands Lemon Sour Qt"/>
    <s v="EA"/>
    <s v="5,000/RL"/>
    <n v="60000"/>
    <n v="6"/>
    <n v="894"/>
    <x v="0"/>
    <x v="2"/>
    <n v="1.49E-2"/>
    <m/>
  </r>
  <r>
    <x v="0"/>
    <x v="420"/>
    <s v="70/30 Lime Lemon Juice Gln Version 2"/>
    <s v="EA"/>
    <s v="5,000/RL"/>
    <n v="12496"/>
    <n v="1.25"/>
    <n v="167.45"/>
    <x v="0"/>
    <x v="0"/>
    <n v="1.3400288092189499E-2"/>
    <m/>
  </r>
  <r>
    <x v="2"/>
    <x v="420"/>
    <s v="70/30 Lime Lemon Juice Gln Version 2"/>
    <s v="EA"/>
    <s v="5,000/RL"/>
    <n v="34656"/>
    <n v="3.47"/>
    <n v="464.39"/>
    <x v="0"/>
    <x v="1"/>
    <n v="1.3399988457987072E-2"/>
    <m/>
  </r>
  <r>
    <x v="5"/>
    <x v="350"/>
    <s v="Sysco Lemon Juice Gln v.2"/>
    <s v="EA"/>
    <s v="5,000/RL"/>
    <n v="60000"/>
    <n v="6"/>
    <n v="804"/>
    <x v="0"/>
    <x v="0"/>
    <n v="1.34E-2"/>
    <m/>
  </r>
  <r>
    <x v="5"/>
    <x v="292"/>
    <s v="RS 100% Premium Red Gft Juice 64oz Nut V2"/>
    <s v="EA"/>
    <s v="5,000/RL"/>
    <n v="40000"/>
    <n v="4"/>
    <n v="536"/>
    <x v="0"/>
    <x v="0"/>
    <n v="1.34E-2"/>
    <m/>
  </r>
  <r>
    <x v="7"/>
    <x v="60"/>
    <s v="SOI Lemon Juice Qt 6pk"/>
    <s v="CS"/>
    <s v="6/CS"/>
    <n v="1315"/>
    <n v="18081.25"/>
    <n v="9253.92"/>
    <x v="2"/>
    <x v="0"/>
    <n v="7.0372015209125474"/>
    <m/>
  </r>
  <r>
    <x v="3"/>
    <x v="423"/>
    <s v="Cal Val OJ 6pk Hgln Rykoff Sexton"/>
    <s v="CS"/>
    <s v="6/CS"/>
    <n v="1973"/>
    <n v="55244"/>
    <n v="35944.11"/>
    <x v="2"/>
    <x v="1"/>
    <n v="18.2179979726305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93A987-3211-4E3B-B386-D42F1C15F3AD}" name="PivotTable5" cacheId="15"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3:AF11" firstHeaderRow="1" firstDataRow="3" firstDataCol="1"/>
  <pivotFields count="12">
    <pivotField axis="axisCol" subtotalTop="0" showAll="0" sortType="ascending">
      <items count="18">
        <item x="2"/>
        <item x="3"/>
        <item x="4"/>
        <item x="8"/>
        <item x="0"/>
        <item x="6"/>
        <item x="12"/>
        <item x="7"/>
        <item x="16"/>
        <item x="15"/>
        <item x="5"/>
        <item x="1"/>
        <item x="13"/>
        <item x="14"/>
        <item x="9"/>
        <item x="10"/>
        <item x="11"/>
        <item t="default"/>
      </items>
    </pivotField>
    <pivotField subtotalTop="0" showAll="0"/>
    <pivotField showAll="0"/>
    <pivotField showAll="0"/>
    <pivotField showAll="0"/>
    <pivotField showAll="0"/>
    <pivotField showAll="0"/>
    <pivotField dataField="1" showAll="0"/>
    <pivotField axis="axisRow" subtotalTop="0" showAll="0">
      <items count="6">
        <item x="1"/>
        <item x="0"/>
        <item x="3"/>
        <item x="2"/>
        <item x="4"/>
        <item t="default"/>
      </items>
    </pivotField>
    <pivotField axis="axisCol" showAll="0">
      <items count="5">
        <item x="1"/>
        <item x="0"/>
        <item x="2"/>
        <item x="3"/>
        <item t="default"/>
      </items>
    </pivotField>
    <pivotField showAll="0"/>
    <pivotField showAll="0"/>
  </pivotFields>
  <rowFields count="1">
    <field x="8"/>
  </rowFields>
  <rowItems count="6">
    <i>
      <x/>
    </i>
    <i>
      <x v="1"/>
    </i>
    <i>
      <x v="2"/>
    </i>
    <i>
      <x v="3"/>
    </i>
    <i>
      <x v="4"/>
    </i>
    <i t="grand">
      <x/>
    </i>
  </rowItems>
  <colFields count="2">
    <field x="9"/>
    <field x="0"/>
  </colFields>
  <colItems count="31">
    <i>
      <x/>
      <x/>
    </i>
    <i r="1">
      <x v="1"/>
    </i>
    <i r="1">
      <x v="2"/>
    </i>
    <i r="1">
      <x v="3"/>
    </i>
    <i t="default">
      <x/>
    </i>
    <i>
      <x v="1"/>
      <x v="4"/>
    </i>
    <i r="1">
      <x v="5"/>
    </i>
    <i r="1">
      <x v="6"/>
    </i>
    <i r="1">
      <x v="7"/>
    </i>
    <i r="1">
      <x v="8"/>
    </i>
    <i r="1">
      <x v="9"/>
    </i>
    <i r="1">
      <x v="10"/>
    </i>
    <i r="1">
      <x v="11"/>
    </i>
    <i r="1">
      <x v="12"/>
    </i>
    <i r="1">
      <x v="13"/>
    </i>
    <i t="default">
      <x v="1"/>
    </i>
    <i>
      <x v="2"/>
      <x/>
    </i>
    <i r="1">
      <x v="1"/>
    </i>
    <i r="1">
      <x v="3"/>
    </i>
    <i r="1">
      <x v="4"/>
    </i>
    <i r="1">
      <x v="7"/>
    </i>
    <i r="1">
      <x v="10"/>
    </i>
    <i r="1">
      <x v="11"/>
    </i>
    <i r="1">
      <x v="12"/>
    </i>
    <i r="1">
      <x v="14"/>
    </i>
    <i r="1">
      <x v="15"/>
    </i>
    <i r="1">
      <x v="16"/>
    </i>
    <i t="default">
      <x v="2"/>
    </i>
    <i>
      <x v="3"/>
      <x v="10"/>
    </i>
    <i t="default">
      <x v="3"/>
    </i>
    <i t="grand">
      <x/>
    </i>
  </colItems>
  <dataFields count="1">
    <dataField name="Sum of $" fld="7" baseField="8" baseItem="4"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3B0BEF-DAE5-43AA-98B7-B50E3E69BCE5}" name="PivotTable6" cacheId="15"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17:K454" firstHeaderRow="1" firstDataRow="3" firstDataCol="1"/>
  <pivotFields count="12">
    <pivotField subtotalTop="0" showAll="0"/>
    <pivotField axis="axisRow" subtotalTop="0" showAll="0">
      <items count="425">
        <item x="225"/>
        <item x="289"/>
        <item x="80"/>
        <item x="87"/>
        <item x="176"/>
        <item x="187"/>
        <item x="70"/>
        <item x="158"/>
        <item x="339"/>
        <item x="157"/>
        <item x="288"/>
        <item x="363"/>
        <item x="316"/>
        <item x="233"/>
        <item x="414"/>
        <item x="296"/>
        <item x="331"/>
        <item x="29"/>
        <item x="345"/>
        <item x="362"/>
        <item x="376"/>
        <item x="40"/>
        <item x="388"/>
        <item x="398"/>
        <item x="146"/>
        <item x="104"/>
        <item x="239"/>
        <item x="301"/>
        <item x="325"/>
        <item x="314"/>
        <item x="59"/>
        <item x="421"/>
        <item x="60"/>
        <item x="88"/>
        <item x="69"/>
        <item x="8"/>
        <item x="106"/>
        <item x="246"/>
        <item x="71"/>
        <item x="410"/>
        <item x="249"/>
        <item x="193"/>
        <item x="3"/>
        <item x="310"/>
        <item x="206"/>
        <item x="44"/>
        <item x="286"/>
        <item x="103"/>
        <item x="205"/>
        <item x="26"/>
        <item x="194"/>
        <item x="241"/>
        <item x="218"/>
        <item x="327"/>
        <item x="334"/>
        <item x="368"/>
        <item x="338"/>
        <item x="378"/>
        <item x="333"/>
        <item x="23"/>
        <item x="287"/>
        <item x="329"/>
        <item x="6"/>
        <item x="78"/>
        <item x="128"/>
        <item x="5"/>
        <item x="50"/>
        <item x="57"/>
        <item x="196"/>
        <item x="92"/>
        <item x="423"/>
        <item x="105"/>
        <item x="290"/>
        <item x="172"/>
        <item x="298"/>
        <item x="53"/>
        <item x="399"/>
        <item x="86"/>
        <item x="365"/>
        <item x="344"/>
        <item x="257"/>
        <item x="416"/>
        <item x="131"/>
        <item x="48"/>
        <item x="129"/>
        <item x="154"/>
        <item x="245"/>
        <item x="33"/>
        <item x="276"/>
        <item x="145"/>
        <item x="24"/>
        <item x="353"/>
        <item x="97"/>
        <item x="74"/>
        <item x="142"/>
        <item x="213"/>
        <item x="202"/>
        <item x="240"/>
        <item x="243"/>
        <item x="382"/>
        <item x="167"/>
        <item x="137"/>
        <item x="237"/>
        <item x="259"/>
        <item x="278"/>
        <item x="313"/>
        <item x="340"/>
        <item x="82"/>
        <item x="150"/>
        <item x="389"/>
        <item x="297"/>
        <item x="282"/>
        <item x="0"/>
        <item x="195"/>
        <item x="28"/>
        <item x="42"/>
        <item x="209"/>
        <item x="304"/>
        <item x="307"/>
        <item x="361"/>
        <item x="372"/>
        <item x="306"/>
        <item x="343"/>
        <item x="351"/>
        <item x="251"/>
        <item x="231"/>
        <item x="230"/>
        <item x="294"/>
        <item x="300"/>
        <item x="303"/>
        <item x="151"/>
        <item x="155"/>
        <item x="12"/>
        <item x="1"/>
        <item x="111"/>
        <item x="112"/>
        <item x="61"/>
        <item x="248"/>
        <item x="4"/>
        <item x="336"/>
        <item x="25"/>
        <item x="217"/>
        <item x="208"/>
        <item x="271"/>
        <item x="263"/>
        <item x="266"/>
        <item x="267"/>
        <item x="273"/>
        <item x="354"/>
        <item x="136"/>
        <item x="312"/>
        <item x="122"/>
        <item x="183"/>
        <item x="265"/>
        <item x="373"/>
        <item x="199"/>
        <item x="102"/>
        <item x="17"/>
        <item x="63"/>
        <item x="100"/>
        <item x="228"/>
        <item x="346"/>
        <item x="355"/>
        <item x="397"/>
        <item x="405"/>
        <item x="409"/>
        <item x="415"/>
        <item x="323"/>
        <item x="170"/>
        <item x="318"/>
        <item x="171"/>
        <item x="324"/>
        <item x="101"/>
        <item x="283"/>
        <item x="156"/>
        <item x="250"/>
        <item x="403"/>
        <item x="76"/>
        <item x="280"/>
        <item x="107"/>
        <item x="381"/>
        <item x="190"/>
        <item x="179"/>
        <item x="275"/>
        <item x="93"/>
        <item x="164"/>
        <item x="386"/>
        <item x="148"/>
        <item x="200"/>
        <item x="89"/>
        <item x="113"/>
        <item x="77"/>
        <item x="114"/>
        <item x="180"/>
        <item x="27"/>
        <item x="417"/>
        <item x="291"/>
        <item x="226"/>
        <item x="210"/>
        <item x="58"/>
        <item x="41"/>
        <item x="270"/>
        <item x="252"/>
        <item x="319"/>
        <item x="34"/>
        <item x="305"/>
        <item x="62"/>
        <item x="132"/>
        <item x="99"/>
        <item x="116"/>
        <item x="216"/>
        <item x="47"/>
        <item x="214"/>
        <item x="377"/>
        <item x="383"/>
        <item x="387"/>
        <item x="221"/>
        <item x="177"/>
        <item x="197"/>
        <item x="79"/>
        <item x="83"/>
        <item x="211"/>
        <item x="159"/>
        <item x="222"/>
        <item x="115"/>
        <item x="358"/>
        <item x="408"/>
        <item x="244"/>
        <item x="161"/>
        <item x="411"/>
        <item x="350"/>
        <item x="370"/>
        <item x="9"/>
        <item x="54"/>
        <item x="21"/>
        <item x="30"/>
        <item x="20"/>
        <item x="51"/>
        <item x="36"/>
        <item x="348"/>
        <item x="162"/>
        <item x="223"/>
        <item x="285"/>
        <item x="311"/>
        <item x="13"/>
        <item x="22"/>
        <item x="37"/>
        <item x="269"/>
        <item x="120"/>
        <item x="413"/>
        <item x="419"/>
        <item x="422"/>
        <item x="84"/>
        <item x="219"/>
        <item x="359"/>
        <item x="152"/>
        <item x="256"/>
        <item x="281"/>
        <item x="236"/>
        <item x="35"/>
        <item x="308"/>
        <item x="322"/>
        <item x="268"/>
        <item x="15"/>
        <item x="73"/>
        <item x="254"/>
        <item x="295"/>
        <item x="321"/>
        <item x="16"/>
        <item x="31"/>
        <item x="342"/>
        <item x="356"/>
        <item x="367"/>
        <item x="374"/>
        <item x="67"/>
        <item x="385"/>
        <item x="371"/>
        <item x="143"/>
        <item x="393"/>
        <item x="272"/>
        <item x="238"/>
        <item x="72"/>
        <item x="369"/>
        <item x="375"/>
        <item x="126"/>
        <item x="121"/>
        <item x="292"/>
        <item x="98"/>
        <item x="2"/>
        <item x="394"/>
        <item x="234"/>
        <item x="402"/>
        <item x="406"/>
        <item x="10"/>
        <item x="401"/>
        <item x="309"/>
        <item x="412"/>
        <item x="46"/>
        <item x="418"/>
        <item x="227"/>
        <item x="119"/>
        <item x="94"/>
        <item x="168"/>
        <item x="81"/>
        <item x="55"/>
        <item x="224"/>
        <item x="203"/>
        <item x="186"/>
        <item x="117"/>
        <item x="261"/>
        <item x="141"/>
        <item x="357"/>
        <item x="18"/>
        <item x="43"/>
        <item x="182"/>
        <item x="64"/>
        <item x="169"/>
        <item x="201"/>
        <item x="68"/>
        <item x="192"/>
        <item x="108"/>
        <item x="140"/>
        <item x="337"/>
        <item x="11"/>
        <item x="66"/>
        <item x="39"/>
        <item x="204"/>
        <item x="215"/>
        <item x="127"/>
        <item x="138"/>
        <item x="207"/>
        <item x="262"/>
        <item x="147"/>
        <item x="299"/>
        <item x="320"/>
        <item x="163"/>
        <item x="139"/>
        <item x="90"/>
        <item x="135"/>
        <item x="212"/>
        <item x="109"/>
        <item x="75"/>
        <item x="65"/>
        <item x="56"/>
        <item x="165"/>
        <item x="181"/>
        <item x="125"/>
        <item x="118"/>
        <item x="110"/>
        <item x="235"/>
        <item x="149"/>
        <item x="184"/>
        <item x="242"/>
        <item x="134"/>
        <item x="274"/>
        <item x="328"/>
        <item x="364"/>
        <item x="420"/>
        <item x="144"/>
        <item x="153"/>
        <item x="188"/>
        <item x="284"/>
        <item x="317"/>
        <item x="379"/>
        <item x="380"/>
        <item x="400"/>
        <item x="14"/>
        <item x="130"/>
        <item x="178"/>
        <item x="332"/>
        <item x="124"/>
        <item x="198"/>
        <item x="341"/>
        <item x="189"/>
        <item x="91"/>
        <item x="260"/>
        <item x="32"/>
        <item x="390"/>
        <item x="160"/>
        <item x="279"/>
        <item x="335"/>
        <item x="45"/>
        <item x="96"/>
        <item x="391"/>
        <item x="166"/>
        <item x="264"/>
        <item x="302"/>
        <item x="326"/>
        <item x="7"/>
        <item x="38"/>
        <item x="347"/>
        <item x="360"/>
        <item x="232"/>
        <item x="258"/>
        <item x="384"/>
        <item x="395"/>
        <item x="315"/>
        <item x="366"/>
        <item x="185"/>
        <item x="95"/>
        <item x="392"/>
        <item x="396"/>
        <item x="133"/>
        <item x="49"/>
        <item x="19"/>
        <item x="229"/>
        <item x="255"/>
        <item x="330"/>
        <item x="52"/>
        <item x="173"/>
        <item x="175"/>
        <item x="253"/>
        <item x="174"/>
        <item x="349"/>
        <item x="85"/>
        <item x="123"/>
        <item x="191"/>
        <item x="220"/>
        <item x="247"/>
        <item x="277"/>
        <item x="293"/>
        <item x="352"/>
        <item x="404"/>
        <item x="407"/>
        <item t="default"/>
      </items>
    </pivotField>
    <pivotField showAll="0"/>
    <pivotField showAll="0"/>
    <pivotField showAll="0"/>
    <pivotField dataField="1" showAll="0"/>
    <pivotField showAll="0"/>
    <pivotField dataField="1" showAll="0"/>
    <pivotField axis="axisRow" subtotalTop="0" showAll="0">
      <items count="6">
        <item x="1"/>
        <item x="0"/>
        <item x="3"/>
        <item x="2"/>
        <item x="4"/>
        <item t="default"/>
      </items>
    </pivotField>
    <pivotField axis="axisCol" showAll="0">
      <items count="5">
        <item x="1"/>
        <item x="0"/>
        <item x="2"/>
        <item x="3"/>
        <item t="default"/>
      </items>
    </pivotField>
    <pivotField showAll="0"/>
    <pivotField showAll="0"/>
  </pivotFields>
  <rowFields count="2">
    <field x="8"/>
    <field x="1"/>
  </rowFields>
  <rowItems count="435">
    <i>
      <x/>
    </i>
    <i r="1">
      <x v="128"/>
    </i>
    <i r="1">
      <x v="129"/>
    </i>
    <i r="1">
      <x v="130"/>
    </i>
    <i r="1">
      <x v="131"/>
    </i>
    <i r="1">
      <x v="132"/>
    </i>
    <i r="1">
      <x v="133"/>
    </i>
    <i r="1">
      <x v="134"/>
    </i>
    <i r="1">
      <x v="135"/>
    </i>
    <i r="1">
      <x v="136"/>
    </i>
    <i r="1">
      <x v="137"/>
    </i>
    <i r="1">
      <x v="153"/>
    </i>
    <i r="1">
      <x v="154"/>
    </i>
    <i r="1">
      <x v="155"/>
    </i>
    <i r="1">
      <x v="156"/>
    </i>
    <i r="1">
      <x v="157"/>
    </i>
    <i r="1">
      <x v="158"/>
    </i>
    <i r="1">
      <x v="159"/>
    </i>
    <i r="1">
      <x v="160"/>
    </i>
    <i r="1">
      <x v="161"/>
    </i>
    <i r="1">
      <x v="162"/>
    </i>
    <i r="1">
      <x v="163"/>
    </i>
    <i r="1">
      <x v="164"/>
    </i>
    <i r="1">
      <x v="165"/>
    </i>
    <i r="1">
      <x v="166"/>
    </i>
    <i r="1">
      <x v="167"/>
    </i>
    <i r="1">
      <x v="168"/>
    </i>
    <i r="1">
      <x v="169"/>
    </i>
    <i r="1">
      <x v="170"/>
    </i>
    <i r="1">
      <x v="171"/>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8"/>
    </i>
    <i r="1">
      <x v="339"/>
    </i>
    <i r="1">
      <x v="340"/>
    </i>
    <i r="1">
      <x v="341"/>
    </i>
    <i r="1">
      <x v="342"/>
    </i>
    <i r="1">
      <x v="343"/>
    </i>
    <i r="1">
      <x v="345"/>
    </i>
    <i r="1">
      <x v="346"/>
    </i>
    <i r="1">
      <x v="347"/>
    </i>
    <i r="1">
      <x v="348"/>
    </i>
    <i r="1">
      <x v="353"/>
    </i>
    <i r="1">
      <x v="358"/>
    </i>
    <i r="1">
      <x v="398"/>
    </i>
    <i r="1">
      <x v="399"/>
    </i>
    <i r="1">
      <x v="405"/>
    </i>
    <i r="1">
      <x v="409"/>
    </i>
    <i r="1">
      <x v="419"/>
    </i>
    <i t="default">
      <x/>
    </i>
    <i>
      <x v="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38"/>
    </i>
    <i r="1">
      <x v="139"/>
    </i>
    <i r="1">
      <x v="140"/>
    </i>
    <i r="1">
      <x v="141"/>
    </i>
    <i r="1">
      <x v="142"/>
    </i>
    <i r="1">
      <x v="143"/>
    </i>
    <i r="1">
      <x v="144"/>
    </i>
    <i r="1">
      <x v="145"/>
    </i>
    <i r="1">
      <x v="146"/>
    </i>
    <i r="1">
      <x v="147"/>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37"/>
    </i>
    <i r="1">
      <x v="344"/>
    </i>
    <i r="1">
      <x v="349"/>
    </i>
    <i r="1">
      <x v="351"/>
    </i>
    <i r="1">
      <x v="352"/>
    </i>
    <i r="1">
      <x v="354"/>
    </i>
    <i r="1">
      <x v="355"/>
    </i>
    <i r="1">
      <x v="357"/>
    </i>
    <i r="1">
      <x v="359"/>
    </i>
    <i r="1">
      <x v="361"/>
    </i>
    <i r="1">
      <x v="362"/>
    </i>
    <i r="1">
      <x v="363"/>
    </i>
    <i r="1">
      <x v="364"/>
    </i>
    <i r="1">
      <x v="365"/>
    </i>
    <i r="1">
      <x v="366"/>
    </i>
    <i r="1">
      <x v="368"/>
    </i>
    <i r="1">
      <x v="369"/>
    </i>
    <i r="1">
      <x v="371"/>
    </i>
    <i r="1">
      <x v="376"/>
    </i>
    <i r="1">
      <x v="377"/>
    </i>
    <i r="1">
      <x v="382"/>
    </i>
    <i r="1">
      <x v="384"/>
    </i>
    <i r="1">
      <x v="385"/>
    </i>
    <i r="1">
      <x v="386"/>
    </i>
    <i r="1">
      <x v="387"/>
    </i>
    <i r="1">
      <x v="388"/>
    </i>
    <i r="1">
      <x v="389"/>
    </i>
    <i r="1">
      <x v="390"/>
    </i>
    <i r="1">
      <x v="391"/>
    </i>
    <i r="1">
      <x v="397"/>
    </i>
    <i r="1">
      <x v="403"/>
    </i>
    <i r="1">
      <x v="408"/>
    </i>
    <i r="1">
      <x v="411"/>
    </i>
    <i r="1">
      <x v="415"/>
    </i>
    <i t="default">
      <x v="1"/>
    </i>
    <i>
      <x v="2"/>
    </i>
    <i r="1">
      <x v="95"/>
    </i>
    <i r="1">
      <x v="96"/>
    </i>
    <i r="1">
      <x v="97"/>
    </i>
    <i r="1">
      <x v="98"/>
    </i>
    <i r="1">
      <x v="148"/>
    </i>
    <i r="1">
      <x v="149"/>
    </i>
    <i r="1">
      <x v="150"/>
    </i>
    <i r="1">
      <x v="151"/>
    </i>
    <i r="1">
      <x v="152"/>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350"/>
    </i>
    <i r="1">
      <x v="356"/>
    </i>
    <i r="1">
      <x v="360"/>
    </i>
    <i r="1">
      <x v="372"/>
    </i>
    <i r="1">
      <x v="373"/>
    </i>
    <i r="1">
      <x v="374"/>
    </i>
    <i r="1">
      <x v="383"/>
    </i>
    <i r="1">
      <x v="392"/>
    </i>
    <i r="1">
      <x v="394"/>
    </i>
    <i r="1">
      <x v="400"/>
    </i>
    <i r="1">
      <x v="401"/>
    </i>
    <i r="1">
      <x v="402"/>
    </i>
    <i r="1">
      <x v="404"/>
    </i>
    <i r="1">
      <x v="410"/>
    </i>
    <i r="1">
      <x v="412"/>
    </i>
    <i r="1">
      <x v="413"/>
    </i>
    <i r="1">
      <x v="416"/>
    </i>
    <i r="1">
      <x v="420"/>
    </i>
    <i r="1">
      <x v="421"/>
    </i>
    <i r="1">
      <x v="422"/>
    </i>
    <i r="1">
      <x v="423"/>
    </i>
    <i t="default">
      <x v="2"/>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9"/>
    </i>
    <i r="1">
      <x v="100"/>
    </i>
    <i r="1">
      <x v="101"/>
    </i>
    <i r="1">
      <x v="367"/>
    </i>
    <i r="1">
      <x v="375"/>
    </i>
    <i r="1">
      <x v="378"/>
    </i>
    <i r="1">
      <x v="379"/>
    </i>
    <i r="1">
      <x v="380"/>
    </i>
    <i r="1">
      <x v="381"/>
    </i>
    <i r="1">
      <x v="393"/>
    </i>
    <i r="1">
      <x v="395"/>
    </i>
    <i r="1">
      <x v="396"/>
    </i>
    <i r="1">
      <x v="406"/>
    </i>
    <i r="1">
      <x v="407"/>
    </i>
    <i r="1">
      <x v="414"/>
    </i>
    <i r="1">
      <x v="417"/>
    </i>
    <i r="1">
      <x v="418"/>
    </i>
    <i t="default">
      <x v="3"/>
    </i>
    <i>
      <x v="4"/>
    </i>
    <i r="1">
      <x v="370"/>
    </i>
    <i t="default">
      <x v="4"/>
    </i>
    <i t="grand">
      <x/>
    </i>
  </rowItems>
  <colFields count="2">
    <field x="9"/>
    <field x="-2"/>
  </colFields>
  <colItems count="10">
    <i>
      <x/>
      <x/>
    </i>
    <i r="1" i="1">
      <x v="1"/>
    </i>
    <i>
      <x v="1"/>
      <x/>
    </i>
    <i r="1" i="1">
      <x v="1"/>
    </i>
    <i>
      <x v="2"/>
      <x/>
    </i>
    <i r="1" i="1">
      <x v="1"/>
    </i>
    <i>
      <x v="3"/>
      <x/>
    </i>
    <i r="1" i="1">
      <x v="1"/>
    </i>
    <i t="grand">
      <x/>
    </i>
    <i t="grand" i="1">
      <x/>
    </i>
  </colItems>
  <dataFields count="2">
    <dataField name="Sum of Qty" fld="5" baseField="1" baseItem="487" numFmtId="3"/>
    <dataField name="Sum of $" fld="7" baseField="1" baseItem="157" numFmtId="3"/>
  </dataFields>
  <formats count="33">
    <format dxfId="45">
      <pivotArea collapsedLevelsAreSubtotals="1" fieldPosition="0">
        <references count="2">
          <reference field="1" count="61">
            <x v="136"/>
            <x v="137"/>
            <x v="153"/>
            <x v="154"/>
            <x v="155"/>
            <x v="156"/>
            <x v="157"/>
            <x v="158"/>
            <x v="159"/>
            <x v="160"/>
            <x v="161"/>
            <x v="162"/>
            <x v="163"/>
            <x v="164"/>
            <x v="165"/>
            <x v="166"/>
            <x v="167"/>
            <x v="168"/>
            <x v="170"/>
            <x v="304"/>
            <x v="305"/>
            <x v="306"/>
            <x v="308"/>
            <x v="309"/>
            <x v="310"/>
            <x v="311"/>
            <x v="312"/>
            <x v="313"/>
            <x v="314"/>
            <x v="315"/>
            <x v="316"/>
            <x v="317"/>
            <x v="318"/>
            <x v="319"/>
            <x v="320"/>
            <x v="321"/>
            <x v="322"/>
            <x v="323"/>
            <x v="324"/>
            <x v="325"/>
            <x v="326"/>
            <x v="327"/>
            <x v="328"/>
            <x v="329"/>
            <x v="330"/>
            <x v="331"/>
            <x v="332"/>
            <x v="333"/>
            <x v="334"/>
            <x v="335"/>
            <x v="336"/>
            <x v="338"/>
            <x v="339"/>
            <x v="340"/>
            <x v="341"/>
            <x v="342"/>
            <x v="343"/>
            <x v="345"/>
            <x v="346"/>
            <x v="347"/>
            <x v="348"/>
          </reference>
          <reference field="8" count="1" selected="0">
            <x v="0"/>
          </reference>
        </references>
      </pivotArea>
    </format>
    <format dxfId="44">
      <pivotArea collapsedLevelsAreSubtotals="1" fieldPosition="0">
        <references count="1">
          <reference field="8" count="1" defaultSubtotal="1">
            <x v="0"/>
          </reference>
        </references>
      </pivotArea>
    </format>
    <format dxfId="43">
      <pivotArea collapsedLevelsAreSubtotals="1" fieldPosition="0">
        <references count="1">
          <reference field="8" count="1">
            <x v="1"/>
          </reference>
        </references>
      </pivotArea>
    </format>
    <format dxfId="42">
      <pivotArea collapsedLevelsAreSubtotals="1" fieldPosition="0">
        <references count="2">
          <reference field="1" count="135">
            <x v="102"/>
            <x v="103"/>
            <x v="104"/>
            <x v="105"/>
            <x v="107"/>
            <x v="109"/>
            <x v="110"/>
            <x v="111"/>
            <x v="112"/>
            <x v="113"/>
            <x v="114"/>
            <x v="115"/>
            <x v="116"/>
            <x v="117"/>
            <x v="118"/>
            <x v="119"/>
            <x v="120"/>
            <x v="121"/>
            <x v="122"/>
            <x v="123"/>
            <x v="124"/>
            <x v="125"/>
            <x v="126"/>
            <x v="127"/>
            <x v="138"/>
            <x v="139"/>
            <x v="140"/>
            <x v="141"/>
            <x v="142"/>
            <x v="143"/>
            <x v="144"/>
            <x v="145"/>
            <x v="147"/>
            <x v="197"/>
            <x v="198"/>
            <x v="199"/>
            <x v="200"/>
            <x v="201"/>
            <x v="202"/>
            <x v="203"/>
            <x v="204"/>
            <x v="205"/>
            <x v="206"/>
            <x v="207"/>
            <x v="208"/>
            <x v="209"/>
            <x v="210"/>
            <x v="211"/>
            <x v="212"/>
            <x v="216"/>
            <x v="217"/>
            <x v="218"/>
            <x v="219"/>
            <x v="220"/>
            <x v="221"/>
            <x v="222"/>
            <x v="223"/>
            <x v="224"/>
            <x v="225"/>
            <x v="226"/>
            <x v="227"/>
            <x v="228"/>
            <x v="230"/>
            <x v="231"/>
            <x v="232"/>
            <x v="233"/>
            <x v="234"/>
            <x v="235"/>
            <x v="236"/>
            <x v="237"/>
            <x v="238"/>
            <x v="239"/>
            <x v="240"/>
            <x v="241"/>
            <x v="242"/>
            <x v="243"/>
            <x v="244"/>
            <x v="245"/>
            <x v="246"/>
            <x v="247"/>
            <x v="248"/>
            <x v="249"/>
            <x v="250"/>
            <x v="252"/>
            <x v="253"/>
            <x v="254"/>
            <x v="255"/>
            <x v="256"/>
            <x v="257"/>
            <x v="258"/>
            <x v="259"/>
            <x v="260"/>
            <x v="261"/>
            <x v="262"/>
            <x v="263"/>
            <x v="264"/>
            <x v="265"/>
            <x v="266"/>
            <x v="267"/>
            <x v="268"/>
            <x v="269"/>
            <x v="270"/>
            <x v="271"/>
            <x v="272"/>
            <x v="273"/>
            <x v="274"/>
            <x v="275"/>
            <x v="276"/>
            <x v="277"/>
            <x v="279"/>
            <x v="280"/>
            <x v="281"/>
            <x v="282"/>
            <x v="283"/>
            <x v="284"/>
            <x v="285"/>
            <x v="286"/>
            <x v="287"/>
            <x v="288"/>
            <x v="290"/>
            <x v="291"/>
            <x v="292"/>
            <x v="293"/>
            <x v="294"/>
            <x v="295"/>
            <x v="297"/>
            <x v="298"/>
            <x v="299"/>
            <x v="300"/>
            <x v="301"/>
            <x v="302"/>
            <x v="303"/>
            <x v="337"/>
            <x v="344"/>
            <x v="349"/>
          </reference>
          <reference field="8" count="1" selected="0">
            <x v="1"/>
          </reference>
        </references>
      </pivotArea>
    </format>
    <format dxfId="41">
      <pivotArea collapsedLevelsAreSubtotals="1" fieldPosition="0">
        <references count="1">
          <reference field="8" count="1" defaultSubtotal="1">
            <x v="1"/>
          </reference>
        </references>
      </pivotArea>
    </format>
    <format dxfId="40">
      <pivotArea collapsedLevelsAreSubtotals="1" fieldPosition="0">
        <references count="1">
          <reference field="8" count="1">
            <x v="2"/>
          </reference>
        </references>
      </pivotArea>
    </format>
    <format dxfId="39">
      <pivotArea collapsedLevelsAreSubtotals="1" fieldPosition="0">
        <references count="2">
          <reference field="1" count="32">
            <x v="95"/>
            <x v="96"/>
            <x v="97"/>
            <x v="98"/>
            <x v="148"/>
            <x v="149"/>
            <x v="150"/>
            <x v="151"/>
            <x v="152"/>
            <x v="172"/>
            <x v="173"/>
            <x v="174"/>
            <x v="175"/>
            <x v="176"/>
            <x v="177"/>
            <x v="178"/>
            <x v="179"/>
            <x v="180"/>
            <x v="181"/>
            <x v="183"/>
            <x v="184"/>
            <x v="185"/>
            <x v="187"/>
            <x v="188"/>
            <x v="189"/>
            <x v="190"/>
            <x v="191"/>
            <x v="192"/>
            <x v="193"/>
            <x v="194"/>
            <x v="195"/>
            <x v="196"/>
          </reference>
          <reference field="8" count="1" selected="0">
            <x v="2"/>
          </reference>
        </references>
      </pivotArea>
    </format>
    <format dxfId="38">
      <pivotArea collapsedLevelsAreSubtotals="1" fieldPosition="0">
        <references count="1">
          <reference field="8" count="1" defaultSubtotal="1">
            <x v="2"/>
          </reference>
        </references>
      </pivotArea>
    </format>
    <format dxfId="37">
      <pivotArea collapsedLevelsAreSubtotals="1" fieldPosition="0">
        <references count="1">
          <reference field="8" count="1">
            <x v="3"/>
          </reference>
        </references>
      </pivotArea>
    </format>
    <format dxfId="36">
      <pivotArea collapsedLevelsAreSubtotals="1" fieldPosition="0">
        <references count="2">
          <reference field="1" count="97">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9"/>
            <x v="100"/>
          </reference>
          <reference field="8" count="1" selected="0">
            <x v="3"/>
          </reference>
        </references>
      </pivotArea>
    </format>
    <format dxfId="35">
      <pivotArea dataOnly="0" labelOnly="1" fieldPosition="0">
        <references count="1">
          <reference field="8" count="3">
            <x v="1"/>
            <x v="2"/>
            <x v="3"/>
          </reference>
        </references>
      </pivotArea>
    </format>
    <format dxfId="34">
      <pivotArea dataOnly="0" labelOnly="1" fieldPosition="0">
        <references count="1">
          <reference field="8" count="3" defaultSubtotal="1">
            <x v="0"/>
            <x v="1"/>
            <x v="2"/>
          </reference>
        </references>
      </pivotArea>
    </format>
    <format dxfId="33">
      <pivotArea dataOnly="0" labelOnly="1" fieldPosition="0">
        <references count="2">
          <reference field="1" count="44">
            <x v="136"/>
            <x v="137"/>
            <x v="153"/>
            <x v="154"/>
            <x v="155"/>
            <x v="156"/>
            <x v="157"/>
            <x v="158"/>
            <x v="159"/>
            <x v="160"/>
            <x v="161"/>
            <x v="162"/>
            <x v="163"/>
            <x v="164"/>
            <x v="165"/>
            <x v="166"/>
            <x v="167"/>
            <x v="168"/>
            <x v="170"/>
            <x v="304"/>
            <x v="305"/>
            <x v="306"/>
            <x v="308"/>
            <x v="309"/>
            <x v="310"/>
            <x v="311"/>
            <x v="312"/>
            <x v="313"/>
            <x v="314"/>
            <x v="315"/>
            <x v="316"/>
            <x v="317"/>
            <x v="318"/>
            <x v="319"/>
            <x v="320"/>
            <x v="321"/>
            <x v="322"/>
            <x v="323"/>
            <x v="324"/>
            <x v="325"/>
            <x v="326"/>
            <x v="327"/>
            <x v="328"/>
            <x v="329"/>
          </reference>
          <reference field="8" count="1" selected="0">
            <x v="0"/>
          </reference>
        </references>
      </pivotArea>
    </format>
    <format dxfId="32">
      <pivotArea dataOnly="0" labelOnly="1" fieldPosition="0">
        <references count="2">
          <reference field="1" count="17">
            <x v="330"/>
            <x v="331"/>
            <x v="332"/>
            <x v="333"/>
            <x v="334"/>
            <x v="335"/>
            <x v="336"/>
            <x v="338"/>
            <x v="339"/>
            <x v="340"/>
            <x v="341"/>
            <x v="342"/>
            <x v="343"/>
            <x v="345"/>
            <x v="346"/>
            <x v="347"/>
            <x v="348"/>
          </reference>
          <reference field="8" count="1" selected="0">
            <x v="0"/>
          </reference>
        </references>
      </pivotArea>
    </format>
    <format dxfId="31">
      <pivotArea dataOnly="0" labelOnly="1" fieldPosition="0">
        <references count="2">
          <reference field="1" count="33">
            <x v="102"/>
            <x v="103"/>
            <x v="104"/>
            <x v="105"/>
            <x v="107"/>
            <x v="109"/>
            <x v="110"/>
            <x v="111"/>
            <x v="112"/>
            <x v="113"/>
            <x v="114"/>
            <x v="115"/>
            <x v="116"/>
            <x v="117"/>
            <x v="118"/>
            <x v="119"/>
            <x v="120"/>
            <x v="121"/>
            <x v="122"/>
            <x v="123"/>
            <x v="124"/>
            <x v="125"/>
            <x v="126"/>
            <x v="127"/>
            <x v="138"/>
            <x v="139"/>
            <x v="140"/>
            <x v="141"/>
            <x v="142"/>
            <x v="143"/>
            <x v="144"/>
            <x v="145"/>
            <x v="147"/>
          </reference>
          <reference field="8" count="1" selected="0">
            <x v="1"/>
          </reference>
        </references>
      </pivotArea>
    </format>
    <format dxfId="30">
      <pivotArea dataOnly="0" labelOnly="1" fieldPosition="0">
        <references count="2">
          <reference field="1" count="34">
            <x v="197"/>
            <x v="198"/>
            <x v="199"/>
            <x v="200"/>
            <x v="201"/>
            <x v="202"/>
            <x v="203"/>
            <x v="204"/>
            <x v="205"/>
            <x v="206"/>
            <x v="207"/>
            <x v="208"/>
            <x v="209"/>
            <x v="210"/>
            <x v="211"/>
            <x v="212"/>
            <x v="216"/>
            <x v="217"/>
            <x v="218"/>
            <x v="219"/>
            <x v="220"/>
            <x v="221"/>
            <x v="222"/>
            <x v="223"/>
            <x v="224"/>
            <x v="225"/>
            <x v="226"/>
            <x v="227"/>
            <x v="228"/>
            <x v="230"/>
            <x v="231"/>
            <x v="232"/>
            <x v="233"/>
            <x v="234"/>
          </reference>
          <reference field="8" count="1" selected="0">
            <x v="1"/>
          </reference>
        </references>
      </pivotArea>
    </format>
    <format dxfId="29">
      <pivotArea dataOnly="0" labelOnly="1" fieldPosition="0">
        <references count="2">
          <reference field="1" count="44">
            <x v="235"/>
            <x v="236"/>
            <x v="237"/>
            <x v="238"/>
            <x v="239"/>
            <x v="240"/>
            <x v="241"/>
            <x v="242"/>
            <x v="243"/>
            <x v="244"/>
            <x v="245"/>
            <x v="246"/>
            <x v="247"/>
            <x v="248"/>
            <x v="249"/>
            <x v="250"/>
            <x v="252"/>
            <x v="253"/>
            <x v="254"/>
            <x v="255"/>
            <x v="256"/>
            <x v="257"/>
            <x v="258"/>
            <x v="259"/>
            <x v="260"/>
            <x v="261"/>
            <x v="262"/>
            <x v="263"/>
            <x v="264"/>
            <x v="265"/>
            <x v="266"/>
            <x v="267"/>
            <x v="268"/>
            <x v="269"/>
            <x v="270"/>
            <x v="271"/>
            <x v="272"/>
            <x v="273"/>
            <x v="274"/>
            <x v="275"/>
            <x v="276"/>
            <x v="277"/>
            <x v="279"/>
            <x v="280"/>
          </reference>
          <reference field="8" count="1" selected="0">
            <x v="1"/>
          </reference>
        </references>
      </pivotArea>
    </format>
    <format dxfId="28">
      <pivotArea dataOnly="0" labelOnly="1" fieldPosition="0">
        <references count="2">
          <reference field="1" count="24">
            <x v="281"/>
            <x v="282"/>
            <x v="283"/>
            <x v="284"/>
            <x v="285"/>
            <x v="286"/>
            <x v="287"/>
            <x v="288"/>
            <x v="290"/>
            <x v="291"/>
            <x v="292"/>
            <x v="293"/>
            <x v="294"/>
            <x v="295"/>
            <x v="297"/>
            <x v="298"/>
            <x v="299"/>
            <x v="300"/>
            <x v="301"/>
            <x v="302"/>
            <x v="303"/>
            <x v="337"/>
            <x v="344"/>
            <x v="349"/>
          </reference>
          <reference field="8" count="1" selected="0">
            <x v="1"/>
          </reference>
        </references>
      </pivotArea>
    </format>
    <format dxfId="27">
      <pivotArea dataOnly="0" labelOnly="1" fieldPosition="0">
        <references count="2">
          <reference field="1" count="27">
            <x v="95"/>
            <x v="96"/>
            <x v="97"/>
            <x v="98"/>
            <x v="148"/>
            <x v="149"/>
            <x v="150"/>
            <x v="151"/>
            <x v="152"/>
            <x v="172"/>
            <x v="173"/>
            <x v="174"/>
            <x v="175"/>
            <x v="176"/>
            <x v="177"/>
            <x v="178"/>
            <x v="179"/>
            <x v="180"/>
            <x v="181"/>
            <x v="183"/>
            <x v="184"/>
            <x v="185"/>
            <x v="187"/>
            <x v="188"/>
            <x v="189"/>
            <x v="190"/>
            <x v="191"/>
          </reference>
          <reference field="8" count="1" selected="0">
            <x v="2"/>
          </reference>
        </references>
      </pivotArea>
    </format>
    <format dxfId="26">
      <pivotArea dataOnly="0" labelOnly="1" fieldPosition="0">
        <references count="2">
          <reference field="1" count="5">
            <x v="192"/>
            <x v="193"/>
            <x v="194"/>
            <x v="195"/>
            <x v="196"/>
          </reference>
          <reference field="8" count="1" selected="0">
            <x v="2"/>
          </reference>
        </references>
      </pivotArea>
    </format>
    <format dxfId="25">
      <pivotArea dataOnly="0" labelOnly="1" fieldPosition="0">
        <references count="2">
          <reference field="1" count="42">
            <x v="0"/>
            <x v="1"/>
            <x v="2"/>
            <x v="3"/>
            <x v="4"/>
            <x v="5"/>
            <x v="6"/>
            <x v="7"/>
            <x v="8"/>
            <x v="9"/>
            <x v="10"/>
            <x v="11"/>
            <x v="12"/>
            <x v="13"/>
            <x v="14"/>
            <x v="15"/>
            <x v="16"/>
            <x v="17"/>
            <x v="18"/>
            <x v="19"/>
            <x v="20"/>
            <x v="21"/>
            <x v="22"/>
            <x v="23"/>
            <x v="24"/>
            <x v="25"/>
            <x v="26"/>
            <x v="27"/>
            <x v="28"/>
            <x v="29"/>
            <x v="30"/>
            <x v="31"/>
            <x v="32"/>
            <x v="33"/>
            <x v="34"/>
            <x v="35"/>
            <x v="36"/>
            <x v="37"/>
            <x v="38"/>
            <x v="39"/>
            <x v="40"/>
            <x v="41"/>
          </reference>
          <reference field="8" count="1" selected="0">
            <x v="3"/>
          </reference>
        </references>
      </pivotArea>
    </format>
    <format dxfId="24">
      <pivotArea dataOnly="0" labelOnly="1" fieldPosition="0">
        <references count="2">
          <reference field="1" count="48">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reference>
          <reference field="8" count="1" selected="0">
            <x v="3"/>
          </reference>
        </references>
      </pivotArea>
    </format>
    <format dxfId="23">
      <pivotArea dataOnly="0" labelOnly="1" fieldPosition="0">
        <references count="2">
          <reference field="1" count="7">
            <x v="90"/>
            <x v="91"/>
            <x v="92"/>
            <x v="93"/>
            <x v="94"/>
            <x v="99"/>
            <x v="100"/>
          </reference>
          <reference field="8" count="1" selected="0">
            <x v="3"/>
          </reference>
        </references>
      </pivotArea>
    </format>
    <format dxfId="22">
      <pivotArea dataOnly="0" labelOnly="1" fieldPosition="0">
        <references count="2">
          <reference field="1" count="1">
            <x v="48"/>
          </reference>
          <reference field="8" count="1" selected="0">
            <x v="3"/>
          </reference>
        </references>
      </pivotArea>
    </format>
    <format dxfId="21">
      <pivotArea dataOnly="0" labelOnly="1" fieldPosition="0">
        <references count="2">
          <reference field="1" count="1">
            <x v="186"/>
          </reference>
          <reference field="8" count="1" selected="0">
            <x v="2"/>
          </reference>
        </references>
      </pivotArea>
    </format>
    <format dxfId="20">
      <pivotArea collapsedLevelsAreSubtotals="1" fieldPosition="0">
        <references count="2">
          <reference field="1" count="1">
            <x v="94"/>
          </reference>
          <reference field="8" count="1" selected="0">
            <x v="3"/>
          </reference>
        </references>
      </pivotArea>
    </format>
    <format dxfId="19">
      <pivotArea dataOnly="0" labelOnly="1" fieldPosition="0">
        <references count="2">
          <reference field="1" count="1">
            <x v="94"/>
          </reference>
          <reference field="8" count="1" selected="0">
            <x v="3"/>
          </reference>
        </references>
      </pivotArea>
    </format>
    <format dxfId="18">
      <pivotArea dataOnly="0" labelOnly="1" fieldPosition="0">
        <references count="2">
          <reference field="1" count="1">
            <x v="192"/>
          </reference>
          <reference field="8" count="1" selected="0">
            <x v="2"/>
          </reference>
        </references>
      </pivotArea>
    </format>
    <format dxfId="17">
      <pivotArea dataOnly="0" labelOnly="1" fieldPosition="0">
        <references count="2">
          <reference field="1" count="1">
            <x v="420"/>
          </reference>
          <reference field="8" count="1" selected="0">
            <x v="2"/>
          </reference>
        </references>
      </pivotArea>
    </format>
    <format dxfId="16">
      <pivotArea collapsedLevelsAreSubtotals="1" fieldPosition="0">
        <references count="4">
          <reference field="4294967294" count="2" selected="0">
            <x v="0"/>
            <x v="1"/>
          </reference>
          <reference field="1" count="1">
            <x v="409"/>
          </reference>
          <reference field="8" count="1" selected="0">
            <x v="0"/>
          </reference>
          <reference field="9" count="1" selected="0">
            <x v="0"/>
          </reference>
        </references>
      </pivotArea>
    </format>
    <format dxfId="15">
      <pivotArea dataOnly="0" labelOnly="1" fieldPosition="0">
        <references count="2">
          <reference field="1" count="1">
            <x v="409"/>
          </reference>
          <reference field="8" count="1" selected="0">
            <x v="0"/>
          </reference>
        </references>
      </pivotArea>
    </format>
    <format dxfId="14">
      <pivotArea collapsedLevelsAreSubtotals="1" fieldPosition="0">
        <references count="4">
          <reference field="4294967294" count="2" selected="0">
            <x v="0"/>
            <x v="1"/>
          </reference>
          <reference field="1" count="1">
            <x v="419"/>
          </reference>
          <reference field="8" count="1" selected="0">
            <x v="0"/>
          </reference>
          <reference field="9" count="2" selected="0">
            <x v="0"/>
            <x v="1"/>
          </reference>
        </references>
      </pivotArea>
    </format>
    <format dxfId="13">
      <pivotArea dataOnly="0" labelOnly="1" fieldPosition="0">
        <references count="2">
          <reference field="1" count="1">
            <x v="419"/>
          </reference>
          <reference field="8"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01FC95-4700-4BA9-9AE6-E55C9A740BE7}" name="Table1" displayName="Table1" ref="A1:K15" totalsRowShown="0">
  <autoFilter ref="A1:K15" xr:uid="{D501FC95-4700-4BA9-9AE6-E55C9A740BE7}"/>
  <tableColumns count="11">
    <tableColumn id="1" xr3:uid="{A624A7E4-9301-4841-A497-1BB04B3BFF27}" name="Whs"/>
    <tableColumn id="2" xr3:uid="{B7868108-20EA-4117-B8F1-9D416765CF83}" name="Product"/>
    <tableColumn id="3" xr3:uid="{1E196C14-B429-465A-88C8-E90A59EA7B9F}" name="Description"/>
    <tableColumn id="4" xr3:uid="{0BC64D86-53BC-4B5B-A851-FCED4F56F44B}" name="UM"/>
    <tableColumn id="5" xr3:uid="{F6AF176A-6B37-4B4B-8872-AFDF103C81C9}" name="Pack"/>
    <tableColumn id="6" xr3:uid="{DF8F85E3-407B-4DBB-9119-5E9E52307834}" name="Qty"/>
    <tableColumn id="7" xr3:uid="{6CD5C51A-8F87-448E-8DD0-61F2B9799FF7}" name="Weight"/>
    <tableColumn id="8" xr3:uid="{5377BB71-3127-492F-8D7E-927BD98DD83B}" name="$"/>
    <tableColumn id="9" xr3:uid="{54254ADB-A016-468F-90F6-E07FDF1C3B54}" name="Category"/>
    <tableColumn id="10" xr3:uid="{1A3352E1-1F95-4D93-9FB3-BCD0B6126C3E}" name="FL/AZ"/>
    <tableColumn id="11" xr3:uid="{461CC885-C540-4598-946B-CE3F756DA772}" name="$/UM"/>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B6A0E-7247-4C10-B373-402ED16F4A47}">
  <dimension ref="A1:K15"/>
  <sheetViews>
    <sheetView workbookViewId="0">
      <selection activeCell="C38" sqref="C38"/>
    </sheetView>
  </sheetViews>
  <sheetFormatPr defaultRowHeight="12.75"/>
  <cols>
    <col min="2" max="2" width="10.140625" customWidth="1"/>
    <col min="3" max="3" width="39.28515625" bestFit="1" customWidth="1"/>
    <col min="7" max="7" width="9.5703125" customWidth="1"/>
    <col min="9" max="9" width="11.28515625" customWidth="1"/>
  </cols>
  <sheetData>
    <row r="1" spans="1:11">
      <c r="A1" t="s">
        <v>2</v>
      </c>
      <c r="B1" t="s">
        <v>3</v>
      </c>
      <c r="C1" t="s">
        <v>4</v>
      </c>
      <c r="D1" t="s">
        <v>5</v>
      </c>
      <c r="E1" t="s">
        <v>6</v>
      </c>
      <c r="F1" t="s">
        <v>7</v>
      </c>
      <c r="G1" t="s">
        <v>8</v>
      </c>
      <c r="H1" t="s">
        <v>9</v>
      </c>
      <c r="I1" t="s">
        <v>10</v>
      </c>
      <c r="J1" t="s">
        <v>11</v>
      </c>
      <c r="K1" t="s">
        <v>12</v>
      </c>
    </row>
    <row r="2" spans="1:11">
      <c r="A2">
        <v>205</v>
      </c>
      <c r="B2" t="s">
        <v>451</v>
      </c>
      <c r="C2" t="s">
        <v>452</v>
      </c>
      <c r="D2" t="s">
        <v>34</v>
      </c>
      <c r="F2">
        <v>2880</v>
      </c>
      <c r="G2">
        <v>25168.61</v>
      </c>
      <c r="H2">
        <v>11561.47</v>
      </c>
      <c r="I2" t="s">
        <v>35</v>
      </c>
      <c r="J2" t="s">
        <v>19</v>
      </c>
      <c r="K2">
        <v>4.0143993055555551</v>
      </c>
    </row>
    <row r="3" spans="1:11">
      <c r="A3">
        <v>205</v>
      </c>
      <c r="B3" t="s">
        <v>366</v>
      </c>
      <c r="C3" t="s">
        <v>367</v>
      </c>
      <c r="D3" t="s">
        <v>34</v>
      </c>
      <c r="E3" t="s">
        <v>368</v>
      </c>
      <c r="F3">
        <v>209790</v>
      </c>
      <c r="G3">
        <v>1867131</v>
      </c>
      <c r="H3">
        <v>1083984.93</v>
      </c>
      <c r="I3" t="s">
        <v>35</v>
      </c>
      <c r="J3" t="s">
        <v>19</v>
      </c>
      <c r="K3">
        <v>5.1669999999999998</v>
      </c>
    </row>
    <row r="4" spans="1:11">
      <c r="A4">
        <v>205</v>
      </c>
      <c r="B4" t="s">
        <v>2754</v>
      </c>
      <c r="C4" t="s">
        <v>2755</v>
      </c>
      <c r="D4" t="s">
        <v>34</v>
      </c>
      <c r="E4" t="s">
        <v>143</v>
      </c>
      <c r="F4">
        <v>50387.15</v>
      </c>
      <c r="G4">
        <v>448445.64</v>
      </c>
      <c r="H4">
        <v>188447.94</v>
      </c>
      <c r="I4" t="s">
        <v>35</v>
      </c>
      <c r="J4" t="s">
        <v>19</v>
      </c>
      <c r="K4">
        <v>3.7399999801536699</v>
      </c>
    </row>
    <row r="5" spans="1:11">
      <c r="A5">
        <v>205</v>
      </c>
      <c r="B5" t="s">
        <v>1147</v>
      </c>
      <c r="C5" t="s">
        <v>2773</v>
      </c>
      <c r="D5" t="s">
        <v>34</v>
      </c>
      <c r="E5" t="s">
        <v>143</v>
      </c>
      <c r="F5">
        <v>64008</v>
      </c>
      <c r="G5">
        <v>569671.19999999995</v>
      </c>
      <c r="H5">
        <v>224028</v>
      </c>
      <c r="I5" t="s">
        <v>35</v>
      </c>
      <c r="J5" t="s">
        <v>19</v>
      </c>
      <c r="K5">
        <v>3.5</v>
      </c>
    </row>
    <row r="6" spans="1:11">
      <c r="A6">
        <v>205</v>
      </c>
      <c r="B6" t="s">
        <v>141</v>
      </c>
      <c r="C6" t="s">
        <v>142</v>
      </c>
      <c r="D6" t="s">
        <v>34</v>
      </c>
      <c r="E6" t="s">
        <v>143</v>
      </c>
      <c r="F6">
        <v>223068.05</v>
      </c>
      <c r="G6">
        <v>1985305.65</v>
      </c>
      <c r="H6">
        <v>781898.13</v>
      </c>
      <c r="I6" t="s">
        <v>35</v>
      </c>
      <c r="J6" t="s">
        <v>19</v>
      </c>
      <c r="K6">
        <v>3.5052000051105483</v>
      </c>
    </row>
    <row r="7" spans="1:11">
      <c r="A7">
        <v>205</v>
      </c>
      <c r="B7" t="s">
        <v>318</v>
      </c>
      <c r="C7" t="s">
        <v>319</v>
      </c>
      <c r="D7" t="s">
        <v>34</v>
      </c>
      <c r="E7" t="s">
        <v>143</v>
      </c>
      <c r="F7">
        <v>68961</v>
      </c>
      <c r="G7">
        <v>613752.9</v>
      </c>
      <c r="H7">
        <v>436171.43</v>
      </c>
      <c r="I7" t="s">
        <v>35</v>
      </c>
      <c r="J7" t="s">
        <v>19</v>
      </c>
      <c r="K7">
        <v>6.3249000159510445</v>
      </c>
    </row>
    <row r="8" spans="1:11">
      <c r="A8">
        <v>205</v>
      </c>
      <c r="B8" t="s">
        <v>316</v>
      </c>
      <c r="C8" t="s">
        <v>317</v>
      </c>
      <c r="D8" t="s">
        <v>34</v>
      </c>
      <c r="E8" t="s">
        <v>143</v>
      </c>
      <c r="F8">
        <v>68400</v>
      </c>
      <c r="G8">
        <v>608760</v>
      </c>
      <c r="H8">
        <v>430920</v>
      </c>
      <c r="I8" t="s">
        <v>35</v>
      </c>
      <c r="J8" t="s">
        <v>19</v>
      </c>
      <c r="K8">
        <v>6.3</v>
      </c>
    </row>
    <row r="9" spans="1:11">
      <c r="A9">
        <v>205</v>
      </c>
      <c r="B9" t="s">
        <v>166</v>
      </c>
      <c r="C9" t="s">
        <v>167</v>
      </c>
      <c r="D9" t="s">
        <v>34</v>
      </c>
      <c r="F9">
        <v>5400</v>
      </c>
      <c r="G9">
        <v>48060</v>
      </c>
      <c r="H9">
        <v>17939.34</v>
      </c>
      <c r="I9" t="s">
        <v>35</v>
      </c>
      <c r="J9" t="s">
        <v>19</v>
      </c>
      <c r="K9">
        <v>3.3220999999999998</v>
      </c>
    </row>
    <row r="10" spans="1:11">
      <c r="A10">
        <v>205</v>
      </c>
      <c r="B10" t="s">
        <v>73</v>
      </c>
      <c r="C10" t="s">
        <v>74</v>
      </c>
      <c r="D10" t="s">
        <v>34</v>
      </c>
      <c r="F10">
        <v>8910</v>
      </c>
      <c r="G10">
        <v>79299</v>
      </c>
      <c r="H10">
        <v>30956.01</v>
      </c>
      <c r="I10" t="s">
        <v>35</v>
      </c>
      <c r="J10" t="s">
        <v>19</v>
      </c>
      <c r="K10">
        <v>3.474299663299663</v>
      </c>
    </row>
    <row r="11" spans="1:11">
      <c r="A11">
        <v>205</v>
      </c>
      <c r="B11" t="s">
        <v>293</v>
      </c>
      <c r="C11" t="s">
        <v>294</v>
      </c>
      <c r="D11" t="s">
        <v>34</v>
      </c>
      <c r="F11">
        <v>560</v>
      </c>
      <c r="G11">
        <v>4905.32</v>
      </c>
      <c r="H11">
        <v>1063.5</v>
      </c>
      <c r="I11" t="s">
        <v>35</v>
      </c>
      <c r="J11" t="s">
        <v>19</v>
      </c>
      <c r="K11">
        <v>1.8991071428571429</v>
      </c>
    </row>
    <row r="12" spans="1:11">
      <c r="A12">
        <v>205</v>
      </c>
      <c r="B12" t="s">
        <v>226</v>
      </c>
      <c r="C12" t="s">
        <v>227</v>
      </c>
      <c r="D12" t="s">
        <v>16</v>
      </c>
      <c r="E12" t="s">
        <v>228</v>
      </c>
      <c r="F12">
        <v>3669</v>
      </c>
      <c r="G12">
        <v>161436</v>
      </c>
      <c r="H12">
        <v>102732</v>
      </c>
      <c r="I12" t="s">
        <v>35</v>
      </c>
      <c r="J12" t="s">
        <v>19</v>
      </c>
      <c r="K12">
        <v>28</v>
      </c>
    </row>
    <row r="13" spans="1:11">
      <c r="A13">
        <v>205</v>
      </c>
      <c r="B13" t="s">
        <v>112</v>
      </c>
      <c r="C13" t="s">
        <v>113</v>
      </c>
      <c r="D13" t="s">
        <v>34</v>
      </c>
      <c r="F13">
        <v>5380</v>
      </c>
      <c r="G13">
        <v>47882</v>
      </c>
      <c r="H13">
        <v>21240.78</v>
      </c>
      <c r="I13" t="s">
        <v>35</v>
      </c>
      <c r="J13" t="s">
        <v>19</v>
      </c>
      <c r="K13">
        <v>3.9481003717472118</v>
      </c>
    </row>
    <row r="14" spans="1:11">
      <c r="A14">
        <v>205</v>
      </c>
      <c r="B14" t="s">
        <v>196</v>
      </c>
      <c r="C14" t="s">
        <v>197</v>
      </c>
      <c r="D14" t="s">
        <v>34</v>
      </c>
      <c r="E14" t="s">
        <v>198</v>
      </c>
      <c r="F14">
        <v>2160</v>
      </c>
      <c r="G14">
        <v>19224</v>
      </c>
      <c r="H14">
        <v>7277.04</v>
      </c>
      <c r="I14" t="s">
        <v>35</v>
      </c>
      <c r="J14" t="s">
        <v>19</v>
      </c>
      <c r="K14">
        <v>3.3689999999999998</v>
      </c>
    </row>
    <row r="15" spans="1:11">
      <c r="A15">
        <v>205</v>
      </c>
      <c r="B15" t="s">
        <v>173</v>
      </c>
      <c r="C15" t="s">
        <v>174</v>
      </c>
      <c r="D15" t="s">
        <v>34</v>
      </c>
      <c r="F15">
        <v>78875.210000000006</v>
      </c>
      <c r="G15">
        <v>701989.37</v>
      </c>
      <c r="H15">
        <v>328120.87</v>
      </c>
      <c r="I15" t="s">
        <v>35</v>
      </c>
      <c r="J15" t="s">
        <v>19</v>
      </c>
      <c r="K15">
        <v>4.1599999543582831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2180-8680-4BB6-B9A8-BE68BF9EF628}">
  <sheetPr>
    <tabColor theme="0"/>
    <pageSetUpPr fitToPage="1"/>
  </sheetPr>
  <dimension ref="A1:O58"/>
  <sheetViews>
    <sheetView topLeftCell="B1" workbookViewId="0">
      <selection activeCell="H38" sqref="H38"/>
    </sheetView>
  </sheetViews>
  <sheetFormatPr defaultColWidth="9.140625" defaultRowHeight="12.75"/>
  <cols>
    <col min="1" max="1" width="8.85546875" bestFit="1" customWidth="1"/>
    <col min="2" max="2" width="55.85546875" bestFit="1" customWidth="1"/>
    <col min="3" max="3" width="15.5703125" style="18" bestFit="1" customWidth="1"/>
    <col min="4" max="4" width="14" style="41" bestFit="1" customWidth="1"/>
    <col min="5" max="5" width="17.28515625" bestFit="1" customWidth="1"/>
    <col min="6" max="6" width="15.42578125" style="1" bestFit="1" customWidth="1"/>
    <col min="7" max="7" width="26.28515625" bestFit="1" customWidth="1"/>
    <col min="8" max="8" width="18" bestFit="1" customWidth="1"/>
    <col min="9" max="11" width="18" customWidth="1"/>
    <col min="12" max="13" width="15.5703125" style="240" bestFit="1" customWidth="1"/>
    <col min="14" max="15" width="10.140625" bestFit="1" customWidth="1"/>
  </cols>
  <sheetData>
    <row r="1" spans="1:15">
      <c r="A1" s="435" t="s">
        <v>1425</v>
      </c>
      <c r="B1" s="435"/>
      <c r="C1" s="435"/>
      <c r="D1" s="435"/>
      <c r="E1" s="435"/>
      <c r="F1" s="435"/>
    </row>
    <row r="2" spans="1:15">
      <c r="A2" s="435" t="s">
        <v>1437</v>
      </c>
      <c r="B2" s="435"/>
      <c r="C2" s="435"/>
      <c r="D2" s="435"/>
      <c r="E2" s="435"/>
      <c r="F2" s="435"/>
    </row>
    <row r="3" spans="1:15">
      <c r="A3" s="435" t="str">
        <f>'FL+AZ - RM'!A3</f>
        <v>As of July 31st 2025</v>
      </c>
      <c r="B3" s="435"/>
      <c r="C3" s="435"/>
      <c r="D3" s="435"/>
      <c r="E3" s="435"/>
      <c r="F3" s="435"/>
    </row>
    <row r="5" spans="1:15">
      <c r="A5" s="5" t="s">
        <v>1438</v>
      </c>
      <c r="B5" s="5"/>
      <c r="C5" s="74"/>
      <c r="D5" s="39" t="s">
        <v>1439</v>
      </c>
      <c r="E5" s="5" t="s">
        <v>822</v>
      </c>
      <c r="F5" s="5" t="s">
        <v>822</v>
      </c>
    </row>
    <row r="6" spans="1:15" ht="26.25" thickBot="1">
      <c r="A6" s="7" t="s">
        <v>1440</v>
      </c>
      <c r="B6" s="7" t="s">
        <v>4</v>
      </c>
      <c r="C6" s="75" t="s">
        <v>1441</v>
      </c>
      <c r="D6" s="40" t="s">
        <v>1442</v>
      </c>
      <c r="E6" s="7" t="s">
        <v>817</v>
      </c>
      <c r="F6" s="7" t="s">
        <v>1443</v>
      </c>
      <c r="G6" s="19" t="s">
        <v>1444</v>
      </c>
      <c r="H6" s="19" t="s">
        <v>1445</v>
      </c>
      <c r="I6" s="19" t="s">
        <v>2336</v>
      </c>
      <c r="J6" s="19" t="s">
        <v>2337</v>
      </c>
      <c r="K6" s="350" t="s">
        <v>2338</v>
      </c>
      <c r="L6" s="342" t="s">
        <v>1446</v>
      </c>
      <c r="M6" s="325" t="s">
        <v>1447</v>
      </c>
      <c r="N6" s="19"/>
      <c r="O6" s="19"/>
    </row>
    <row r="7" spans="1:15">
      <c r="A7" s="4">
        <v>4101</v>
      </c>
      <c r="B7" t="s">
        <v>329</v>
      </c>
      <c r="C7" s="229">
        <f>IFERROR(GETPIVOTDATA("Sum of qty",PT!$A$17,"product",A7,"FL/AZ","TX"),0)</f>
        <v>639</v>
      </c>
      <c r="D7" s="125">
        <v>4</v>
      </c>
      <c r="E7" s="18">
        <f>C7*D7</f>
        <v>2556</v>
      </c>
      <c r="F7" s="2">
        <f>IF(I7="FZN",E7,0)</f>
        <v>0</v>
      </c>
      <c r="G7" s="1">
        <f>IFERROR(VLOOKUP(ROUND(A7,0),'[6]Alameda Capitalization'!$A:$M,13,0),0)</f>
        <v>0</v>
      </c>
      <c r="H7" s="2">
        <f t="shared" ref="H7:H31" si="0">G7*C7</f>
        <v>0</v>
      </c>
      <c r="I7" s="349" t="s">
        <v>2339</v>
      </c>
      <c r="J7" s="349" t="s">
        <v>2340</v>
      </c>
      <c r="K7" s="349" t="s">
        <v>2341</v>
      </c>
      <c r="L7" s="326">
        <f>C7-IFERROR(VLOOKUP(A7,'[1]TX DL&amp;OH FG'!$A:$F,3,0),0)</f>
        <v>-811</v>
      </c>
      <c r="M7" s="326">
        <f>L7*D7</f>
        <v>-3244</v>
      </c>
      <c r="N7" s="2"/>
      <c r="O7" s="2"/>
    </row>
    <row r="8" spans="1:15">
      <c r="A8" s="4">
        <v>4102</v>
      </c>
      <c r="B8" t="s">
        <v>463</v>
      </c>
      <c r="C8" s="229">
        <f>IFERROR(GETPIVOTDATA("Sum of qty",PT!$A$17,"product",A8,"FL/AZ","TX"),0)</f>
        <v>3</v>
      </c>
      <c r="D8" s="125">
        <v>4.5</v>
      </c>
      <c r="E8" s="18">
        <f t="shared" ref="E8:E31" si="1">C8*D8</f>
        <v>13.5</v>
      </c>
      <c r="F8" s="2">
        <f t="shared" ref="F8:F31" si="2">IF(I8="FZN",E8,0)</f>
        <v>0</v>
      </c>
      <c r="G8" s="1">
        <f>IFERROR(VLOOKUP(ROUND(A8,0),'[6]Alameda Capitalization'!$A:$M,13,0),0)</f>
        <v>0</v>
      </c>
      <c r="H8" s="2">
        <f t="shared" si="0"/>
        <v>0</v>
      </c>
      <c r="I8" s="349" t="s">
        <v>2339</v>
      </c>
      <c r="J8" s="349" t="s">
        <v>2340</v>
      </c>
      <c r="K8" s="349" t="s">
        <v>2341</v>
      </c>
      <c r="L8" s="326">
        <f>C8-IFERROR(VLOOKUP(A8,'[1]TX DL&amp;OH FG'!$A:$F,3,0),0)</f>
        <v>-5</v>
      </c>
      <c r="M8" s="326">
        <f t="shared" ref="M8:M31" si="3">L8*D8</f>
        <v>-22.5</v>
      </c>
      <c r="N8" s="2"/>
      <c r="O8" s="2"/>
    </row>
    <row r="9" spans="1:15">
      <c r="A9" s="4">
        <v>4103</v>
      </c>
      <c r="B9" t="s">
        <v>557</v>
      </c>
      <c r="C9" s="229">
        <f>IFERROR(GETPIVOTDATA("Sum of qty",PT!$A$17,"product",A9,"FL/AZ","TX"),0)</f>
        <v>1</v>
      </c>
      <c r="D9" s="125">
        <v>3</v>
      </c>
      <c r="E9" s="18">
        <f t="shared" si="1"/>
        <v>3</v>
      </c>
      <c r="F9" s="2">
        <f t="shared" si="2"/>
        <v>0</v>
      </c>
      <c r="G9" s="1">
        <f>IFERROR(VLOOKUP(ROUND(A9,0),'[6]Alameda Capitalization'!$A:$M,13,0),0)</f>
        <v>0</v>
      </c>
      <c r="H9" s="2">
        <f t="shared" si="0"/>
        <v>0</v>
      </c>
      <c r="I9" s="349" t="s">
        <v>2339</v>
      </c>
      <c r="J9" s="349" t="s">
        <v>2340</v>
      </c>
      <c r="K9" s="349" t="s">
        <v>2341</v>
      </c>
      <c r="L9" s="326">
        <f>C9-IFERROR(VLOOKUP(A9,'[1]TX DL&amp;OH FG'!$A:$F,3,0),0)</f>
        <v>-5</v>
      </c>
      <c r="M9" s="326">
        <f t="shared" si="3"/>
        <v>-15</v>
      </c>
      <c r="N9" s="2"/>
      <c r="O9" s="2"/>
    </row>
    <row r="10" spans="1:15">
      <c r="A10" s="4">
        <v>4104</v>
      </c>
      <c r="B10" t="s">
        <v>581</v>
      </c>
      <c r="C10" s="229">
        <f>IFERROR(GETPIVOTDATA("Sum of qty",PT!$A$17,"product",A10,"FL/AZ","TX"),0)</f>
        <v>41</v>
      </c>
      <c r="D10" s="125">
        <v>1.5</v>
      </c>
      <c r="E10" s="18">
        <f t="shared" si="1"/>
        <v>61.5</v>
      </c>
      <c r="F10" s="2">
        <f t="shared" si="2"/>
        <v>0</v>
      </c>
      <c r="G10" s="1">
        <f>IFERROR(VLOOKUP(ROUND(A10,0),'[6]Alameda Capitalization'!$A:$M,13,0),0)</f>
        <v>0</v>
      </c>
      <c r="H10" s="2">
        <f t="shared" si="0"/>
        <v>0</v>
      </c>
      <c r="I10" s="349" t="s">
        <v>2339</v>
      </c>
      <c r="J10" s="349" t="s">
        <v>2340</v>
      </c>
      <c r="K10" s="349" t="s">
        <v>2341</v>
      </c>
      <c r="L10" s="326">
        <f>C10-IFERROR(VLOOKUP(A10,'[1]TX DL&amp;OH FG'!$A:$F,3,0),0)</f>
        <v>-6</v>
      </c>
      <c r="M10" s="326">
        <f t="shared" si="3"/>
        <v>-9</v>
      </c>
      <c r="N10" s="2"/>
      <c r="O10" s="2"/>
    </row>
    <row r="11" spans="1:15">
      <c r="A11" s="4">
        <v>4113</v>
      </c>
      <c r="B11" t="s">
        <v>381</v>
      </c>
      <c r="C11" s="229">
        <f>IFERROR(GETPIVOTDATA("Sum of qty",PT!$A$17,"product",A11,"FL/AZ","TX"),0)</f>
        <v>120</v>
      </c>
      <c r="D11" s="125">
        <v>3</v>
      </c>
      <c r="E11" s="18">
        <f t="shared" si="1"/>
        <v>360</v>
      </c>
      <c r="F11" s="2">
        <f t="shared" si="2"/>
        <v>0</v>
      </c>
      <c r="G11" s="1">
        <f>IFERROR(VLOOKUP(ROUND(A11,0),'[6]Alameda Capitalization'!$A:$M,13,0),0)</f>
        <v>0</v>
      </c>
      <c r="H11" s="2">
        <f t="shared" si="0"/>
        <v>0</v>
      </c>
      <c r="I11" s="349" t="s">
        <v>2339</v>
      </c>
      <c r="J11" s="349" t="s">
        <v>2342</v>
      </c>
      <c r="K11" s="349" t="s">
        <v>2341</v>
      </c>
      <c r="L11" s="326">
        <f>C11-IFERROR(VLOOKUP(A11,'[1]TX DL&amp;OH FG'!$A:$F,3,0),0)</f>
        <v>-90</v>
      </c>
      <c r="M11" s="326">
        <f t="shared" si="3"/>
        <v>-270</v>
      </c>
      <c r="N11" s="2"/>
      <c r="O11" s="2"/>
    </row>
    <row r="12" spans="1:15">
      <c r="A12" s="4">
        <v>4114</v>
      </c>
      <c r="B12" t="s">
        <v>510</v>
      </c>
      <c r="C12" s="229">
        <f>IFERROR(GETPIVOTDATA("Sum of qty",PT!$A$17,"product",A12,"FL/AZ","TX"),0)</f>
        <v>1</v>
      </c>
      <c r="D12" s="125">
        <v>1.5</v>
      </c>
      <c r="E12" s="18">
        <f t="shared" si="1"/>
        <v>1.5</v>
      </c>
      <c r="F12" s="2">
        <f t="shared" si="2"/>
        <v>0</v>
      </c>
      <c r="G12" s="1">
        <f>IFERROR(VLOOKUP(ROUND(A12,0),'[6]Alameda Capitalization'!$A:$M,13,0),0)</f>
        <v>0</v>
      </c>
      <c r="H12" s="2">
        <f t="shared" si="0"/>
        <v>0</v>
      </c>
      <c r="I12" s="349" t="s">
        <v>2339</v>
      </c>
      <c r="J12" s="349" t="s">
        <v>2342</v>
      </c>
      <c r="K12" s="349" t="s">
        <v>2341</v>
      </c>
      <c r="L12" s="326">
        <f>C12-IFERROR(VLOOKUP(A12,'[1]TX DL&amp;OH FG'!$A:$F,3,0),0)</f>
        <v>-1</v>
      </c>
      <c r="M12" s="326">
        <f t="shared" si="3"/>
        <v>-1.5</v>
      </c>
      <c r="N12" s="2"/>
      <c r="O12" s="2"/>
    </row>
    <row r="13" spans="1:15">
      <c r="A13" s="4">
        <v>4121</v>
      </c>
      <c r="B13" t="s">
        <v>612</v>
      </c>
      <c r="C13" s="229">
        <f>IFERROR(GETPIVOTDATA("Sum of qty",PT!$A$17,"product",A13,"FL/AZ","TX"),0)</f>
        <v>1187</v>
      </c>
      <c r="D13" s="125">
        <v>4</v>
      </c>
      <c r="E13" s="18">
        <f t="shared" si="1"/>
        <v>4748</v>
      </c>
      <c r="F13" s="2">
        <f t="shared" si="2"/>
        <v>0</v>
      </c>
      <c r="G13" s="1">
        <f>IFERROR(VLOOKUP(ROUND(A13,0),'[6]Alameda Capitalization'!$A:$M,13,0),0)</f>
        <v>0</v>
      </c>
      <c r="H13" s="2">
        <f t="shared" si="0"/>
        <v>0</v>
      </c>
      <c r="I13" s="349" t="s">
        <v>2339</v>
      </c>
      <c r="J13" s="349" t="s">
        <v>2343</v>
      </c>
      <c r="K13" s="349" t="s">
        <v>2341</v>
      </c>
      <c r="L13" s="326">
        <f>C13-IFERROR(VLOOKUP(A13,'[1]TX DL&amp;OH FG'!$A:$F,3,0),0)</f>
        <v>-147</v>
      </c>
      <c r="M13" s="326">
        <f t="shared" si="3"/>
        <v>-588</v>
      </c>
      <c r="N13" s="2"/>
      <c r="O13" s="2"/>
    </row>
    <row r="14" spans="1:15">
      <c r="A14" s="4">
        <v>4132</v>
      </c>
      <c r="B14" t="s">
        <v>558</v>
      </c>
      <c r="C14" s="229">
        <f>IFERROR(GETPIVOTDATA("Sum of qty",PT!$A$17,"product",A14,"FL/AZ","TX"),0)</f>
        <v>63</v>
      </c>
      <c r="D14" s="125">
        <v>4.5</v>
      </c>
      <c r="E14" s="18">
        <f t="shared" si="1"/>
        <v>283.5</v>
      </c>
      <c r="F14" s="2">
        <f t="shared" si="2"/>
        <v>0</v>
      </c>
      <c r="G14" s="1">
        <f>IFERROR(VLOOKUP(ROUND(A14,0),'[6]Alameda Capitalization'!$A:$M,13,0),0)</f>
        <v>0</v>
      </c>
      <c r="H14" s="2">
        <f t="shared" si="0"/>
        <v>0</v>
      </c>
      <c r="I14" s="349" t="s">
        <v>2339</v>
      </c>
      <c r="J14" s="349" t="s">
        <v>1431</v>
      </c>
      <c r="K14" s="349" t="s">
        <v>19</v>
      </c>
      <c r="L14" s="326">
        <f>C14-IFERROR(VLOOKUP(A14,'[1]TX DL&amp;OH FG'!$A:$F,3,0),0)</f>
        <v>-51</v>
      </c>
      <c r="M14" s="326">
        <f t="shared" si="3"/>
        <v>-229.5</v>
      </c>
      <c r="N14" s="2"/>
      <c r="O14" s="2"/>
    </row>
    <row r="15" spans="1:15">
      <c r="A15" s="4">
        <v>4134</v>
      </c>
      <c r="B15" t="s">
        <v>573</v>
      </c>
      <c r="C15" s="229">
        <f>IFERROR(GETPIVOTDATA("Sum of qty",PT!$A$17,"product",A15,"FL/AZ","TX"),0)</f>
        <v>8</v>
      </c>
      <c r="D15" s="125">
        <v>1.5</v>
      </c>
      <c r="E15" s="18">
        <f t="shared" si="1"/>
        <v>12</v>
      </c>
      <c r="F15" s="2">
        <f t="shared" si="2"/>
        <v>0</v>
      </c>
      <c r="G15" s="1">
        <f>IFERROR(VLOOKUP(ROUND(A15,0),'[6]Alameda Capitalization'!$A:$M,13,0),0)</f>
        <v>0</v>
      </c>
      <c r="H15" s="2">
        <f t="shared" si="0"/>
        <v>0</v>
      </c>
      <c r="I15" s="349" t="s">
        <v>2339</v>
      </c>
      <c r="J15" s="349" t="s">
        <v>1431</v>
      </c>
      <c r="K15" s="349" t="s">
        <v>19</v>
      </c>
      <c r="L15" s="326">
        <f>C15-IFERROR(VLOOKUP(A15,'[1]TX DL&amp;OH FG'!$A:$F,3,0),0)</f>
        <v>-33</v>
      </c>
      <c r="M15" s="326">
        <f t="shared" si="3"/>
        <v>-49.5</v>
      </c>
      <c r="N15" s="2"/>
      <c r="O15" s="2"/>
    </row>
    <row r="16" spans="1:15">
      <c r="A16" s="4">
        <v>4141</v>
      </c>
      <c r="B16" t="s">
        <v>466</v>
      </c>
      <c r="C16" s="229">
        <f>IFERROR(GETPIVOTDATA("Sum of qty",PT!$A$17,"product",A16,"FL/AZ","TX"),0)</f>
        <v>918</v>
      </c>
      <c r="D16" s="125">
        <v>4</v>
      </c>
      <c r="E16" s="18">
        <f t="shared" si="1"/>
        <v>3672</v>
      </c>
      <c r="F16" s="2">
        <f t="shared" si="2"/>
        <v>0</v>
      </c>
      <c r="G16" s="1">
        <f>IFERROR(VLOOKUP(ROUND(A16,0),'[6]Alameda Capitalization'!$A:$M,13,0),0)</f>
        <v>0</v>
      </c>
      <c r="H16" s="2">
        <f t="shared" si="0"/>
        <v>0</v>
      </c>
      <c r="I16" s="349" t="s">
        <v>2339</v>
      </c>
      <c r="J16" s="349" t="s">
        <v>680</v>
      </c>
      <c r="K16" s="349" t="s">
        <v>19</v>
      </c>
      <c r="L16" s="326">
        <f>C16-IFERROR(VLOOKUP(A16,'[1]TX DL&amp;OH FG'!$A:$F,3,0),0)</f>
        <v>-354</v>
      </c>
      <c r="M16" s="326">
        <f t="shared" si="3"/>
        <v>-1416</v>
      </c>
      <c r="N16" s="2"/>
      <c r="O16" s="2"/>
    </row>
    <row r="17" spans="1:15">
      <c r="A17" s="4">
        <v>4142</v>
      </c>
      <c r="B17" t="s">
        <v>302</v>
      </c>
      <c r="C17" s="229">
        <f>IFERROR(GETPIVOTDATA("Sum of qty",PT!$A$17,"product",A17,"FL/AZ","TX"),0)</f>
        <v>2171</v>
      </c>
      <c r="D17" s="125">
        <v>4.5</v>
      </c>
      <c r="E17" s="18">
        <f t="shared" si="1"/>
        <v>9769.5</v>
      </c>
      <c r="F17" s="2">
        <f t="shared" si="2"/>
        <v>0</v>
      </c>
      <c r="G17" s="1">
        <f>IFERROR(VLOOKUP(ROUND(A17,0),'[6]Alameda Capitalization'!$A:$M,13,0),0)</f>
        <v>0</v>
      </c>
      <c r="H17" s="2">
        <f t="shared" si="0"/>
        <v>0</v>
      </c>
      <c r="I17" s="349" t="s">
        <v>2339</v>
      </c>
      <c r="J17" s="349" t="s">
        <v>680</v>
      </c>
      <c r="K17" s="349" t="s">
        <v>19</v>
      </c>
      <c r="L17" s="326">
        <f>C17-IFERROR(VLOOKUP(A17,'[1]TX DL&amp;OH FG'!$A:$F,3,0),0)</f>
        <v>365</v>
      </c>
      <c r="M17" s="326">
        <f t="shared" si="3"/>
        <v>1642.5</v>
      </c>
      <c r="N17" s="2"/>
      <c r="O17" s="2"/>
    </row>
    <row r="18" spans="1:15">
      <c r="A18" s="4">
        <v>4143</v>
      </c>
      <c r="B18" t="s">
        <v>553</v>
      </c>
      <c r="C18" s="229">
        <f>IFERROR(GETPIVOTDATA("Sum of qty",PT!$A$17,"product",A18,"FL/AZ","TX"),0)</f>
        <v>1126</v>
      </c>
      <c r="D18" s="125">
        <v>3</v>
      </c>
      <c r="E18" s="18">
        <f t="shared" si="1"/>
        <v>3378</v>
      </c>
      <c r="F18" s="2">
        <f t="shared" si="2"/>
        <v>0</v>
      </c>
      <c r="G18" s="1">
        <f>IFERROR(VLOOKUP(ROUND(A18,0),'[6]Alameda Capitalization'!$A:$M,13,0),0)</f>
        <v>0</v>
      </c>
      <c r="H18" s="2">
        <f t="shared" si="0"/>
        <v>0</v>
      </c>
      <c r="I18" s="349" t="s">
        <v>2339</v>
      </c>
      <c r="J18" s="349" t="s">
        <v>680</v>
      </c>
      <c r="K18" s="349" t="s">
        <v>19</v>
      </c>
      <c r="L18" s="326">
        <f>C18-IFERROR(VLOOKUP(A18,'[1]TX DL&amp;OH FG'!$A:$F,3,0),0)</f>
        <v>151</v>
      </c>
      <c r="M18" s="326">
        <f t="shared" si="3"/>
        <v>453</v>
      </c>
      <c r="N18" s="2"/>
      <c r="O18" s="2"/>
    </row>
    <row r="19" spans="1:15">
      <c r="A19" s="4">
        <v>4147</v>
      </c>
      <c r="B19" t="s">
        <v>571</v>
      </c>
      <c r="C19" s="229">
        <f>IFERROR(GETPIVOTDATA("Sum of qty",PT!$A$17,"product",A19,"FL/AZ","TX"),0)</f>
        <v>191</v>
      </c>
      <c r="D19" s="125">
        <v>1.5</v>
      </c>
      <c r="E19" s="18">
        <f t="shared" si="1"/>
        <v>286.5</v>
      </c>
      <c r="F19" s="2">
        <f t="shared" si="2"/>
        <v>0</v>
      </c>
      <c r="G19" s="1">
        <f>IFERROR(VLOOKUP(ROUND(A19,0),'[6]Alameda Capitalization'!$A:$M,13,0),0)</f>
        <v>0</v>
      </c>
      <c r="H19" s="2">
        <f t="shared" si="0"/>
        <v>0</v>
      </c>
      <c r="I19" s="349" t="s">
        <v>2339</v>
      </c>
      <c r="J19" s="349" t="s">
        <v>680</v>
      </c>
      <c r="K19" s="349" t="s">
        <v>19</v>
      </c>
      <c r="L19" s="326">
        <f>C19-IFERROR(VLOOKUP(A19,'[1]TX DL&amp;OH FG'!$A:$F,3,0),0)</f>
        <v>-137</v>
      </c>
      <c r="M19" s="326">
        <f t="shared" si="3"/>
        <v>-205.5</v>
      </c>
      <c r="N19" s="2"/>
      <c r="O19" s="2"/>
    </row>
    <row r="20" spans="1:15">
      <c r="A20" s="4">
        <v>4151</v>
      </c>
      <c r="B20" t="s">
        <v>78</v>
      </c>
      <c r="C20" s="229">
        <f>IFERROR(GETPIVOTDATA("Sum of qty",PT!$A$17,"product",A20,"FL/AZ","TX"),0)</f>
        <v>560</v>
      </c>
      <c r="D20" s="125">
        <v>4</v>
      </c>
      <c r="E20" s="18">
        <f t="shared" si="1"/>
        <v>2240</v>
      </c>
      <c r="F20" s="2">
        <f t="shared" si="2"/>
        <v>0</v>
      </c>
      <c r="G20" s="1">
        <f>IFERROR(VLOOKUP(ROUND(A20,0),'[6]Alameda Capitalization'!$A:$M,13,0),0)</f>
        <v>0</v>
      </c>
      <c r="H20" s="2">
        <f t="shared" si="0"/>
        <v>0</v>
      </c>
      <c r="I20" s="349" t="s">
        <v>2339</v>
      </c>
      <c r="J20" s="349" t="s">
        <v>664</v>
      </c>
      <c r="K20" s="349" t="s">
        <v>19</v>
      </c>
      <c r="L20" s="326">
        <f>C20-IFERROR(VLOOKUP(A20,'[1]TX DL&amp;OH FG'!$A:$F,3,0),0)</f>
        <v>-454</v>
      </c>
      <c r="M20" s="326">
        <f t="shared" si="3"/>
        <v>-1816</v>
      </c>
      <c r="N20" s="2"/>
      <c r="O20" s="2"/>
    </row>
    <row r="21" spans="1:15">
      <c r="A21" s="4">
        <v>4152</v>
      </c>
      <c r="B21" t="s">
        <v>591</v>
      </c>
      <c r="C21" s="229">
        <f>IFERROR(GETPIVOTDATA("Sum of qty",PT!$A$17,"product",A21,"FL/AZ","TX"),0)</f>
        <v>6184</v>
      </c>
      <c r="D21" s="125">
        <v>4.5</v>
      </c>
      <c r="E21" s="18">
        <f t="shared" si="1"/>
        <v>27828</v>
      </c>
      <c r="F21" s="2">
        <f t="shared" si="2"/>
        <v>0</v>
      </c>
      <c r="G21" s="1">
        <f>IFERROR(VLOOKUP(ROUND(A21,0),'[6]Alameda Capitalization'!$A:$M,13,0),0)</f>
        <v>0</v>
      </c>
      <c r="H21" s="2">
        <f t="shared" si="0"/>
        <v>0</v>
      </c>
      <c r="I21" s="349" t="s">
        <v>2339</v>
      </c>
      <c r="J21" s="349" t="s">
        <v>664</v>
      </c>
      <c r="K21" s="349" t="s">
        <v>23</v>
      </c>
      <c r="L21" s="326">
        <f>C21-IFERROR(VLOOKUP(A21,'[1]TX DL&amp;OH FG'!$A:$F,3,0),0)</f>
        <v>1782</v>
      </c>
      <c r="M21" s="326">
        <f t="shared" si="3"/>
        <v>8019</v>
      </c>
      <c r="N21" s="2"/>
      <c r="O21" s="2"/>
    </row>
    <row r="22" spans="1:15">
      <c r="A22" s="4">
        <v>4153</v>
      </c>
      <c r="B22" t="s">
        <v>611</v>
      </c>
      <c r="C22" s="229">
        <f>IFERROR(GETPIVOTDATA("Sum of qty",PT!$A$17,"product",A22,"FL/AZ","TX"),0)</f>
        <v>2646</v>
      </c>
      <c r="D22" s="125">
        <v>3</v>
      </c>
      <c r="E22" s="18">
        <f t="shared" si="1"/>
        <v>7938</v>
      </c>
      <c r="F22" s="2">
        <f t="shared" si="2"/>
        <v>0</v>
      </c>
      <c r="G22" s="1">
        <f>IFERROR(VLOOKUP(ROUND(A22,0),'[6]Alameda Capitalization'!$A:$M,13,0),0)</f>
        <v>0</v>
      </c>
      <c r="H22" s="2">
        <f t="shared" si="0"/>
        <v>0</v>
      </c>
      <c r="I22" s="349" t="s">
        <v>2339</v>
      </c>
      <c r="J22" s="349" t="s">
        <v>664</v>
      </c>
      <c r="K22" s="349" t="s">
        <v>19</v>
      </c>
      <c r="L22" s="326">
        <f>C22-IFERROR(VLOOKUP(A22,'[1]TX DL&amp;OH FG'!$A:$F,3,0),0)</f>
        <v>-1271</v>
      </c>
      <c r="M22" s="326">
        <f t="shared" si="3"/>
        <v>-3813</v>
      </c>
      <c r="N22" s="2"/>
      <c r="O22" s="2"/>
    </row>
    <row r="23" spans="1:15">
      <c r="A23" s="4">
        <v>4157</v>
      </c>
      <c r="B23" t="s">
        <v>635</v>
      </c>
      <c r="C23" s="229">
        <f>IFERROR(GETPIVOTDATA("Sum of qty",PT!$A$17,"product",A23,"FL/AZ","TX"),0)</f>
        <v>283</v>
      </c>
      <c r="D23" s="125">
        <v>1.5</v>
      </c>
      <c r="E23" s="18">
        <f t="shared" si="1"/>
        <v>424.5</v>
      </c>
      <c r="F23" s="2">
        <f t="shared" si="2"/>
        <v>0</v>
      </c>
      <c r="G23" s="1">
        <f>IFERROR(VLOOKUP(ROUND(A23,0),'[6]Alameda Capitalization'!$A:$M,13,0),0)</f>
        <v>0</v>
      </c>
      <c r="H23" s="2">
        <f t="shared" si="0"/>
        <v>0</v>
      </c>
      <c r="I23" s="349" t="s">
        <v>2339</v>
      </c>
      <c r="J23" s="349" t="s">
        <v>664</v>
      </c>
      <c r="K23" s="349" t="s">
        <v>19</v>
      </c>
      <c r="L23" s="326">
        <f>C23-IFERROR(VLOOKUP(A23,'[1]TX DL&amp;OH FG'!$A:$F,3,0),0)</f>
        <v>-225</v>
      </c>
      <c r="M23" s="326">
        <f t="shared" si="3"/>
        <v>-337.5</v>
      </c>
      <c r="N23" s="2"/>
      <c r="O23" s="2"/>
    </row>
    <row r="24" spans="1:15">
      <c r="A24" s="4">
        <v>4161</v>
      </c>
      <c r="B24" t="s">
        <v>87</v>
      </c>
      <c r="C24" s="229">
        <f>IFERROR(GETPIVOTDATA("Sum of qty",PT!$A$17,"product",A24,"FL/AZ","TX"),0)</f>
        <v>792</v>
      </c>
      <c r="D24" s="125">
        <v>4</v>
      </c>
      <c r="E24" s="18">
        <f t="shared" si="1"/>
        <v>3168</v>
      </c>
      <c r="F24" s="2">
        <f t="shared" si="2"/>
        <v>0</v>
      </c>
      <c r="G24" s="1">
        <f>IFERROR(VLOOKUP(ROUND(A24,0),'[6]Alameda Capitalization'!$A:$M,13,0),0)</f>
        <v>0</v>
      </c>
      <c r="H24" s="2">
        <f t="shared" si="0"/>
        <v>0</v>
      </c>
      <c r="I24" s="349" t="s">
        <v>2339</v>
      </c>
      <c r="J24" s="349" t="s">
        <v>2344</v>
      </c>
      <c r="K24" s="349" t="s">
        <v>19</v>
      </c>
      <c r="L24" s="326">
        <f>C24-IFERROR(VLOOKUP(A24,'[1]TX DL&amp;OH FG'!$A:$F,3,0),0)</f>
        <v>18</v>
      </c>
      <c r="M24" s="326">
        <f t="shared" si="3"/>
        <v>72</v>
      </c>
      <c r="N24" s="2"/>
      <c r="O24" s="2"/>
    </row>
    <row r="25" spans="1:15">
      <c r="A25" s="4">
        <v>4175</v>
      </c>
      <c r="B25" t="s">
        <v>662</v>
      </c>
      <c r="C25" s="229">
        <f>IFERROR(GETPIVOTDATA("Sum of qty",PT!$A$17,"product",A25,"FL/AZ","TX"),0)</f>
        <v>753</v>
      </c>
      <c r="D25" s="125">
        <v>4.5</v>
      </c>
      <c r="E25" s="18">
        <f t="shared" si="1"/>
        <v>3388.5</v>
      </c>
      <c r="F25" s="2">
        <f t="shared" si="2"/>
        <v>0</v>
      </c>
      <c r="G25" s="1">
        <f>IFERROR(VLOOKUP(ROUND(A25,0),'[6]Alameda Capitalization'!$A:$M,13,0),0)</f>
        <v>0</v>
      </c>
      <c r="H25" s="2">
        <f t="shared" si="0"/>
        <v>0</v>
      </c>
      <c r="I25" s="349" t="s">
        <v>2345</v>
      </c>
      <c r="J25" s="349" t="s">
        <v>1431</v>
      </c>
      <c r="K25" s="349" t="s">
        <v>19</v>
      </c>
      <c r="L25" s="326">
        <f>C25-IFERROR(VLOOKUP(A25,'[1]TX DL&amp;OH FG'!$A:$F,3,0),0)</f>
        <v>60</v>
      </c>
      <c r="M25" s="326">
        <f t="shared" si="3"/>
        <v>270</v>
      </c>
      <c r="N25" s="2"/>
      <c r="O25" s="2"/>
    </row>
    <row r="26" spans="1:15">
      <c r="A26" s="4">
        <v>4177</v>
      </c>
      <c r="B26" t="s">
        <v>671</v>
      </c>
      <c r="C26" s="229">
        <f>IFERROR(GETPIVOTDATA("Sum of qty",PT!$A$17,"product",A26,"FL/AZ","TX"),0)</f>
        <v>2605</v>
      </c>
      <c r="D26" s="125">
        <v>4</v>
      </c>
      <c r="E26" s="18">
        <f t="shared" si="1"/>
        <v>10420</v>
      </c>
      <c r="F26" s="2">
        <f t="shared" si="2"/>
        <v>0</v>
      </c>
      <c r="G26" s="1">
        <f>IFERROR(VLOOKUP(ROUND(A26,0),'[6]Alameda Capitalization'!$A:$M,13,0),0)</f>
        <v>0</v>
      </c>
      <c r="H26" s="2">
        <f t="shared" si="0"/>
        <v>0</v>
      </c>
      <c r="I26" s="349" t="s">
        <v>2345</v>
      </c>
      <c r="J26" s="349" t="s">
        <v>1431</v>
      </c>
      <c r="K26" s="349" t="s">
        <v>19</v>
      </c>
      <c r="L26" s="326">
        <f>C26-IFERROR(VLOOKUP(A26,'[1]TX DL&amp;OH FG'!$A:$F,3,0),0)</f>
        <v>681</v>
      </c>
      <c r="M26" s="326">
        <f t="shared" si="3"/>
        <v>2724</v>
      </c>
      <c r="N26" s="2"/>
      <c r="O26" s="2"/>
    </row>
    <row r="27" spans="1:15">
      <c r="A27" s="4">
        <v>5170</v>
      </c>
      <c r="B27" t="s">
        <v>548</v>
      </c>
      <c r="C27" s="229">
        <f>IFERROR(GETPIVOTDATA("Sum of qty",PT!$A$17,"product",A27,"FL/AZ","TX"),0)</f>
        <v>4062</v>
      </c>
      <c r="D27" s="125">
        <v>4</v>
      </c>
      <c r="E27" s="18">
        <f t="shared" si="1"/>
        <v>16248</v>
      </c>
      <c r="F27" s="2">
        <f t="shared" si="2"/>
        <v>0</v>
      </c>
      <c r="G27" s="1">
        <f>IFERROR(VLOOKUP(ROUND(A27,0),'[6]Alameda Capitalization'!$A:$M,13,0),0)</f>
        <v>0</v>
      </c>
      <c r="H27" s="2">
        <f t="shared" si="0"/>
        <v>0</v>
      </c>
      <c r="I27" s="349" t="s">
        <v>2345</v>
      </c>
      <c r="J27" s="349" t="s">
        <v>1431</v>
      </c>
      <c r="K27" s="349" t="s">
        <v>2346</v>
      </c>
      <c r="L27" s="326">
        <f>C27-IFERROR(VLOOKUP(A27,'[1]TX DL&amp;OH FG'!$A:$F,3,0),0)</f>
        <v>-1520</v>
      </c>
      <c r="M27" s="326">
        <f t="shared" si="3"/>
        <v>-6080</v>
      </c>
      <c r="N27" s="2"/>
      <c r="O27" s="2"/>
    </row>
    <row r="28" spans="1:15">
      <c r="A28" s="4">
        <v>6105</v>
      </c>
      <c r="B28" t="s">
        <v>163</v>
      </c>
      <c r="C28" s="229">
        <f>IFERROR(GETPIVOTDATA("Sum of qty",PT!$A$17,"product",A28,"FL/AZ","TX"),0)</f>
        <v>0</v>
      </c>
      <c r="D28" s="125">
        <v>3.125</v>
      </c>
      <c r="E28" s="18">
        <f t="shared" si="1"/>
        <v>0</v>
      </c>
      <c r="F28" s="2">
        <f t="shared" si="2"/>
        <v>0</v>
      </c>
      <c r="G28" s="1">
        <f>IFERROR(VLOOKUP(ROUND(A28,0),'[6]Alameda Capitalization'!$A:$M,13,0),0)</f>
        <v>0</v>
      </c>
      <c r="H28" s="2">
        <f t="shared" si="0"/>
        <v>0</v>
      </c>
      <c r="I28" s="349" t="s">
        <v>2339</v>
      </c>
      <c r="J28" s="349" t="s">
        <v>2340</v>
      </c>
      <c r="K28" s="349" t="s">
        <v>2341</v>
      </c>
      <c r="L28" s="326">
        <f>C28-IFERROR(VLOOKUP(A28,'[1]TX DL&amp;OH FG'!$A:$F,3,0),0)</f>
        <v>0</v>
      </c>
      <c r="M28" s="326">
        <f t="shared" si="3"/>
        <v>0</v>
      </c>
      <c r="N28" s="2"/>
      <c r="O28" s="2"/>
    </row>
    <row r="29" spans="1:15">
      <c r="A29" s="4">
        <v>6196</v>
      </c>
      <c r="B29" t="s">
        <v>2778</v>
      </c>
      <c r="C29" s="229">
        <f>IFERROR(GETPIVOTDATA("Sum of qty",PT!$A$17,"product",A29,"FL/AZ","TX"),0)</f>
        <v>0</v>
      </c>
      <c r="D29" s="125">
        <v>1.5</v>
      </c>
      <c r="E29" s="18">
        <f>C29*D29</f>
        <v>0</v>
      </c>
      <c r="F29" s="2">
        <f t="shared" ref="F29" si="4">IF(I29="FZN",E29,0)</f>
        <v>0</v>
      </c>
      <c r="G29" s="1">
        <f>IFERROR(VLOOKUP(ROUND(A29,0),'[6]Alameda Capitalization'!$A:$M,13,0),0)</f>
        <v>0</v>
      </c>
      <c r="H29" s="2">
        <f t="shared" ref="H29" si="5">G29*C29</f>
        <v>0</v>
      </c>
      <c r="I29" s="349" t="s">
        <v>2339</v>
      </c>
      <c r="J29" s="349" t="s">
        <v>2340</v>
      </c>
      <c r="K29" s="380" t="s">
        <v>2341</v>
      </c>
      <c r="L29" s="326">
        <f>C29-IFERROR(VLOOKUP(A29,'[1]TX DL&amp;OH FG'!$A:$F,3,0),0)</f>
        <v>0</v>
      </c>
      <c r="M29" s="326">
        <f t="shared" ref="M29" si="6">L29*D29</f>
        <v>0</v>
      </c>
      <c r="N29" s="2"/>
      <c r="O29" s="2"/>
    </row>
    <row r="30" spans="1:15">
      <c r="A30" s="4" t="s">
        <v>2347</v>
      </c>
      <c r="B30" t="s">
        <v>2348</v>
      </c>
      <c r="C30" s="229">
        <f>IFERROR(GETPIVOTDATA("Sum of qty",PT!$A$17,"product",A30,"FL/AZ","TX"),0)</f>
        <v>0</v>
      </c>
      <c r="D30" s="125">
        <v>270</v>
      </c>
      <c r="E30" s="18">
        <f>C30*D30</f>
        <v>0</v>
      </c>
      <c r="F30" s="2">
        <f>IF(I30="FZN",E30,0)</f>
        <v>0</v>
      </c>
      <c r="G30" s="1">
        <f>IFERROR(VLOOKUP(ROUND(A30,0),'[6]Alameda Capitalization'!$A:$M,13,0),0)</f>
        <v>0</v>
      </c>
      <c r="H30" s="2">
        <f t="shared" ref="H30" si="7">G30*C30</f>
        <v>0</v>
      </c>
      <c r="I30" s="349" t="s">
        <v>2345</v>
      </c>
      <c r="J30" s="349" t="s">
        <v>1431</v>
      </c>
      <c r="K30" s="349" t="s">
        <v>19</v>
      </c>
      <c r="L30" s="326">
        <f>C30-IFERROR(VLOOKUP(A30,'[1]TX DL&amp;OH FG'!$A:$F,3,0),0)</f>
        <v>0</v>
      </c>
      <c r="M30" s="326">
        <f>L30*D30</f>
        <v>0</v>
      </c>
      <c r="N30" s="2"/>
      <c r="O30" s="2"/>
    </row>
    <row r="31" spans="1:15">
      <c r="A31" s="4" t="s">
        <v>651</v>
      </c>
      <c r="B31" t="s">
        <v>652</v>
      </c>
      <c r="C31" s="229">
        <f>IFERROR(GETPIVOTDATA("Sum of qty",PT!$A$17,"product",A31,"FL/AZ","TX"),0)</f>
        <v>9703</v>
      </c>
      <c r="D31" s="125">
        <v>1.5</v>
      </c>
      <c r="E31" s="18">
        <f t="shared" si="1"/>
        <v>14554.5</v>
      </c>
      <c r="F31" s="2">
        <f t="shared" si="2"/>
        <v>0</v>
      </c>
      <c r="G31" s="1">
        <f>IFERROR(VLOOKUP(ROUND(A31,0),'[6]Alameda Capitalization'!$A:$M,13,0),0)</f>
        <v>0</v>
      </c>
      <c r="H31" s="2">
        <f t="shared" si="0"/>
        <v>0</v>
      </c>
      <c r="I31" s="349" t="s">
        <v>2345</v>
      </c>
      <c r="J31" s="349" t="s">
        <v>2344</v>
      </c>
      <c r="K31" s="349" t="s">
        <v>19</v>
      </c>
      <c r="L31" s="326">
        <f>C31-IFERROR(VLOOKUP(A31,'[1]TX DL&amp;OH FG'!$A:$F,3,0),0)</f>
        <v>4716</v>
      </c>
      <c r="M31" s="326">
        <f t="shared" si="3"/>
        <v>7074</v>
      </c>
      <c r="N31" s="2"/>
      <c r="O31" s="2"/>
    </row>
    <row r="32" spans="1:15">
      <c r="A32" s="4"/>
      <c r="F32" s="2"/>
    </row>
    <row r="33" spans="1:14" s="25" customFormat="1">
      <c r="A33" s="24"/>
      <c r="B33" s="15" t="s">
        <v>1776</v>
      </c>
      <c r="C33" s="14">
        <f>SUM(C7:C31)</f>
        <v>34057</v>
      </c>
      <c r="D33" s="42"/>
      <c r="F33" s="26"/>
      <c r="G33"/>
      <c r="H33"/>
      <c r="I33"/>
      <c r="J33"/>
      <c r="K33"/>
      <c r="L33" s="327"/>
      <c r="M33" s="327"/>
    </row>
    <row r="34" spans="1:14" ht="13.5" thickBot="1">
      <c r="A34" s="4"/>
      <c r="B34" s="15" t="s">
        <v>1777</v>
      </c>
      <c r="C34" s="18" t="s">
        <v>1133</v>
      </c>
      <c r="D34" s="43"/>
      <c r="E34" s="13">
        <f>SUM(E7:E31)</f>
        <v>111354.5</v>
      </c>
      <c r="F34" s="13">
        <f>SUM(F7:F31)</f>
        <v>0</v>
      </c>
      <c r="H34" s="312">
        <f>SUM(H7:H33)</f>
        <v>0</v>
      </c>
      <c r="I34" s="348"/>
      <c r="J34" s="348"/>
      <c r="K34" s="348"/>
      <c r="M34" s="328">
        <f>SUM(M7:M31)</f>
        <v>2157.5</v>
      </c>
      <c r="N34" s="15" t="s">
        <v>1778</v>
      </c>
    </row>
    <row r="35" spans="1:14">
      <c r="A35" s="4"/>
      <c r="E35" s="1"/>
      <c r="F35" s="2"/>
      <c r="H35" s="274">
        <v>0</v>
      </c>
      <c r="I35" s="274"/>
      <c r="J35" s="274"/>
      <c r="K35" s="274"/>
    </row>
    <row r="36" spans="1:14">
      <c r="A36" s="4"/>
      <c r="B36" s="157" t="s">
        <v>2349</v>
      </c>
      <c r="E36" s="1">
        <f>'AZ DL&amp;OH FG'!E390</f>
        <v>1.6517687712885343</v>
      </c>
      <c r="F36" s="2" t="s">
        <v>1133</v>
      </c>
      <c r="H36" s="18">
        <f>H34-H35</f>
        <v>0</v>
      </c>
      <c r="I36" s="18"/>
      <c r="J36" s="18"/>
      <c r="K36" s="18"/>
    </row>
    <row r="37" spans="1:14" ht="13.5" thickBot="1">
      <c r="A37" s="4"/>
      <c r="B37" s="157" t="s">
        <v>2350</v>
      </c>
      <c r="E37" s="1">
        <f>'FL DL&amp;OH FG'!C376</f>
        <v>1.24405058563681</v>
      </c>
      <c r="F37" s="2"/>
      <c r="H37" s="18"/>
      <c r="I37" s="18"/>
      <c r="J37" s="18"/>
      <c r="K37" s="18"/>
    </row>
    <row r="38" spans="1:14" ht="13.5" thickBot="1">
      <c r="A38" s="4"/>
      <c r="B38" s="15" t="s">
        <v>1780</v>
      </c>
      <c r="E38" s="210">
        <f>(SUMIF(K7:K31,"AZ",E7:E31)*E36)+(SUMIF(K7:K31,"FL",E7:E31)*E37)</f>
        <v>120029.97298330482</v>
      </c>
      <c r="F38"/>
      <c r="M38" s="331"/>
    </row>
    <row r="39" spans="1:14" ht="15" customHeight="1">
      <c r="E39" s="127">
        <v>101349.80422298766</v>
      </c>
      <c r="M39" s="331"/>
    </row>
    <row r="40" spans="1:14" ht="15" customHeight="1">
      <c r="E40" s="379">
        <f>E38-E39</f>
        <v>18680.168760317159</v>
      </c>
      <c r="L40"/>
      <c r="M40" s="157"/>
    </row>
    <row r="41" spans="1:14" ht="15" customHeight="1">
      <c r="E41" s="378"/>
      <c r="L41"/>
      <c r="M41" s="157"/>
    </row>
    <row r="42" spans="1:14">
      <c r="A42" s="85" t="s">
        <v>2351</v>
      </c>
      <c r="C42" s="96" t="s">
        <v>1781</v>
      </c>
      <c r="D42" s="44" t="s">
        <v>1782</v>
      </c>
      <c r="E42" s="145">
        <f>+'AZ WIP'!K211</f>
        <v>45838</v>
      </c>
      <c r="F42" s="146">
        <f>+'AZ WIP'!K210</f>
        <v>45869</v>
      </c>
      <c r="G42" s="27" t="s">
        <v>811</v>
      </c>
      <c r="M42" s="331"/>
    </row>
    <row r="43" spans="1:14">
      <c r="A43" s="439" t="s">
        <v>1783</v>
      </c>
      <c r="B43" s="439"/>
      <c r="C43" s="2">
        <f>SUMIF($J$7:$J$31,"Orange Juice",$E$7:$E$31)</f>
        <v>2634</v>
      </c>
      <c r="D43" s="169">
        <v>0</v>
      </c>
      <c r="E43" s="127">
        <v>0</v>
      </c>
      <c r="F43" s="267">
        <f>C43*D43</f>
        <v>0</v>
      </c>
      <c r="G43" s="18">
        <f t="shared" ref="G43:G47" si="8">F43-E43</f>
        <v>0</v>
      </c>
      <c r="H43" s="15"/>
      <c r="I43" s="15"/>
      <c r="J43" s="15"/>
      <c r="K43" s="15"/>
    </row>
    <row r="44" spans="1:14">
      <c r="A44" s="439" t="s">
        <v>1784</v>
      </c>
      <c r="B44" s="439"/>
      <c r="C44" s="2">
        <f>SUMIF($J$7:$J$31,"Lemon Juice",$E$7:$E$31)+SUMIF($J$7:$J$31,"Lemonade",$E$7:$E$31)</f>
        <v>47458</v>
      </c>
      <c r="D44" s="169">
        <v>0</v>
      </c>
      <c r="E44" s="127">
        <v>0</v>
      </c>
      <c r="F44" s="267">
        <f>C44*D44</f>
        <v>0</v>
      </c>
      <c r="G44" s="18">
        <f>F44-E44</f>
        <v>0</v>
      </c>
      <c r="H44" s="15"/>
      <c r="I44" s="15"/>
      <c r="J44" s="15"/>
      <c r="K44" s="15"/>
      <c r="L44" s="329"/>
    </row>
    <row r="45" spans="1:14">
      <c r="A45" s="439" t="s">
        <v>1785</v>
      </c>
      <c r="B45" s="439"/>
      <c r="C45" s="2">
        <f>SUMIF($J$7:$J$31,"Lime Juice",$E$7:$E$31)+SUMIF($J$7:$J$31,"Citrus &amp; Bar Mixes",$E$7:$E$31)</f>
        <v>56153</v>
      </c>
      <c r="D45" s="169">
        <v>0</v>
      </c>
      <c r="E45" s="127">
        <v>0</v>
      </c>
      <c r="F45" s="267">
        <f>C45*D45</f>
        <v>0</v>
      </c>
      <c r="G45" s="18">
        <f t="shared" si="8"/>
        <v>0</v>
      </c>
      <c r="H45" s="15"/>
      <c r="I45" s="15"/>
      <c r="J45" s="15"/>
      <c r="K45" s="15"/>
      <c r="M45" s="241"/>
    </row>
    <row r="46" spans="1:14">
      <c r="A46" s="439" t="s">
        <v>1786</v>
      </c>
      <c r="B46" s="439"/>
      <c r="C46" s="2">
        <f>SUMIF($J$7:$J$31,"Grapefruit Juice",$E$7:$E$31)</f>
        <v>361.5</v>
      </c>
      <c r="D46" s="169">
        <v>0</v>
      </c>
      <c r="E46" s="127">
        <v>0</v>
      </c>
      <c r="F46" s="267">
        <f>C46*D46</f>
        <v>0</v>
      </c>
      <c r="G46" s="18">
        <f t="shared" si="8"/>
        <v>0</v>
      </c>
      <c r="H46" s="15"/>
      <c r="I46" s="15"/>
      <c r="J46" s="15"/>
      <c r="K46" s="15"/>
    </row>
    <row r="47" spans="1:14">
      <c r="A47" s="443" t="s">
        <v>2352</v>
      </c>
      <c r="B47" s="439"/>
      <c r="C47" s="116">
        <f>SUMIF($J$7:$J$31,"Apple Juice",$E$7:$E$31)</f>
        <v>4748</v>
      </c>
      <c r="D47" s="311">
        <v>0</v>
      </c>
      <c r="E47" s="128">
        <v>0</v>
      </c>
      <c r="F47" s="268">
        <f>C47*D47</f>
        <v>0</v>
      </c>
      <c r="G47" s="30">
        <f t="shared" si="8"/>
        <v>0</v>
      </c>
      <c r="H47" s="15"/>
      <c r="I47" s="15"/>
      <c r="J47" s="15"/>
      <c r="K47" s="15"/>
    </row>
    <row r="48" spans="1:14">
      <c r="B48" t="s">
        <v>1788</v>
      </c>
      <c r="C48" s="8">
        <f>SUM(C43:C47)</f>
        <v>111354.5</v>
      </c>
      <c r="E48" s="10">
        <f>SUM(E43:E47)</f>
        <v>0</v>
      </c>
      <c r="F48" s="273">
        <f>SUM(F43:F47)</f>
        <v>0</v>
      </c>
      <c r="G48" s="10">
        <f>F48-E48</f>
        <v>0</v>
      </c>
      <c r="H48" s="15"/>
      <c r="I48" s="15"/>
      <c r="J48" s="15"/>
      <c r="K48" s="15"/>
      <c r="M48" s="330"/>
    </row>
    <row r="51" spans="1:7">
      <c r="A51" s="85" t="s">
        <v>2353</v>
      </c>
      <c r="C51" s="96" t="s">
        <v>1781</v>
      </c>
      <c r="D51" s="44" t="s">
        <v>1782</v>
      </c>
      <c r="E51" s="145">
        <f>E42</f>
        <v>45838</v>
      </c>
      <c r="F51" s="146">
        <f>F42</f>
        <v>45869</v>
      </c>
      <c r="G51" s="27" t="s">
        <v>811</v>
      </c>
    </row>
    <row r="52" spans="1:7">
      <c r="A52" s="439" t="s">
        <v>1789</v>
      </c>
      <c r="B52" s="439"/>
      <c r="C52" s="2">
        <f>SUMIF($J$7:$J$31,"Orange Juice",$E$7:$E$31)</f>
        <v>2634</v>
      </c>
      <c r="D52" s="169">
        <v>0</v>
      </c>
      <c r="E52" s="127">
        <v>0</v>
      </c>
      <c r="F52" s="267">
        <f>C52*D52</f>
        <v>0</v>
      </c>
      <c r="G52" s="18">
        <f>F52-E52</f>
        <v>0</v>
      </c>
    </row>
    <row r="53" spans="1:7">
      <c r="A53" s="439" t="s">
        <v>1790</v>
      </c>
      <c r="B53" s="439"/>
      <c r="C53" s="2">
        <f>SUMIF($J$7:$J$31,"Lemon Juice",$E$7:$E$31)+SUMIF($J$7:$J$31,"Lemonade",$E$7:$E$31)</f>
        <v>47458</v>
      </c>
      <c r="D53" s="169">
        <v>0</v>
      </c>
      <c r="E53" s="127">
        <v>0</v>
      </c>
      <c r="F53" s="267">
        <f>C53*D53</f>
        <v>0</v>
      </c>
      <c r="G53" s="18">
        <f>F53-E53</f>
        <v>0</v>
      </c>
    </row>
    <row r="54" spans="1:7">
      <c r="A54" s="439" t="s">
        <v>1791</v>
      </c>
      <c r="B54" s="439"/>
      <c r="C54" s="2">
        <f>SUMIF($J$7:$J$31,"Lime Juice",$E$7:$E$31)+SUMIF($J$7:$J$31,"Citrus &amp; Bar Mixes",$E$7:$E$31)</f>
        <v>56153</v>
      </c>
      <c r="D54" s="169">
        <v>0</v>
      </c>
      <c r="E54" s="127">
        <v>0</v>
      </c>
      <c r="F54" s="267">
        <f>C54*D54</f>
        <v>0</v>
      </c>
      <c r="G54" s="18">
        <f t="shared" ref="G54:G56" si="9">F54-E54</f>
        <v>0</v>
      </c>
    </row>
    <row r="55" spans="1:7">
      <c r="A55" s="439" t="s">
        <v>1792</v>
      </c>
      <c r="B55" s="439"/>
      <c r="C55" s="2">
        <f>SUMIF($J$7:$J$31,"Grapefruit Juice",$E$7:$E$31)</f>
        <v>361.5</v>
      </c>
      <c r="D55" s="169">
        <v>0</v>
      </c>
      <c r="E55" s="127">
        <v>0</v>
      </c>
      <c r="F55" s="267">
        <f>C55*D55</f>
        <v>0</v>
      </c>
      <c r="G55" s="18">
        <f t="shared" ref="G55" si="10">F55-E55</f>
        <v>0</v>
      </c>
    </row>
    <row r="56" spans="1:7">
      <c r="A56" s="443" t="s">
        <v>2354</v>
      </c>
      <c r="B56" s="439"/>
      <c r="C56" s="116">
        <f>SUMIF($J$7:$J$31,"Apple Juice",$E$7:$E$31)</f>
        <v>4748</v>
      </c>
      <c r="D56" s="169">
        <v>0</v>
      </c>
      <c r="E56" s="127">
        <v>0</v>
      </c>
      <c r="F56" s="267">
        <f>C56*D56</f>
        <v>0</v>
      </c>
      <c r="G56" s="18">
        <f t="shared" si="9"/>
        <v>0</v>
      </c>
    </row>
    <row r="57" spans="1:7">
      <c r="B57" s="157" t="s">
        <v>1793</v>
      </c>
      <c r="C57" s="270">
        <f>SUM(C52:C56)</f>
        <v>111354.5</v>
      </c>
      <c r="D57" s="271"/>
      <c r="E57" s="272">
        <f>SUM(E52:E56)</f>
        <v>0</v>
      </c>
      <c r="F57" s="272">
        <f>SUM(F52:F56)</f>
        <v>0</v>
      </c>
      <c r="G57" s="273">
        <f>SUM(G52:G56)</f>
        <v>0</v>
      </c>
    </row>
    <row r="58" spans="1:7">
      <c r="G58" s="18"/>
    </row>
  </sheetData>
  <mergeCells count="13">
    <mergeCell ref="A56:B56"/>
    <mergeCell ref="A55:B55"/>
    <mergeCell ref="A1:F1"/>
    <mergeCell ref="A2:F2"/>
    <mergeCell ref="A3:F3"/>
    <mergeCell ref="A43:B43"/>
    <mergeCell ref="A44:B44"/>
    <mergeCell ref="A45:B45"/>
    <mergeCell ref="A46:B46"/>
    <mergeCell ref="A47:B47"/>
    <mergeCell ref="A52:B52"/>
    <mergeCell ref="A53:B53"/>
    <mergeCell ref="A54:B54"/>
  </mergeCells>
  <conditionalFormatting sqref="M7:M31">
    <cfRule type="top10" dxfId="4" priority="17" rank="10"/>
    <cfRule type="top10" dxfId="3" priority="18" bottom="1" rank="10"/>
  </conditionalFormatting>
  <pageMargins left="0.5" right="0.5" top="0.5" bottom="0.5" header="0.5" footer="0.5"/>
  <pageSetup scale="38" orientation="portrait" horizontalDpi="4294967292"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L42"/>
  <sheetViews>
    <sheetView topLeftCell="H1" workbookViewId="0">
      <selection activeCell="N52" sqref="N52"/>
    </sheetView>
  </sheetViews>
  <sheetFormatPr defaultColWidth="9.140625" defaultRowHeight="12.75"/>
  <cols>
    <col min="1" max="1" width="35.5703125" hidden="1" customWidth="1"/>
    <col min="2" max="2" width="13.140625" hidden="1" customWidth="1"/>
    <col min="3" max="4" width="16.28515625" hidden="1" customWidth="1"/>
    <col min="5" max="5" width="14" hidden="1" customWidth="1"/>
    <col min="6" max="6" width="12.7109375" hidden="1" customWidth="1"/>
    <col min="7" max="7" width="17.28515625" hidden="1" customWidth="1"/>
    <col min="8" max="8" width="14" customWidth="1"/>
    <col min="9" max="9" width="14.85546875" bestFit="1" customWidth="1"/>
    <col min="10" max="10" width="16" bestFit="1" customWidth="1"/>
    <col min="11" max="11" width="13.5703125" customWidth="1"/>
    <col min="12" max="12" width="10.42578125" customWidth="1"/>
    <col min="13" max="14" width="9.140625" customWidth="1"/>
  </cols>
  <sheetData>
    <row r="1" spans="1:12">
      <c r="A1" s="435" t="s">
        <v>2355</v>
      </c>
      <c r="B1" s="435"/>
      <c r="C1" s="435"/>
      <c r="D1" s="435"/>
      <c r="E1" s="435"/>
      <c r="F1" s="435"/>
      <c r="G1" s="435"/>
      <c r="H1" s="435"/>
      <c r="I1" s="435"/>
      <c r="J1" s="435"/>
      <c r="K1" s="435"/>
    </row>
    <row r="2" spans="1:12">
      <c r="A2" s="435" t="s">
        <v>2356</v>
      </c>
      <c r="B2" s="435"/>
      <c r="C2" s="435"/>
      <c r="D2" s="435"/>
      <c r="E2" s="435"/>
      <c r="F2" s="435"/>
      <c r="G2" s="435"/>
      <c r="H2" s="435"/>
      <c r="I2" s="435"/>
      <c r="J2" s="435"/>
      <c r="K2" s="435"/>
    </row>
    <row r="3" spans="1:12">
      <c r="A3" s="6" t="str">
        <f>'AZ WIP'!A3:F3</f>
        <v>As of July 31st 2025</v>
      </c>
      <c r="B3" s="6"/>
      <c r="C3" s="6"/>
      <c r="D3" s="6"/>
      <c r="E3" s="6"/>
      <c r="F3" s="6"/>
      <c r="G3" s="6"/>
      <c r="H3" s="435" t="str">
        <f>'AZ WIP'!A3</f>
        <v>As of July 31st 2025</v>
      </c>
      <c r="I3" s="435"/>
      <c r="J3" s="435"/>
      <c r="K3" s="435"/>
      <c r="L3" s="6"/>
    </row>
    <row r="6" spans="1:12" s="19" customFormat="1">
      <c r="B6" s="19">
        <v>1300</v>
      </c>
      <c r="C6" s="19">
        <v>1320</v>
      </c>
      <c r="D6" s="19">
        <v>1330</v>
      </c>
      <c r="E6" s="19">
        <v>1340</v>
      </c>
      <c r="F6" s="19">
        <v>1350</v>
      </c>
    </row>
    <row r="7" spans="1:12">
      <c r="B7" s="19" t="s">
        <v>2357</v>
      </c>
      <c r="C7" s="19" t="s">
        <v>2358</v>
      </c>
      <c r="D7" s="19" t="s">
        <v>2359</v>
      </c>
      <c r="E7" s="19"/>
      <c r="F7" s="19" t="s">
        <v>2360</v>
      </c>
      <c r="I7" s="19" t="s">
        <v>818</v>
      </c>
      <c r="J7" s="15" t="s">
        <v>818</v>
      </c>
      <c r="K7" s="15"/>
    </row>
    <row r="8" spans="1:12">
      <c r="A8" s="28"/>
      <c r="B8" s="27" t="s">
        <v>2361</v>
      </c>
      <c r="C8" s="27" t="s">
        <v>2362</v>
      </c>
      <c r="D8" s="27" t="s">
        <v>2363</v>
      </c>
      <c r="E8" s="27" t="s">
        <v>35</v>
      </c>
      <c r="F8" s="27" t="s">
        <v>2364</v>
      </c>
      <c r="G8" s="27" t="s">
        <v>822</v>
      </c>
      <c r="H8" s="28"/>
      <c r="I8" s="27" t="s">
        <v>35</v>
      </c>
      <c r="J8" s="27" t="s">
        <v>2365</v>
      </c>
      <c r="K8" s="27"/>
    </row>
    <row r="9" spans="1:12">
      <c r="I9" s="1"/>
      <c r="J9" s="1"/>
      <c r="K9" s="1"/>
    </row>
    <row r="10" spans="1:12">
      <c r="H10" t="s">
        <v>2366</v>
      </c>
      <c r="I10" s="117">
        <f>I$13/3</f>
        <v>0.22183333333333333</v>
      </c>
      <c r="J10" s="117">
        <f>J$13/3</f>
        <v>0.41673333333333334</v>
      </c>
      <c r="K10" s="1"/>
    </row>
    <row r="11" spans="1:12">
      <c r="H11" t="s">
        <v>2367</v>
      </c>
      <c r="I11" s="117">
        <f t="shared" ref="I11:J12" si="0">I$13/3</f>
        <v>0.22183333333333333</v>
      </c>
      <c r="J11" s="117">
        <f t="shared" si="0"/>
        <v>0.41673333333333334</v>
      </c>
      <c r="K11" s="1"/>
    </row>
    <row r="12" spans="1:12">
      <c r="H12" t="s">
        <v>2368</v>
      </c>
      <c r="I12" s="117">
        <f t="shared" si="0"/>
        <v>0.22183333333333333</v>
      </c>
      <c r="J12" s="117">
        <f t="shared" si="0"/>
        <v>0.41673333333333334</v>
      </c>
      <c r="K12" s="3"/>
    </row>
    <row r="13" spans="1:12">
      <c r="H13" s="15" t="s">
        <v>822</v>
      </c>
      <c r="I13" s="11">
        <v>0.66549999999999998</v>
      </c>
      <c r="J13" s="11">
        <v>1.2502</v>
      </c>
      <c r="K13" s="11"/>
    </row>
    <row r="14" spans="1:12">
      <c r="I14" s="1"/>
      <c r="J14" s="1"/>
      <c r="K14" s="1"/>
    </row>
    <row r="15" spans="1:12">
      <c r="A15" s="15" t="s">
        <v>2369</v>
      </c>
      <c r="B15" s="1"/>
      <c r="C15" s="1"/>
      <c r="D15" s="1"/>
      <c r="E15" s="1"/>
      <c r="F15" s="1">
        <v>485412.84</v>
      </c>
      <c r="G15" s="11">
        <f>SUM(B15:F15)</f>
        <v>485412.84</v>
      </c>
      <c r="H15" t="s">
        <v>2370</v>
      </c>
      <c r="I15" s="117">
        <v>645566.13198341418</v>
      </c>
      <c r="J15" s="117">
        <v>332338.59743224335</v>
      </c>
      <c r="K15" s="259"/>
      <c r="L15" s="157" t="s">
        <v>2371</v>
      </c>
    </row>
    <row r="16" spans="1:12">
      <c r="A16" s="15"/>
      <c r="B16" s="1"/>
      <c r="C16" s="1"/>
      <c r="D16" s="1"/>
      <c r="E16" s="1"/>
      <c r="F16" s="1"/>
      <c r="G16" s="11"/>
    </row>
    <row r="17" spans="1:11">
      <c r="A17" s="15" t="s">
        <v>2372</v>
      </c>
      <c r="B17" s="57"/>
      <c r="C17" s="57"/>
      <c r="D17" s="57"/>
      <c r="E17" s="57"/>
      <c r="F17" s="1"/>
      <c r="G17" s="11">
        <f>SUM(B17:F17)</f>
        <v>0</v>
      </c>
      <c r="I17" s="276">
        <v>610766.0928638404</v>
      </c>
      <c r="J17" s="276">
        <v>471678.85170931288</v>
      </c>
    </row>
    <row r="18" spans="1:11">
      <c r="A18" s="15" t="s">
        <v>2373</v>
      </c>
      <c r="B18" s="57"/>
      <c r="C18" s="57"/>
      <c r="D18" s="57"/>
      <c r="E18" s="57"/>
      <c r="F18" s="1"/>
      <c r="G18" s="11">
        <f>SUM(B18:F18)</f>
        <v>0</v>
      </c>
    </row>
    <row r="19" spans="1:11">
      <c r="A19" s="15" t="s">
        <v>2374</v>
      </c>
      <c r="B19" s="259">
        <f t="shared" ref="B19:G19" si="1">SUM(B15:B18)</f>
        <v>0</v>
      </c>
      <c r="C19" s="259">
        <f t="shared" si="1"/>
        <v>0</v>
      </c>
      <c r="D19" s="259">
        <f t="shared" si="1"/>
        <v>0</v>
      </c>
      <c r="E19" s="259">
        <f t="shared" si="1"/>
        <v>0</v>
      </c>
      <c r="F19" s="259">
        <f t="shared" si="1"/>
        <v>485412.84</v>
      </c>
      <c r="G19" s="10">
        <f t="shared" si="1"/>
        <v>485412.84</v>
      </c>
    </row>
    <row r="20" spans="1:11">
      <c r="A20" s="15"/>
      <c r="B20" s="1"/>
      <c r="C20" s="1"/>
      <c r="D20" s="1"/>
      <c r="E20" s="1"/>
      <c r="F20" s="1"/>
    </row>
    <row r="21" spans="1:11">
      <c r="A21" s="15" t="s">
        <v>2375</v>
      </c>
      <c r="B21" s="57"/>
      <c r="C21" s="57"/>
      <c r="D21" s="57"/>
      <c r="E21" s="57"/>
      <c r="F21" s="1">
        <v>387469.91110000003</v>
      </c>
      <c r="G21" s="11">
        <v>990882.32</v>
      </c>
      <c r="I21" s="197">
        <f>'AZ WIP'!F210</f>
        <v>600307.6576871227</v>
      </c>
      <c r="J21" s="197">
        <f>'AZ DL&amp;OH FG'!E391</f>
        <v>417983.63156834501</v>
      </c>
      <c r="K21" s="1"/>
    </row>
    <row r="22" spans="1:11">
      <c r="A22" s="15"/>
      <c r="B22" s="1"/>
      <c r="C22" s="1"/>
      <c r="D22" s="1"/>
      <c r="E22" s="1"/>
      <c r="F22" s="1"/>
    </row>
    <row r="23" spans="1:11">
      <c r="A23" s="15" t="s">
        <v>2376</v>
      </c>
      <c r="B23" s="1">
        <f>B19-B21</f>
        <v>0</v>
      </c>
      <c r="C23" s="1">
        <f>C19-C21</f>
        <v>0</v>
      </c>
      <c r="D23" s="1">
        <f>D19-D21</f>
        <v>0</v>
      </c>
      <c r="E23" s="1">
        <f>E19-E21</f>
        <v>0</v>
      </c>
      <c r="F23" s="1" t="s">
        <v>1133</v>
      </c>
      <c r="G23" s="10">
        <f>G19-G21</f>
        <v>-505469.47999999992</v>
      </c>
      <c r="I23" s="18">
        <f>I15-I21</f>
        <v>45258.474296291475</v>
      </c>
      <c r="J23" s="18">
        <f>J15-J21</f>
        <v>-85645.034136101662</v>
      </c>
      <c r="K23" s="18">
        <f>I23+J23</f>
        <v>-40386.559839810187</v>
      </c>
    </row>
    <row r="24" spans="1:11">
      <c r="A24" s="15"/>
      <c r="B24" s="1"/>
      <c r="C24" s="1"/>
      <c r="D24" s="1"/>
      <c r="E24" s="1"/>
      <c r="F24" s="1"/>
    </row>
    <row r="25" spans="1:11">
      <c r="A25" s="15" t="s">
        <v>2377</v>
      </c>
      <c r="B25" s="1"/>
      <c r="C25" s="57"/>
      <c r="D25" s="1"/>
      <c r="E25" s="1"/>
      <c r="F25" s="1"/>
      <c r="G25" s="11">
        <f>SUM(B25:F25)</f>
        <v>0</v>
      </c>
      <c r="H25" t="s">
        <v>2366</v>
      </c>
      <c r="I25" s="1">
        <f>(I10/I13)*I23</f>
        <v>15086.158098763824</v>
      </c>
      <c r="J25" s="1">
        <f>(J10/J13)*J23</f>
        <v>-28548.34471203389</v>
      </c>
      <c r="K25" s="18">
        <f>I25+J25</f>
        <v>-13462.186613270065</v>
      </c>
    </row>
    <row r="26" spans="1:11">
      <c r="H26" t="s">
        <v>2367</v>
      </c>
      <c r="I26" s="1">
        <f>(I11/I13)*I23</f>
        <v>15086.158098763824</v>
      </c>
      <c r="J26" s="1">
        <f>(J11/J13)*J23</f>
        <v>-28548.34471203389</v>
      </c>
      <c r="K26" s="18">
        <f>I26+J26</f>
        <v>-13462.186613270065</v>
      </c>
    </row>
    <row r="27" spans="1:11">
      <c r="A27" s="15"/>
      <c r="G27" s="10">
        <f>G23-G25</f>
        <v>-505469.47999999992</v>
      </c>
      <c r="H27" t="s">
        <v>2368</v>
      </c>
      <c r="I27" s="29">
        <f>(I12/I13)*I23</f>
        <v>15086.158098763824</v>
      </c>
      <c r="J27" s="29">
        <f>(J12/J13)*J23</f>
        <v>-28548.34471203389</v>
      </c>
      <c r="K27" s="30">
        <f>I27+J27</f>
        <v>-13462.186613270065</v>
      </c>
    </row>
    <row r="28" spans="1:11">
      <c r="A28" s="15" t="s">
        <v>2378</v>
      </c>
      <c r="G28" s="31" t="e">
        <f>G27/G25</f>
        <v>#DIV/0!</v>
      </c>
      <c r="H28" s="15" t="s">
        <v>822</v>
      </c>
      <c r="I28" s="11">
        <f>SUM(I25:I27)</f>
        <v>45258.474296291475</v>
      </c>
      <c r="J28" s="11">
        <f>SUM(J25:J27)</f>
        <v>-85645.034136101662</v>
      </c>
      <c r="K28" s="10">
        <f>I28+J28</f>
        <v>-40386.559839810187</v>
      </c>
    </row>
    <row r="30" spans="1:11" hidden="1">
      <c r="A30" s="15" t="s">
        <v>2379</v>
      </c>
      <c r="G30" s="1">
        <v>0</v>
      </c>
    </row>
    <row r="31" spans="1:11" hidden="1"/>
    <row r="32" spans="1:11" hidden="1">
      <c r="A32" s="15" t="s">
        <v>2380</v>
      </c>
      <c r="G32" s="10">
        <f>G25-G30</f>
        <v>0</v>
      </c>
    </row>
    <row r="33" spans="8:11" hidden="1"/>
    <row r="34" spans="8:11" hidden="1">
      <c r="I34" s="5">
        <v>1342</v>
      </c>
      <c r="J34" s="5">
        <v>1352</v>
      </c>
      <c r="K34" s="5" t="s">
        <v>822</v>
      </c>
    </row>
    <row r="35" spans="8:11" hidden="1">
      <c r="I35" s="19" t="s">
        <v>2381</v>
      </c>
      <c r="J35" s="19" t="s">
        <v>2381</v>
      </c>
      <c r="K35" s="19" t="s">
        <v>2381</v>
      </c>
    </row>
    <row r="36" spans="8:11" ht="13.5" hidden="1" thickBot="1">
      <c r="I36" s="7" t="s">
        <v>2382</v>
      </c>
      <c r="J36" s="7" t="s">
        <v>2383</v>
      </c>
      <c r="K36" s="7" t="s">
        <v>2384</v>
      </c>
    </row>
    <row r="37" spans="8:11" hidden="1"/>
    <row r="38" spans="8:11" hidden="1">
      <c r="H38" s="32">
        <v>4006</v>
      </c>
      <c r="J38" s="18" t="e">
        <f>#REF!*#REF!</f>
        <v>#REF!</v>
      </c>
    </row>
    <row r="39" spans="8:11" hidden="1">
      <c r="H39" s="32">
        <v>4150</v>
      </c>
      <c r="J39" s="18" t="e">
        <f>#REF!*#REF!</f>
        <v>#REF!</v>
      </c>
    </row>
    <row r="40" spans="8:11" hidden="1">
      <c r="H40" s="32">
        <v>4159</v>
      </c>
      <c r="J40" s="18" t="e">
        <f>#REF!*#REF!</f>
        <v>#REF!</v>
      </c>
    </row>
    <row r="41" spans="8:11" hidden="1">
      <c r="H41" s="33" t="s">
        <v>2385</v>
      </c>
      <c r="J41" s="18" t="e">
        <f>#REF!*#REF!</f>
        <v>#REF!</v>
      </c>
    </row>
    <row r="42" spans="8:11" hidden="1">
      <c r="H42" s="15" t="s">
        <v>822</v>
      </c>
      <c r="J42" s="10" t="e">
        <f>SUM(J38:J41)</f>
        <v>#REF!</v>
      </c>
    </row>
  </sheetData>
  <mergeCells count="3">
    <mergeCell ref="A1:K1"/>
    <mergeCell ref="A2:K2"/>
    <mergeCell ref="H3:K3"/>
  </mergeCells>
  <phoneticPr fontId="10" type="noConversion"/>
  <pageMargins left="0.5" right="0.5" top="0.5" bottom="0.5" header="0.5" footer="0.5"/>
  <pageSetup orientation="landscape" horizontalDpi="4294967292"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pageSetUpPr fitToPage="1"/>
  </sheetPr>
  <dimension ref="A1:E41"/>
  <sheetViews>
    <sheetView workbookViewId="0">
      <selection activeCell="G43" sqref="G43"/>
    </sheetView>
  </sheetViews>
  <sheetFormatPr defaultColWidth="9.140625" defaultRowHeight="12.75"/>
  <cols>
    <col min="1" max="1" width="14.5703125" customWidth="1"/>
    <col min="2" max="2" width="16" bestFit="1" customWidth="1"/>
    <col min="3" max="3" width="15.5703125" bestFit="1" customWidth="1"/>
    <col min="4" max="4" width="16.85546875" bestFit="1" customWidth="1"/>
    <col min="5" max="5" width="12.140625" bestFit="1" customWidth="1"/>
  </cols>
  <sheetData>
    <row r="1" spans="1:5">
      <c r="A1" s="435"/>
      <c r="B1" s="435"/>
      <c r="C1" s="435"/>
      <c r="D1" s="435"/>
    </row>
    <row r="2" spans="1:5">
      <c r="A2" s="444"/>
      <c r="B2" s="444"/>
      <c r="C2" s="444"/>
      <c r="D2" s="444"/>
    </row>
    <row r="3" spans="1:5">
      <c r="A3" s="435" t="str">
        <f>'AZ WIP'!A3</f>
        <v>As of July 31st 2025</v>
      </c>
      <c r="B3" s="435"/>
      <c r="C3" s="435"/>
      <c r="D3" s="435"/>
    </row>
    <row r="5" spans="1:5">
      <c r="A5" s="19"/>
      <c r="B5" s="19"/>
      <c r="C5" s="19"/>
      <c r="D5" s="19"/>
    </row>
    <row r="6" spans="1:5">
      <c r="A6" s="19"/>
      <c r="B6" s="19" t="s">
        <v>2386</v>
      </c>
      <c r="C6" s="19" t="s">
        <v>2387</v>
      </c>
      <c r="D6" s="19"/>
    </row>
    <row r="7" spans="1:5">
      <c r="A7" s="27"/>
      <c r="B7" s="27" t="s">
        <v>35</v>
      </c>
      <c r="C7" s="27" t="s">
        <v>2365</v>
      </c>
      <c r="D7" s="27"/>
    </row>
    <row r="9" spans="1:5">
      <c r="A9" t="s">
        <v>2366</v>
      </c>
      <c r="B9" s="117">
        <f>$B$12/3</f>
        <v>0.24016666666666667</v>
      </c>
      <c r="C9" s="117">
        <f>$C$12/3</f>
        <v>0.42683333333333334</v>
      </c>
      <c r="D9" s="1"/>
    </row>
    <row r="10" spans="1:5">
      <c r="A10" t="s">
        <v>2388</v>
      </c>
      <c r="B10" s="117">
        <f>$B$12/3</f>
        <v>0.24016666666666667</v>
      </c>
      <c r="C10" s="117">
        <f>$C$12/3</f>
        <v>0.42683333333333334</v>
      </c>
      <c r="D10" s="1"/>
    </row>
    <row r="11" spans="1:5">
      <c r="A11" t="s">
        <v>2368</v>
      </c>
      <c r="B11" s="117">
        <f>$B$12/3</f>
        <v>0.24016666666666667</v>
      </c>
      <c r="C11" s="117">
        <f>$C$12/3</f>
        <v>0.42683333333333334</v>
      </c>
      <c r="D11" s="3"/>
    </row>
    <row r="12" spans="1:5">
      <c r="A12" s="15" t="s">
        <v>822</v>
      </c>
      <c r="B12" s="11">
        <v>0.72050000000000003</v>
      </c>
      <c r="C12" s="11">
        <v>1.2805</v>
      </c>
      <c r="D12" s="11"/>
    </row>
    <row r="13" spans="1:5">
      <c r="B13" s="36" t="s">
        <v>1133</v>
      </c>
      <c r="C13" s="36" t="s">
        <v>1133</v>
      </c>
    </row>
    <row r="14" spans="1:5">
      <c r="A14" t="s">
        <v>2370</v>
      </c>
      <c r="B14" s="117">
        <v>98174.635107979208</v>
      </c>
      <c r="C14" s="117">
        <v>419965.40841885447</v>
      </c>
      <c r="D14" s="259"/>
      <c r="E14" s="157" t="s">
        <v>2371</v>
      </c>
    </row>
    <row r="15" spans="1:5">
      <c r="A15" s="1"/>
    </row>
    <row r="16" spans="1:5">
      <c r="A16" s="1"/>
      <c r="B16" s="276">
        <v>43852.752593339537</v>
      </c>
      <c r="C16" s="276">
        <v>632493.44804335211</v>
      </c>
    </row>
    <row r="17" spans="1:4">
      <c r="A17" s="1"/>
    </row>
    <row r="18" spans="1:4">
      <c r="A18" s="1"/>
    </row>
    <row r="19" spans="1:4">
      <c r="A19" s="1"/>
    </row>
    <row r="20" spans="1:4">
      <c r="A20" s="1"/>
      <c r="B20" s="197">
        <f>'FL WIP'!F270</f>
        <v>68407.20421691997</v>
      </c>
      <c r="C20" s="197">
        <f>'FL DL&amp;OH FG'!C377</f>
        <v>529990.0258238652</v>
      </c>
      <c r="D20" s="1"/>
    </row>
    <row r="21" spans="1:4">
      <c r="A21" s="1"/>
    </row>
    <row r="22" spans="1:4">
      <c r="A22" s="1"/>
      <c r="B22" s="18">
        <f>B14-B20</f>
        <v>29767.430891059237</v>
      </c>
      <c r="C22" s="18">
        <f>C14-C20</f>
        <v>-110024.61740501074</v>
      </c>
      <c r="D22" s="1">
        <f>B22+C22</f>
        <v>-80257.186513951499</v>
      </c>
    </row>
    <row r="23" spans="1:4">
      <c r="A23" s="1"/>
      <c r="D23" s="1"/>
    </row>
    <row r="24" spans="1:4">
      <c r="A24" t="s">
        <v>2366</v>
      </c>
      <c r="B24" s="18">
        <f>(B9/B12)*B22</f>
        <v>9922.4769636864112</v>
      </c>
      <c r="C24" s="18">
        <f>(C9/C12)*C22</f>
        <v>-36674.872468336915</v>
      </c>
      <c r="D24" s="1">
        <f>B24+C24</f>
        <v>-26752.395504650503</v>
      </c>
    </row>
    <row r="25" spans="1:4">
      <c r="A25" t="s">
        <v>2388</v>
      </c>
      <c r="B25" s="18">
        <f>(B10/B12)*B22</f>
        <v>9922.4769636864112</v>
      </c>
      <c r="C25" s="18">
        <f>(C10/C12)*C22</f>
        <v>-36674.872468336915</v>
      </c>
      <c r="D25" s="1">
        <f>B25+C25</f>
        <v>-26752.395504650503</v>
      </c>
    </row>
    <row r="26" spans="1:4">
      <c r="A26" t="s">
        <v>2368</v>
      </c>
      <c r="B26" s="30">
        <f>(B11/B12)*B22</f>
        <v>9922.4769636864112</v>
      </c>
      <c r="C26" s="30">
        <f>(C11/C12)*C22</f>
        <v>-36674.872468336915</v>
      </c>
      <c r="D26" s="29">
        <f>B26+C26</f>
        <v>-26752.395504650503</v>
      </c>
    </row>
    <row r="27" spans="1:4">
      <c r="A27" s="15" t="s">
        <v>822</v>
      </c>
      <c r="B27" s="10">
        <f>SUM(B24:B26)</f>
        <v>29767.430891059234</v>
      </c>
      <c r="C27" s="10">
        <f>SUM(C24:C26)</f>
        <v>-110024.61740501074</v>
      </c>
      <c r="D27" s="10">
        <f>SUM(D24:D26)</f>
        <v>-80257.186513951514</v>
      </c>
    </row>
    <row r="28" spans="1:4">
      <c r="A28" s="1"/>
      <c r="D28" s="18"/>
    </row>
    <row r="29" spans="1:4">
      <c r="A29" s="1"/>
    </row>
    <row r="30" spans="1:4">
      <c r="A30" s="1"/>
    </row>
    <row r="31" spans="1:4">
      <c r="A31" s="1"/>
    </row>
    <row r="32" spans="1:4" hidden="1">
      <c r="A32" s="1"/>
    </row>
    <row r="33" spans="1:4" hidden="1">
      <c r="B33" s="5">
        <v>1342</v>
      </c>
      <c r="C33" s="5">
        <v>1352</v>
      </c>
      <c r="D33" s="5" t="s">
        <v>822</v>
      </c>
    </row>
    <row r="34" spans="1:4" hidden="1">
      <c r="B34" s="19" t="s">
        <v>2381</v>
      </c>
      <c r="C34" s="19" t="s">
        <v>2381</v>
      </c>
      <c r="D34" s="19" t="s">
        <v>2381</v>
      </c>
    </row>
    <row r="35" spans="1:4" ht="13.5" hidden="1" thickBot="1">
      <c r="B35" s="7" t="s">
        <v>2382</v>
      </c>
      <c r="C35" s="7" t="s">
        <v>2383</v>
      </c>
      <c r="D35" s="7" t="s">
        <v>2384</v>
      </c>
    </row>
    <row r="36" spans="1:4" hidden="1"/>
    <row r="37" spans="1:4" hidden="1">
      <c r="A37" s="32">
        <v>4006</v>
      </c>
      <c r="C37" s="18" t="e">
        <f>#REF!*#REF!</f>
        <v>#REF!</v>
      </c>
    </row>
    <row r="38" spans="1:4" hidden="1">
      <c r="A38" s="32">
        <v>4150</v>
      </c>
      <c r="C38" s="18" t="e">
        <f>#REF!*#REF!</f>
        <v>#REF!</v>
      </c>
    </row>
    <row r="39" spans="1:4" hidden="1">
      <c r="A39" s="32">
        <v>4159</v>
      </c>
      <c r="C39" s="18" t="e">
        <f>#REF!*#REF!</f>
        <v>#REF!</v>
      </c>
    </row>
    <row r="40" spans="1:4" hidden="1">
      <c r="A40" s="33" t="s">
        <v>2385</v>
      </c>
      <c r="C40" s="18" t="e">
        <f>#REF!*#REF!</f>
        <v>#REF!</v>
      </c>
    </row>
    <row r="41" spans="1:4" hidden="1">
      <c r="A41" s="15" t="s">
        <v>822</v>
      </c>
      <c r="C41" s="10" t="e">
        <f>SUM(C37:C40)</f>
        <v>#REF!</v>
      </c>
    </row>
  </sheetData>
  <mergeCells count="3">
    <mergeCell ref="A1:D1"/>
    <mergeCell ref="A2:D2"/>
    <mergeCell ref="A3:D3"/>
  </mergeCells>
  <phoneticPr fontId="10" type="noConversion"/>
  <pageMargins left="0.5" right="0.5" top="0.5" bottom="0.5" header="0.5" footer="0.5"/>
  <pageSetup orientation="landscape"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P99"/>
  <sheetViews>
    <sheetView topLeftCell="A48" zoomScale="85" zoomScaleNormal="85" workbookViewId="0">
      <selection activeCell="M84" sqref="M84"/>
    </sheetView>
  </sheetViews>
  <sheetFormatPr defaultColWidth="9.140625" defaultRowHeight="12.75"/>
  <cols>
    <col min="1" max="1" width="10.7109375" customWidth="1"/>
    <col min="2" max="2" width="33.28515625" bestFit="1" customWidth="1"/>
    <col min="3" max="3" width="13.85546875" bestFit="1" customWidth="1"/>
    <col min="4" max="4" width="13.7109375" customWidth="1"/>
    <col min="5" max="5" width="14.5703125" bestFit="1" customWidth="1"/>
    <col min="6" max="6" width="18" customWidth="1"/>
    <col min="7" max="7" width="39.5703125" customWidth="1"/>
    <col min="8" max="8" width="16" bestFit="1" customWidth="1"/>
    <col min="9" max="9" width="14.85546875" bestFit="1" customWidth="1"/>
    <col min="10" max="10" width="39.85546875" bestFit="1" customWidth="1"/>
    <col min="11" max="11" width="14.28515625" style="2" bestFit="1" customWidth="1"/>
    <col min="12" max="12" width="13.42578125" style="2" bestFit="1" customWidth="1"/>
    <col min="13" max="13" width="14.42578125" style="2" bestFit="1" customWidth="1"/>
    <col min="14" max="14" width="13.5703125" bestFit="1" customWidth="1"/>
    <col min="15" max="15" width="13.140625" style="230" bestFit="1" customWidth="1"/>
  </cols>
  <sheetData>
    <row r="1" spans="1:16">
      <c r="A1" s="435" t="s">
        <v>2389</v>
      </c>
      <c r="B1" s="435"/>
      <c r="C1" s="435"/>
      <c r="D1" s="435"/>
      <c r="E1" s="435"/>
      <c r="J1" s="157"/>
    </row>
    <row r="2" spans="1:16">
      <c r="A2" s="435" t="s">
        <v>2390</v>
      </c>
      <c r="B2" s="435"/>
      <c r="C2" s="435"/>
      <c r="D2" s="435"/>
      <c r="E2" s="435"/>
    </row>
    <row r="3" spans="1:16">
      <c r="A3" s="435" t="str">
        <f>'FL WIP'!A3</f>
        <v>As of July 31st 2025</v>
      </c>
      <c r="B3" s="435"/>
      <c r="C3" s="435"/>
      <c r="D3" s="435"/>
      <c r="E3" s="435"/>
      <c r="K3" s="89" t="s">
        <v>2391</v>
      </c>
      <c r="L3" s="89" t="s">
        <v>2392</v>
      </c>
      <c r="M3" s="89" t="s">
        <v>2393</v>
      </c>
    </row>
    <row r="4" spans="1:16">
      <c r="C4" s="5" t="s">
        <v>2394</v>
      </c>
      <c r="D4" s="5" t="s">
        <v>2395</v>
      </c>
      <c r="E4" s="5" t="s">
        <v>811</v>
      </c>
      <c r="H4" t="s">
        <v>2396</v>
      </c>
      <c r="I4" s="171" t="s">
        <v>2396</v>
      </c>
      <c r="J4" s="171" t="s">
        <v>2397</v>
      </c>
      <c r="K4" s="291"/>
      <c r="L4" s="291"/>
      <c r="M4" s="292">
        <v>6033.27</v>
      </c>
      <c r="N4" s="1"/>
      <c r="P4" s="8"/>
    </row>
    <row r="5" spans="1:16" ht="13.5" thickBot="1">
      <c r="A5" s="15"/>
      <c r="C5" s="7" t="s">
        <v>2398</v>
      </c>
      <c r="D5" s="7" t="s">
        <v>2399</v>
      </c>
      <c r="E5" s="7"/>
      <c r="H5" t="s">
        <v>2400</v>
      </c>
      <c r="I5" s="170" t="s">
        <v>2400</v>
      </c>
      <c r="J5" s="170" t="s">
        <v>2397</v>
      </c>
      <c r="K5" s="293"/>
      <c r="L5" s="293"/>
      <c r="M5" s="294">
        <v>0</v>
      </c>
      <c r="N5" s="1"/>
      <c r="P5" s="8"/>
    </row>
    <row r="6" spans="1:16">
      <c r="H6" t="s">
        <v>2401</v>
      </c>
      <c r="I6" s="171" t="s">
        <v>2401</v>
      </c>
      <c r="J6" s="171" t="s">
        <v>2402</v>
      </c>
      <c r="K6" s="291"/>
      <c r="L6" s="291"/>
      <c r="M6" s="292">
        <v>0</v>
      </c>
      <c r="N6" s="1"/>
      <c r="P6" s="8"/>
    </row>
    <row r="7" spans="1:16">
      <c r="A7" s="445" t="s">
        <v>2403</v>
      </c>
      <c r="B7" s="445"/>
      <c r="E7" s="2"/>
      <c r="H7" t="s">
        <v>2404</v>
      </c>
      <c r="I7" s="360" t="s">
        <v>2404</v>
      </c>
      <c r="J7" s="360" t="s">
        <v>2405</v>
      </c>
      <c r="K7" s="352"/>
      <c r="L7" s="352"/>
      <c r="M7" s="353">
        <v>0</v>
      </c>
      <c r="N7" s="1"/>
      <c r="P7" s="8"/>
    </row>
    <row r="8" spans="1:16">
      <c r="A8" t="s">
        <v>2406</v>
      </c>
      <c r="B8" t="s">
        <v>2407</v>
      </c>
      <c r="C8" s="133">
        <f>IFERROR(GETPIVOTDATA("Sum of $",PT!$A$17,"category","FF","FL/AZ","AZ"),0)</f>
        <v>6033.2699999999995</v>
      </c>
      <c r="D8" s="202">
        <f>M4</f>
        <v>6033.27</v>
      </c>
      <c r="E8" s="2">
        <f>C8-D8</f>
        <v>0</v>
      </c>
      <c r="H8" t="s">
        <v>2408</v>
      </c>
      <c r="I8" s="170" t="s">
        <v>2408</v>
      </c>
      <c r="J8" s="170" t="s">
        <v>2409</v>
      </c>
      <c r="K8" s="293"/>
      <c r="L8" s="293"/>
      <c r="M8" s="294">
        <v>553298.19999999995</v>
      </c>
      <c r="N8" s="1"/>
      <c r="P8" s="8"/>
    </row>
    <row r="9" spans="1:16">
      <c r="A9" t="s">
        <v>2410</v>
      </c>
      <c r="B9" t="s">
        <v>2411</v>
      </c>
      <c r="C9" s="133">
        <f>GETPIVOTDATA("Sum of $",PT!$A$17,"category","RM","FL/AZ","AZ")</f>
        <v>533858.09000000008</v>
      </c>
      <c r="D9" s="202">
        <f>M8</f>
        <v>553298.19999999995</v>
      </c>
      <c r="E9" s="2">
        <f>C9-D9</f>
        <v>-19440.10999999987</v>
      </c>
      <c r="F9" s="314"/>
      <c r="H9" t="s">
        <v>2412</v>
      </c>
      <c r="I9" s="171" t="s">
        <v>2412</v>
      </c>
      <c r="J9" s="171" t="s">
        <v>2409</v>
      </c>
      <c r="K9" s="291"/>
      <c r="L9" s="291"/>
      <c r="M9" s="292">
        <v>2021639.71</v>
      </c>
      <c r="N9" s="1"/>
      <c r="P9" s="8"/>
    </row>
    <row r="10" spans="1:16">
      <c r="A10" t="s">
        <v>2413</v>
      </c>
      <c r="B10" t="s">
        <v>2414</v>
      </c>
      <c r="C10" s="133">
        <f>GETPIVOTDATA("Sum of $",PT!$A$17,"category","Packaging","FL/AZ","AZ")</f>
        <v>330379.11999999988</v>
      </c>
      <c r="D10" s="202">
        <f>M34</f>
        <v>330914.94</v>
      </c>
      <c r="E10" s="89">
        <f>C10-D10</f>
        <v>-535.8200000001234</v>
      </c>
      <c r="H10" t="s">
        <v>2415</v>
      </c>
      <c r="I10" s="170" t="s">
        <v>2415</v>
      </c>
      <c r="J10" s="170" t="s">
        <v>2416</v>
      </c>
      <c r="K10" s="293"/>
      <c r="L10" s="293"/>
      <c r="M10" s="294">
        <v>0</v>
      </c>
      <c r="N10" s="1"/>
      <c r="P10" s="8"/>
    </row>
    <row r="11" spans="1:16">
      <c r="A11" t="s">
        <v>2417</v>
      </c>
      <c r="B11" t="s">
        <v>2418</v>
      </c>
      <c r="C11" s="133">
        <f>GETPIVOTDATA("Sum of $",PT!$A$17,"category","WIP","FL/AZ","AZ")</f>
        <v>3917289.58</v>
      </c>
      <c r="D11" s="202">
        <f>M40</f>
        <v>3899395.36</v>
      </c>
      <c r="E11" s="89">
        <f>C11-D11</f>
        <v>17894.220000000205</v>
      </c>
      <c r="F11" s="322"/>
      <c r="H11" s="157" t="s">
        <v>2419</v>
      </c>
      <c r="I11" s="171" t="s">
        <v>2419</v>
      </c>
      <c r="J11" s="171" t="s">
        <v>2420</v>
      </c>
      <c r="K11" s="291"/>
      <c r="L11" s="291"/>
      <c r="M11" s="292">
        <v>0</v>
      </c>
      <c r="N11" s="1"/>
      <c r="P11" s="8"/>
    </row>
    <row r="12" spans="1:16">
      <c r="A12" t="s">
        <v>2421</v>
      </c>
      <c r="B12" t="s">
        <v>2422</v>
      </c>
      <c r="C12" s="133">
        <f>GETPIVOTDATA("Sum of $",PT!$A$17,"category","FG","FL/AZ","AZ")</f>
        <v>1186811.75</v>
      </c>
      <c r="D12" s="202">
        <f>M74</f>
        <v>1167241.79</v>
      </c>
      <c r="E12" s="89">
        <f>C12-D12</f>
        <v>19569.959999999963</v>
      </c>
      <c r="F12" s="322"/>
      <c r="H12" s="157" t="s">
        <v>2423</v>
      </c>
      <c r="I12" s="351" t="s">
        <v>2423</v>
      </c>
      <c r="J12" s="351" t="s">
        <v>2424</v>
      </c>
      <c r="K12" s="352"/>
      <c r="L12" s="352"/>
      <c r="M12" s="353">
        <v>0</v>
      </c>
      <c r="N12" s="1"/>
      <c r="P12" s="8"/>
    </row>
    <row r="13" spans="1:16" ht="13.5" thickBot="1">
      <c r="B13" s="15" t="s">
        <v>2425</v>
      </c>
      <c r="C13" s="93">
        <f>SUM(C8:C12)</f>
        <v>5974371.8100000005</v>
      </c>
      <c r="D13" s="93">
        <f>SUM(D8:D12)</f>
        <v>5956883.5599999996</v>
      </c>
      <c r="E13" s="13">
        <f>SUM(E8:E12)</f>
        <v>17488.250000000175</v>
      </c>
      <c r="H13" s="157" t="s">
        <v>2882</v>
      </c>
      <c r="I13" s="412" t="s">
        <v>2882</v>
      </c>
      <c r="J13" s="412" t="s">
        <v>2881</v>
      </c>
      <c r="K13" s="413"/>
      <c r="L13" s="413"/>
      <c r="M13" s="414">
        <v>0</v>
      </c>
      <c r="N13" s="259" t="s">
        <v>2883</v>
      </c>
      <c r="P13" s="8"/>
    </row>
    <row r="14" spans="1:16">
      <c r="C14" s="94"/>
      <c r="D14" s="94"/>
      <c r="E14" s="2"/>
      <c r="H14" t="s">
        <v>2426</v>
      </c>
      <c r="I14" s="170" t="s">
        <v>2426</v>
      </c>
      <c r="J14" s="170" t="s">
        <v>2427</v>
      </c>
      <c r="K14" s="293"/>
      <c r="L14" s="293"/>
      <c r="M14" s="294">
        <v>-7903.98</v>
      </c>
      <c r="N14" s="1"/>
      <c r="P14" s="8"/>
    </row>
    <row r="15" spans="1:16">
      <c r="A15" s="445" t="s">
        <v>2430</v>
      </c>
      <c r="B15" s="445"/>
      <c r="C15" s="94"/>
      <c r="D15" s="94"/>
      <c r="E15" s="2"/>
      <c r="H15" t="s">
        <v>2428</v>
      </c>
      <c r="I15" s="171" t="s">
        <v>2428</v>
      </c>
      <c r="J15" s="171" t="s">
        <v>2429</v>
      </c>
      <c r="K15" s="291"/>
      <c r="L15" s="291"/>
      <c r="M15" s="292">
        <v>-19069.650000000001</v>
      </c>
      <c r="N15" s="1"/>
      <c r="P15" s="8"/>
    </row>
    <row r="16" spans="1:16" ht="12.75" customHeight="1">
      <c r="A16" t="s">
        <v>2406</v>
      </c>
      <c r="B16" t="s">
        <v>2407</v>
      </c>
      <c r="C16" s="133">
        <v>0</v>
      </c>
      <c r="D16" s="202">
        <f>M5</f>
        <v>0</v>
      </c>
      <c r="E16" s="2">
        <f t="shared" ref="E16:E20" si="0">C16-D16</f>
        <v>0</v>
      </c>
      <c r="H16" t="s">
        <v>2431</v>
      </c>
      <c r="I16" s="170" t="s">
        <v>2431</v>
      </c>
      <c r="J16" s="170" t="s">
        <v>2432</v>
      </c>
      <c r="K16" s="293"/>
      <c r="L16" s="293"/>
      <c r="M16" s="294">
        <v>0</v>
      </c>
      <c r="N16" s="1"/>
      <c r="P16" s="8"/>
    </row>
    <row r="17" spans="1:16" ht="12.75" customHeight="1">
      <c r="A17" t="s">
        <v>2410</v>
      </c>
      <c r="B17" t="s">
        <v>2435</v>
      </c>
      <c r="C17" s="133">
        <f>GETPIVOTDATA("Sum of $",PT!$A$17,"category","RM","FL/AZ","FL")</f>
        <v>2008952.5300000005</v>
      </c>
      <c r="D17" s="202">
        <f>M9</f>
        <v>2021639.71</v>
      </c>
      <c r="E17" s="2">
        <f>C17-D17</f>
        <v>-12687.179999999469</v>
      </c>
      <c r="F17" s="314"/>
      <c r="H17" t="s">
        <v>2433</v>
      </c>
      <c r="I17" s="354" t="s">
        <v>2433</v>
      </c>
      <c r="J17" s="354" t="s">
        <v>2434</v>
      </c>
      <c r="K17" s="355"/>
      <c r="L17" s="355"/>
      <c r="M17" s="356">
        <v>73111.98</v>
      </c>
      <c r="N17" s="1"/>
      <c r="P17" s="8"/>
    </row>
    <row r="18" spans="1:16">
      <c r="A18" t="s">
        <v>2413</v>
      </c>
      <c r="B18" t="s">
        <v>2414</v>
      </c>
      <c r="C18" s="133">
        <f>GETPIVOTDATA("Sum of $",PT!$A$17,"category","Packaging","FL/AZ","FL")</f>
        <v>622672.03999999992</v>
      </c>
      <c r="D18" s="202">
        <f>M35</f>
        <v>624123.51</v>
      </c>
      <c r="E18" s="89">
        <f>C18-D18</f>
        <v>-1451.4700000000885</v>
      </c>
      <c r="F18" s="322"/>
      <c r="H18" t="s">
        <v>2436</v>
      </c>
      <c r="I18" s="171" t="s">
        <v>2436</v>
      </c>
      <c r="J18" s="171" t="s">
        <v>2437</v>
      </c>
      <c r="K18" s="291"/>
      <c r="L18" s="291"/>
      <c r="M18" s="292">
        <v>0</v>
      </c>
      <c r="N18" s="1"/>
      <c r="P18" s="8"/>
    </row>
    <row r="19" spans="1:16">
      <c r="A19" t="s">
        <v>2417</v>
      </c>
      <c r="B19" t="s">
        <v>2418</v>
      </c>
      <c r="C19" s="133">
        <f>GETPIVOTDATA("Sum of $",PT!$A$17,"category","WIP","FL/AZ","FL")</f>
        <v>4113035.1599999997</v>
      </c>
      <c r="D19" s="411">
        <f>M41+M45</f>
        <v>4120206.32</v>
      </c>
      <c r="E19" s="89">
        <f>C19-D19</f>
        <v>-7171.160000000149</v>
      </c>
      <c r="F19" s="322"/>
      <c r="H19" t="s">
        <v>2438</v>
      </c>
      <c r="I19" s="170" t="s">
        <v>2438</v>
      </c>
      <c r="J19" s="170" t="s">
        <v>2437</v>
      </c>
      <c r="K19" s="293"/>
      <c r="L19" s="293"/>
      <c r="M19" s="294">
        <v>-367.99</v>
      </c>
      <c r="N19" s="1"/>
      <c r="P19" s="8"/>
    </row>
    <row r="20" spans="1:16">
      <c r="A20" t="s">
        <v>2421</v>
      </c>
      <c r="B20" t="s">
        <v>2422</v>
      </c>
      <c r="C20" s="133">
        <f>GETPIVOTDATA("Sum of $",PT!$A$17,"category","FG","FL/AZ","FL")</f>
        <v>2539188.4699999993</v>
      </c>
      <c r="D20" s="411">
        <f>M75+M78</f>
        <v>2539051.21</v>
      </c>
      <c r="E20" s="89">
        <f t="shared" si="0"/>
        <v>137.25999999931082</v>
      </c>
      <c r="F20" s="322"/>
      <c r="H20" t="s">
        <v>2439</v>
      </c>
      <c r="I20" s="171" t="s">
        <v>2439</v>
      </c>
      <c r="J20" s="171" t="s">
        <v>2440</v>
      </c>
      <c r="K20" s="291"/>
      <c r="L20" s="291"/>
      <c r="M20" s="292">
        <v>0</v>
      </c>
      <c r="N20" s="1"/>
      <c r="P20" s="8"/>
    </row>
    <row r="21" spans="1:16" ht="13.5" thickBot="1">
      <c r="B21" s="15" t="s">
        <v>2425</v>
      </c>
      <c r="C21" s="93">
        <f>SUM(C16:C20)</f>
        <v>9283848.1999999993</v>
      </c>
      <c r="D21" s="93">
        <f>SUM(D16:D20)</f>
        <v>9305020.75</v>
      </c>
      <c r="E21" s="13">
        <f>SUM(E16:E20)</f>
        <v>-21172.550000000396</v>
      </c>
      <c r="H21" t="s">
        <v>2441</v>
      </c>
      <c r="I21" s="351" t="s">
        <v>2441</v>
      </c>
      <c r="J21" s="351" t="s">
        <v>2442</v>
      </c>
      <c r="K21" s="352"/>
      <c r="L21" s="352"/>
      <c r="M21" s="353">
        <v>0</v>
      </c>
      <c r="N21" s="259" t="s">
        <v>2798</v>
      </c>
      <c r="P21" s="8"/>
    </row>
    <row r="22" spans="1:16">
      <c r="C22" s="94"/>
      <c r="D22" s="94"/>
      <c r="E22" s="2"/>
      <c r="H22" t="s">
        <v>2443</v>
      </c>
      <c r="I22" s="170" t="s">
        <v>2443</v>
      </c>
      <c r="J22" s="170" t="s">
        <v>2444</v>
      </c>
      <c r="K22" s="293"/>
      <c r="L22" s="293"/>
      <c r="M22" s="294">
        <v>-16183.6</v>
      </c>
      <c r="N22" s="1"/>
      <c r="P22" s="8"/>
    </row>
    <row r="23" spans="1:16">
      <c r="A23" s="445" t="s">
        <v>2447</v>
      </c>
      <c r="B23" s="445"/>
      <c r="C23" s="94"/>
      <c r="D23" s="94"/>
      <c r="E23" s="2"/>
      <c r="H23" t="s">
        <v>2445</v>
      </c>
      <c r="I23" s="171" t="s">
        <v>2445</v>
      </c>
      <c r="J23" s="171" t="s">
        <v>2446</v>
      </c>
      <c r="K23" s="291"/>
      <c r="L23" s="291"/>
      <c r="M23" s="292">
        <v>-19129.169999999998</v>
      </c>
      <c r="N23" s="1"/>
      <c r="P23" s="8"/>
    </row>
    <row r="24" spans="1:16">
      <c r="A24" t="s">
        <v>2406</v>
      </c>
      <c r="B24" t="s">
        <v>2407</v>
      </c>
      <c r="C24" s="133">
        <v>0</v>
      </c>
      <c r="D24" s="202">
        <f>M7</f>
        <v>0</v>
      </c>
      <c r="E24" s="2">
        <f t="shared" ref="E24:E26" si="1">C24-D24</f>
        <v>0</v>
      </c>
      <c r="H24" t="s">
        <v>2448</v>
      </c>
      <c r="I24" s="170" t="s">
        <v>2448</v>
      </c>
      <c r="J24" s="170" t="s">
        <v>2449</v>
      </c>
      <c r="K24" s="293"/>
      <c r="L24" s="293"/>
      <c r="M24" s="294">
        <v>0</v>
      </c>
      <c r="N24" s="1"/>
      <c r="P24" s="8"/>
    </row>
    <row r="25" spans="1:16">
      <c r="A25" t="s">
        <v>2410</v>
      </c>
      <c r="B25" t="s">
        <v>2435</v>
      </c>
      <c r="C25" s="133">
        <v>0</v>
      </c>
      <c r="D25" s="202">
        <f>M12</f>
        <v>0</v>
      </c>
      <c r="E25" s="2">
        <f t="shared" si="1"/>
        <v>0</v>
      </c>
      <c r="G25" s="2"/>
      <c r="H25" t="s">
        <v>2450</v>
      </c>
      <c r="I25" s="354" t="s">
        <v>2450</v>
      </c>
      <c r="J25" s="354" t="s">
        <v>2451</v>
      </c>
      <c r="K25" s="355"/>
      <c r="L25" s="355"/>
      <c r="M25" s="356">
        <v>0</v>
      </c>
      <c r="N25" s="1"/>
      <c r="P25" s="8"/>
    </row>
    <row r="26" spans="1:16">
      <c r="A26" t="s">
        <v>2413</v>
      </c>
      <c r="B26" t="s">
        <v>2414</v>
      </c>
      <c r="C26" s="133">
        <f>GETPIVOTDATA("Sum of $",PT!$A$17,"category","Packaging","FL/AZ","TX")</f>
        <v>24066.35</v>
      </c>
      <c r="D26" s="202">
        <f>M38</f>
        <v>24066.31</v>
      </c>
      <c r="E26" s="89">
        <f t="shared" si="1"/>
        <v>3.9999999997235136E-2</v>
      </c>
      <c r="G26" s="2"/>
      <c r="H26" t="s">
        <v>2452</v>
      </c>
      <c r="I26" s="171" t="s">
        <v>2452</v>
      </c>
      <c r="J26" s="171" t="s">
        <v>2453</v>
      </c>
      <c r="K26" s="291"/>
      <c r="L26" s="291"/>
      <c r="M26" s="292">
        <v>-54850.09</v>
      </c>
      <c r="N26" s="1"/>
      <c r="P26" s="8"/>
    </row>
    <row r="27" spans="1:16">
      <c r="A27" t="s">
        <v>2417</v>
      </c>
      <c r="B27" t="s">
        <v>2418</v>
      </c>
      <c r="C27" s="133">
        <f>GETPIVOTDATA("Sum of $",PT!$A$17,"category","WIP","FL/AZ","tx")</f>
        <v>7484.55</v>
      </c>
      <c r="D27" s="202">
        <f>M44</f>
        <v>7243.04</v>
      </c>
      <c r="E27" s="89">
        <f>C27-D27</f>
        <v>241.51000000000022</v>
      </c>
      <c r="F27" s="276"/>
      <c r="H27" t="s">
        <v>2454</v>
      </c>
      <c r="I27" s="170" t="s">
        <v>2454</v>
      </c>
      <c r="J27" s="170" t="s">
        <v>2453</v>
      </c>
      <c r="K27" s="293"/>
      <c r="L27" s="293"/>
      <c r="M27" s="294">
        <v>-189676.72</v>
      </c>
      <c r="N27" s="1"/>
      <c r="P27" s="8"/>
    </row>
    <row r="28" spans="1:16">
      <c r="A28" t="s">
        <v>2421</v>
      </c>
      <c r="B28" t="s">
        <v>2422</v>
      </c>
      <c r="C28" s="133">
        <f>GETPIVOTDATA("Sum of $",PT!$A$17,"category","FG","FL/AZ","TX")</f>
        <v>537923.30999999982</v>
      </c>
      <c r="D28" s="202">
        <f>M77</f>
        <v>536760.51</v>
      </c>
      <c r="E28" s="89">
        <f>C28-D28</f>
        <v>1162.7999999998137</v>
      </c>
      <c r="F28" s="276"/>
      <c r="H28" t="s">
        <v>2455</v>
      </c>
      <c r="I28" s="171" t="s">
        <v>2455</v>
      </c>
      <c r="J28" s="171" t="s">
        <v>2456</v>
      </c>
      <c r="K28" s="291"/>
      <c r="L28" s="291"/>
      <c r="M28" s="292">
        <v>0</v>
      </c>
      <c r="N28" s="1"/>
      <c r="P28" s="8"/>
    </row>
    <row r="29" spans="1:16" ht="13.5" thickBot="1">
      <c r="B29" s="15" t="s">
        <v>2425</v>
      </c>
      <c r="C29" s="93">
        <f>SUM(C24:C28)</f>
        <v>569474.20999999985</v>
      </c>
      <c r="D29" s="93">
        <f>SUM(D24:D28)</f>
        <v>568069.86</v>
      </c>
      <c r="E29" s="13">
        <f>SUM(E24:E28)</f>
        <v>1404.3499999998112</v>
      </c>
      <c r="H29" t="s">
        <v>2457</v>
      </c>
      <c r="I29" s="351" t="s">
        <v>2457</v>
      </c>
      <c r="J29" s="351" t="s">
        <v>2458</v>
      </c>
      <c r="K29" s="352"/>
      <c r="L29" s="352"/>
      <c r="M29" s="353">
        <v>0</v>
      </c>
      <c r="N29" s="1"/>
      <c r="P29" s="8"/>
    </row>
    <row r="30" spans="1:16">
      <c r="C30" s="94"/>
      <c r="D30" s="94"/>
      <c r="E30" s="2"/>
      <c r="H30" t="s">
        <v>2459</v>
      </c>
      <c r="I30" s="170" t="s">
        <v>2459</v>
      </c>
      <c r="J30" s="170" t="s">
        <v>2460</v>
      </c>
      <c r="K30" s="293"/>
      <c r="L30" s="293"/>
      <c r="M30" s="294">
        <v>24764.66</v>
      </c>
      <c r="N30" s="333"/>
      <c r="P30" s="8"/>
    </row>
    <row r="31" spans="1:16">
      <c r="A31" s="445" t="s">
        <v>2877</v>
      </c>
      <c r="B31" s="445"/>
      <c r="C31" s="94"/>
      <c r="D31" s="94"/>
      <c r="E31" s="2"/>
      <c r="H31" t="s">
        <v>2461</v>
      </c>
      <c r="I31" s="171" t="s">
        <v>2461</v>
      </c>
      <c r="J31" s="171" t="s">
        <v>2462</v>
      </c>
      <c r="K31" s="291"/>
      <c r="L31" s="291"/>
      <c r="M31" s="292">
        <v>88793.29</v>
      </c>
      <c r="N31" s="1"/>
      <c r="P31" s="8"/>
    </row>
    <row r="32" spans="1:16">
      <c r="A32" t="s">
        <v>2406</v>
      </c>
      <c r="B32" t="s">
        <v>2407</v>
      </c>
      <c r="C32" s="133">
        <v>0</v>
      </c>
      <c r="D32" s="202">
        <v>0</v>
      </c>
      <c r="E32" s="2">
        <f t="shared" ref="E32:E33" si="2">C32-D32</f>
        <v>0</v>
      </c>
      <c r="H32" t="s">
        <v>2464</v>
      </c>
      <c r="I32" s="170" t="s">
        <v>2464</v>
      </c>
      <c r="J32" s="170" t="s">
        <v>2465</v>
      </c>
      <c r="K32" s="293"/>
      <c r="L32" s="293"/>
      <c r="M32" s="294">
        <v>0</v>
      </c>
      <c r="N32" s="1"/>
      <c r="P32" s="8"/>
    </row>
    <row r="33" spans="1:16">
      <c r="A33" t="s">
        <v>2410</v>
      </c>
      <c r="B33" t="s">
        <v>2435</v>
      </c>
      <c r="C33" s="133">
        <f>IFERROR(GETPIVOTDATA("Sum of $",PT!$A$17,"category","RM","FL/AZ","DAV"),0)</f>
        <v>0</v>
      </c>
      <c r="D33" s="410">
        <v>0</v>
      </c>
      <c r="E33" s="2">
        <f t="shared" si="2"/>
        <v>0</v>
      </c>
      <c r="H33" t="s">
        <v>2466</v>
      </c>
      <c r="I33" s="354" t="s">
        <v>2466</v>
      </c>
      <c r="J33" s="354" t="s">
        <v>2467</v>
      </c>
      <c r="K33" s="355"/>
      <c r="L33" s="355"/>
      <c r="M33" s="356">
        <v>0</v>
      </c>
      <c r="N33" s="1"/>
      <c r="P33" s="8"/>
    </row>
    <row r="34" spans="1:16">
      <c r="A34" t="s">
        <v>2413</v>
      </c>
      <c r="B34" t="s">
        <v>2414</v>
      </c>
      <c r="C34" s="133">
        <f>IFERROR(GETPIVOTDATA("Sum of $",PT!$A$17,"category","Packaging","FL/AZ","DAV"),0)</f>
        <v>6969.6</v>
      </c>
      <c r="D34" s="202">
        <f>M39</f>
        <v>6969.6</v>
      </c>
      <c r="E34" s="89">
        <f>C34-D34</f>
        <v>0</v>
      </c>
      <c r="H34" t="s">
        <v>2468</v>
      </c>
      <c r="I34" s="171" t="s">
        <v>2468</v>
      </c>
      <c r="J34" s="171" t="s">
        <v>2469</v>
      </c>
      <c r="K34" s="291"/>
      <c r="L34" s="291"/>
      <c r="M34" s="292">
        <v>330914.94</v>
      </c>
      <c r="N34" s="1"/>
      <c r="P34" s="8"/>
    </row>
    <row r="35" spans="1:16">
      <c r="A35" t="s">
        <v>2417</v>
      </c>
      <c r="B35" t="s">
        <v>2418</v>
      </c>
      <c r="C35" s="133">
        <f>IFERROR(GETPIVOTDATA("Sum of $",PT!$A$17,"category","WIP","FL/AZ","DAV"),0)</f>
        <v>0</v>
      </c>
      <c r="D35" s="422">
        <v>0</v>
      </c>
      <c r="E35" s="89">
        <f>C35-D35</f>
        <v>0</v>
      </c>
      <c r="F35" s="276"/>
      <c r="H35" t="s">
        <v>2470</v>
      </c>
      <c r="I35" s="170" t="s">
        <v>2470</v>
      </c>
      <c r="J35" s="170" t="s">
        <v>2469</v>
      </c>
      <c r="K35" s="293"/>
      <c r="L35" s="293"/>
      <c r="M35" s="294">
        <v>624123.51</v>
      </c>
      <c r="N35" s="1"/>
      <c r="P35" s="8"/>
    </row>
    <row r="36" spans="1:16">
      <c r="A36" t="s">
        <v>2421</v>
      </c>
      <c r="B36" t="s">
        <v>2422</v>
      </c>
      <c r="C36" s="133">
        <f>IFERROR(GETPIVOTDATA("Sum of $",PT!$A$17,"category","FG","FL/AZ","DAV"),0)</f>
        <v>0</v>
      </c>
      <c r="D36" s="422">
        <v>0</v>
      </c>
      <c r="E36" s="89">
        <f>C36-D36</f>
        <v>0</v>
      </c>
      <c r="F36" s="276"/>
      <c r="H36" t="s">
        <v>2471</v>
      </c>
      <c r="I36" s="171" t="s">
        <v>2471</v>
      </c>
      <c r="J36" s="171" t="s">
        <v>2472</v>
      </c>
      <c r="K36" s="291"/>
      <c r="L36" s="291"/>
      <c r="M36" s="292">
        <v>0</v>
      </c>
      <c r="N36" s="1"/>
      <c r="P36" s="8"/>
    </row>
    <row r="37" spans="1:16" ht="13.5" thickBot="1">
      <c r="B37" s="15" t="s">
        <v>2425</v>
      </c>
      <c r="C37" s="93">
        <f>SUM(C32:C36)</f>
        <v>6969.6</v>
      </c>
      <c r="D37" s="93">
        <f>SUM(D32:D36)</f>
        <v>6969.6</v>
      </c>
      <c r="E37" s="13">
        <f>SUM(E32:E36)</f>
        <v>0</v>
      </c>
      <c r="H37" s="157" t="s">
        <v>2473</v>
      </c>
      <c r="I37" s="170" t="s">
        <v>2473</v>
      </c>
      <c r="J37" s="170" t="s">
        <v>2474</v>
      </c>
      <c r="K37" s="293"/>
      <c r="L37" s="293"/>
      <c r="M37" s="294">
        <v>533992.9</v>
      </c>
      <c r="N37" s="1"/>
      <c r="P37" s="8"/>
    </row>
    <row r="38" spans="1:16">
      <c r="C38" s="94"/>
      <c r="D38" s="94" t="s">
        <v>1133</v>
      </c>
      <c r="E38" s="2"/>
      <c r="H38" s="157" t="s">
        <v>2475</v>
      </c>
      <c r="I38" s="351" t="s">
        <v>2475</v>
      </c>
      <c r="J38" s="351" t="s">
        <v>2476</v>
      </c>
      <c r="K38" s="352"/>
      <c r="L38" s="352"/>
      <c r="M38" s="353">
        <v>24066.31</v>
      </c>
      <c r="P38" s="8"/>
    </row>
    <row r="39" spans="1:16">
      <c r="A39" s="445" t="s">
        <v>2463</v>
      </c>
      <c r="B39" s="445"/>
      <c r="C39" s="94"/>
      <c r="D39" s="94"/>
      <c r="E39" s="2"/>
      <c r="H39" s="157" t="s">
        <v>2850</v>
      </c>
      <c r="I39" s="406" t="s">
        <v>2850</v>
      </c>
      <c r="J39" s="407" t="s">
        <v>2851</v>
      </c>
      <c r="K39" s="408"/>
      <c r="L39" s="408"/>
      <c r="M39" s="408">
        <v>6969.6</v>
      </c>
      <c r="N39" s="259" t="s">
        <v>2798</v>
      </c>
      <c r="P39" s="8"/>
    </row>
    <row r="40" spans="1:16">
      <c r="A40" t="s">
        <v>2406</v>
      </c>
      <c r="B40" t="s">
        <v>2407</v>
      </c>
      <c r="C40" s="94">
        <f t="shared" ref="C40:D44" si="3">C8+C16+C24</f>
        <v>6033.2699999999995</v>
      </c>
      <c r="D40" s="94">
        <f t="shared" si="3"/>
        <v>6033.27</v>
      </c>
      <c r="E40" s="2">
        <f>C40-D40</f>
        <v>0</v>
      </c>
      <c r="H40" t="s">
        <v>2477</v>
      </c>
      <c r="I40" s="170" t="s">
        <v>2477</v>
      </c>
      <c r="J40" s="170" t="s">
        <v>2478</v>
      </c>
      <c r="K40" s="293"/>
      <c r="L40" s="293"/>
      <c r="M40" s="294">
        <v>3899395.36</v>
      </c>
      <c r="N40" s="1"/>
      <c r="P40" s="8"/>
    </row>
    <row r="41" spans="1:16">
      <c r="A41" t="s">
        <v>2410</v>
      </c>
      <c r="B41" t="s">
        <v>2411</v>
      </c>
      <c r="C41" s="94">
        <f t="shared" si="3"/>
        <v>2542810.6200000006</v>
      </c>
      <c r="D41" s="94">
        <f t="shared" si="3"/>
        <v>2574937.91</v>
      </c>
      <c r="E41" s="2">
        <f t="shared" ref="E41:E44" si="4">C41-D41</f>
        <v>-32127.289999999572</v>
      </c>
      <c r="H41" t="s">
        <v>2479</v>
      </c>
      <c r="I41" s="171" t="s">
        <v>2479</v>
      </c>
      <c r="J41" s="171" t="s">
        <v>2480</v>
      </c>
      <c r="K41" s="291"/>
      <c r="L41" s="291"/>
      <c r="M41" s="292">
        <v>4120206.32</v>
      </c>
      <c r="N41" s="1"/>
      <c r="P41" s="8"/>
    </row>
    <row r="42" spans="1:16">
      <c r="A42" t="s">
        <v>2413</v>
      </c>
      <c r="B42" t="s">
        <v>2414</v>
      </c>
      <c r="C42" s="94">
        <f t="shared" si="3"/>
        <v>977117.50999999978</v>
      </c>
      <c r="D42" s="94">
        <f>D10+D18+D26</f>
        <v>979104.76</v>
      </c>
      <c r="E42" s="2">
        <f t="shared" si="4"/>
        <v>-1987.2500000002328</v>
      </c>
      <c r="H42" t="s">
        <v>2483</v>
      </c>
      <c r="I42" s="170" t="s">
        <v>2483</v>
      </c>
      <c r="J42" s="170" t="s">
        <v>2484</v>
      </c>
      <c r="K42" s="293"/>
      <c r="L42" s="293"/>
      <c r="M42" s="294">
        <v>0</v>
      </c>
      <c r="N42" s="1"/>
      <c r="P42" s="8"/>
    </row>
    <row r="43" spans="1:16">
      <c r="A43" t="s">
        <v>2417</v>
      </c>
      <c r="B43" t="s">
        <v>2418</v>
      </c>
      <c r="C43" s="94">
        <f t="shared" si="3"/>
        <v>8037809.29</v>
      </c>
      <c r="D43" s="94">
        <f t="shared" si="3"/>
        <v>8026844.7199999997</v>
      </c>
      <c r="E43" s="2">
        <f>C43-D43</f>
        <v>10964.570000000298</v>
      </c>
      <c r="H43" t="s">
        <v>2899</v>
      </c>
      <c r="I43" s="171" t="s">
        <v>2899</v>
      </c>
      <c r="J43" s="171" t="s">
        <v>2898</v>
      </c>
      <c r="K43" s="291"/>
      <c r="L43" s="291"/>
      <c r="M43" s="421">
        <v>0</v>
      </c>
      <c r="N43" s="259" t="s">
        <v>2900</v>
      </c>
      <c r="P43" s="8"/>
    </row>
    <row r="44" spans="1:16">
      <c r="A44" t="s">
        <v>2421</v>
      </c>
      <c r="B44" t="s">
        <v>2422</v>
      </c>
      <c r="C44" s="94">
        <f t="shared" si="3"/>
        <v>4263923.5299999993</v>
      </c>
      <c r="D44" s="94">
        <f t="shared" si="3"/>
        <v>4243053.51</v>
      </c>
      <c r="E44" s="2">
        <f t="shared" si="4"/>
        <v>20870.019999999553</v>
      </c>
      <c r="H44" s="157" t="s">
        <v>2487</v>
      </c>
      <c r="I44" s="351" t="s">
        <v>2487</v>
      </c>
      <c r="J44" s="351" t="s">
        <v>2488</v>
      </c>
      <c r="K44" s="352"/>
      <c r="L44" s="352"/>
      <c r="M44" s="353">
        <v>7243.04</v>
      </c>
      <c r="N44" s="259" t="s">
        <v>2798</v>
      </c>
      <c r="P44" s="8"/>
    </row>
    <row r="45" spans="1:16" ht="13.5" thickBot="1">
      <c r="A45" s="240"/>
      <c r="B45" s="241" t="s">
        <v>2425</v>
      </c>
      <c r="C45" s="242">
        <f>SUM(C40:C44)</f>
        <v>15827694.220000001</v>
      </c>
      <c r="D45" s="242">
        <f>SUM(D40:D44)</f>
        <v>15829974.17</v>
      </c>
      <c r="E45" s="250">
        <f>SUM(E40:E44)</f>
        <v>-2279.9499999999534</v>
      </c>
      <c r="H45" s="157" t="s">
        <v>2852</v>
      </c>
      <c r="I45" s="406" t="s">
        <v>2852</v>
      </c>
      <c r="J45" s="407" t="s">
        <v>2853</v>
      </c>
      <c r="K45" s="408"/>
      <c r="L45" s="408"/>
      <c r="M45" s="408">
        <v>0</v>
      </c>
      <c r="N45" s="1"/>
      <c r="P45" s="8"/>
    </row>
    <row r="46" spans="1:16">
      <c r="E46" s="2"/>
      <c r="H46" t="s">
        <v>2489</v>
      </c>
      <c r="I46" s="170" t="s">
        <v>2489</v>
      </c>
      <c r="J46" s="170" t="s">
        <v>2490</v>
      </c>
      <c r="K46" s="293"/>
      <c r="L46" s="293"/>
      <c r="M46" s="294">
        <v>600805.21</v>
      </c>
      <c r="N46" s="1"/>
      <c r="P46" s="8"/>
    </row>
    <row r="47" spans="1:16">
      <c r="A47" s="445" t="s">
        <v>2403</v>
      </c>
      <c r="B47" s="445"/>
      <c r="E47" s="2"/>
      <c r="H47" t="s">
        <v>2491</v>
      </c>
      <c r="I47" s="171" t="s">
        <v>2491</v>
      </c>
      <c r="J47" s="171" t="s">
        <v>2490</v>
      </c>
      <c r="K47" s="291"/>
      <c r="L47" s="291"/>
      <c r="M47" s="292">
        <v>60113.54</v>
      </c>
      <c r="N47" s="259" t="s">
        <v>2798</v>
      </c>
      <c r="P47" s="8"/>
    </row>
    <row r="48" spans="1:16">
      <c r="A48" s="157" t="s">
        <v>2481</v>
      </c>
      <c r="B48" s="157" t="s">
        <v>2482</v>
      </c>
      <c r="C48" s="2">
        <f>0.04*C11</f>
        <v>156691.58319999999</v>
      </c>
      <c r="D48" s="94">
        <f>M62</f>
        <v>146984.31</v>
      </c>
      <c r="E48" s="2">
        <f>C48-D48</f>
        <v>9707.273199999996</v>
      </c>
      <c r="H48" t="s">
        <v>2492</v>
      </c>
      <c r="I48" s="170" t="s">
        <v>2492</v>
      </c>
      <c r="J48" s="170" t="s">
        <v>2493</v>
      </c>
      <c r="K48" s="293"/>
      <c r="L48" s="293"/>
      <c r="M48" s="294">
        <v>0</v>
      </c>
      <c r="N48" s="259"/>
      <c r="P48" s="8"/>
    </row>
    <row r="49" spans="1:16">
      <c r="A49" s="157" t="s">
        <v>2485</v>
      </c>
      <c r="B49" s="157" t="s">
        <v>2486</v>
      </c>
      <c r="C49" s="2">
        <f>0.06*C12</f>
        <v>71208.705000000002</v>
      </c>
      <c r="D49" s="94">
        <f>M66</f>
        <v>70495.98</v>
      </c>
      <c r="E49" s="2">
        <f t="shared" ref="E49:E53" si="5">C49-D49</f>
        <v>712.72500000000582</v>
      </c>
      <c r="H49" t="s">
        <v>2494</v>
      </c>
      <c r="I49" s="354" t="s">
        <v>2494</v>
      </c>
      <c r="J49" s="354" t="s">
        <v>2495</v>
      </c>
      <c r="K49" s="355"/>
      <c r="L49" s="355"/>
      <c r="M49" s="356">
        <v>0</v>
      </c>
      <c r="N49" s="259"/>
      <c r="P49" s="8"/>
    </row>
    <row r="50" spans="1:16">
      <c r="C50" s="2"/>
      <c r="D50" s="2"/>
      <c r="E50" s="2">
        <f t="shared" si="5"/>
        <v>0</v>
      </c>
      <c r="H50" t="s">
        <v>2496</v>
      </c>
      <c r="I50" s="171" t="s">
        <v>2496</v>
      </c>
      <c r="J50" s="171" t="s">
        <v>2497</v>
      </c>
      <c r="K50" s="291"/>
      <c r="L50" s="291"/>
      <c r="M50" s="292">
        <v>0</v>
      </c>
      <c r="N50" s="259"/>
      <c r="P50" s="8"/>
    </row>
    <row r="51" spans="1:16">
      <c r="A51" s="445" t="s">
        <v>2430</v>
      </c>
      <c r="B51" s="445"/>
      <c r="C51" s="2"/>
      <c r="D51" s="2"/>
      <c r="E51" s="2">
        <f t="shared" si="5"/>
        <v>0</v>
      </c>
      <c r="H51" t="s">
        <v>2498</v>
      </c>
      <c r="I51" s="170" t="s">
        <v>2498</v>
      </c>
      <c r="J51" s="170" t="s">
        <v>2497</v>
      </c>
      <c r="K51" s="293"/>
      <c r="L51" s="293"/>
      <c r="M51" s="294">
        <v>0</v>
      </c>
      <c r="N51" s="259" t="s">
        <v>2798</v>
      </c>
      <c r="P51" s="8"/>
    </row>
    <row r="52" spans="1:16">
      <c r="A52" s="157" t="s">
        <v>2481</v>
      </c>
      <c r="B52" s="157" t="s">
        <v>2482</v>
      </c>
      <c r="C52" s="2">
        <f>0.04*C19</f>
        <v>164521.40639999998</v>
      </c>
      <c r="D52" s="94">
        <f>M63</f>
        <v>182856.28</v>
      </c>
      <c r="E52" s="2">
        <f>C52-D52</f>
        <v>-18334.873600000021</v>
      </c>
      <c r="H52" t="s">
        <v>2499</v>
      </c>
      <c r="I52" s="171" t="s">
        <v>2499</v>
      </c>
      <c r="J52" s="171" t="s">
        <v>2500</v>
      </c>
      <c r="K52" s="291"/>
      <c r="L52" s="291"/>
      <c r="M52" s="292">
        <v>0</v>
      </c>
      <c r="N52" s="259"/>
      <c r="P52" s="8"/>
    </row>
    <row r="53" spans="1:16">
      <c r="A53" s="157" t="s">
        <v>2485</v>
      </c>
      <c r="B53" s="157" t="s">
        <v>2486</v>
      </c>
      <c r="C53" s="2">
        <f>0.06*C20</f>
        <v>152351.30819999994</v>
      </c>
      <c r="D53" s="94">
        <f>M67</f>
        <v>152815.38</v>
      </c>
      <c r="E53" s="2">
        <f t="shared" si="5"/>
        <v>-464.07180000006338</v>
      </c>
      <c r="H53" t="s">
        <v>2501</v>
      </c>
      <c r="I53" s="351" t="s">
        <v>2501</v>
      </c>
      <c r="J53" s="351" t="s">
        <v>2502</v>
      </c>
      <c r="K53" s="352"/>
      <c r="L53" s="352"/>
      <c r="M53" s="353">
        <v>0</v>
      </c>
      <c r="N53" s="259"/>
      <c r="P53" s="8"/>
    </row>
    <row r="54" spans="1:16">
      <c r="A54" s="157"/>
      <c r="B54" s="157"/>
      <c r="C54" s="2"/>
      <c r="D54" s="94"/>
      <c r="E54" s="2"/>
      <c r="H54" t="s">
        <v>2504</v>
      </c>
      <c r="I54" s="170" t="s">
        <v>2504</v>
      </c>
      <c r="J54" s="170" t="s">
        <v>2505</v>
      </c>
      <c r="K54" s="293"/>
      <c r="L54" s="293"/>
      <c r="M54" s="294">
        <v>226799.64</v>
      </c>
      <c r="N54" s="259"/>
      <c r="P54" s="8"/>
    </row>
    <row r="55" spans="1:16">
      <c r="A55" s="445" t="s">
        <v>2447</v>
      </c>
      <c r="B55" s="445"/>
      <c r="C55" s="2"/>
      <c r="D55" s="94"/>
      <c r="E55" s="2"/>
      <c r="H55" t="s">
        <v>2506</v>
      </c>
      <c r="I55" s="171" t="s">
        <v>2506</v>
      </c>
      <c r="J55" s="171" t="s">
        <v>2507</v>
      </c>
      <c r="K55" s="291"/>
      <c r="L55" s="291"/>
      <c r="M55" s="292">
        <v>402496.74</v>
      </c>
      <c r="N55" s="259" t="s">
        <v>2798</v>
      </c>
      <c r="P55" s="8"/>
    </row>
    <row r="56" spans="1:16">
      <c r="A56" s="157" t="s">
        <v>2481</v>
      </c>
      <c r="B56" s="157" t="s">
        <v>2482</v>
      </c>
      <c r="C56" s="2">
        <f>C27*0</f>
        <v>0</v>
      </c>
      <c r="D56" s="94">
        <f>M65</f>
        <v>0</v>
      </c>
      <c r="E56" s="2">
        <f>C56-D56</f>
        <v>0</v>
      </c>
      <c r="F56" s="276" t="s">
        <v>2928</v>
      </c>
      <c r="H56" t="s">
        <v>2508</v>
      </c>
      <c r="I56" s="170" t="s">
        <v>2508</v>
      </c>
      <c r="J56" s="170" t="s">
        <v>2509</v>
      </c>
      <c r="K56" s="293"/>
      <c r="L56" s="293"/>
      <c r="M56" s="294">
        <v>0</v>
      </c>
      <c r="N56" s="259"/>
      <c r="P56" s="8"/>
    </row>
    <row r="57" spans="1:16">
      <c r="A57" s="157" t="s">
        <v>2485</v>
      </c>
      <c r="B57" s="157" t="s">
        <v>2486</v>
      </c>
      <c r="C57" s="2">
        <f>C28*0</f>
        <v>0</v>
      </c>
      <c r="D57" s="94">
        <f>M69</f>
        <v>0</v>
      </c>
      <c r="E57" s="2">
        <f t="shared" ref="E57" si="6">C57-D57</f>
        <v>0</v>
      </c>
      <c r="H57" t="s">
        <v>2510</v>
      </c>
      <c r="I57" s="354" t="s">
        <v>2510</v>
      </c>
      <c r="J57" s="354" t="s">
        <v>2511</v>
      </c>
      <c r="K57" s="355"/>
      <c r="L57" s="355"/>
      <c r="M57" s="356">
        <v>0</v>
      </c>
      <c r="N57" s="259"/>
      <c r="P57" s="8"/>
    </row>
    <row r="58" spans="1:16" ht="13.5" thickBot="1">
      <c r="A58" s="240"/>
      <c r="B58" s="241" t="s">
        <v>2503</v>
      </c>
      <c r="C58" s="242">
        <f>SUM(C48:C57)</f>
        <v>544773.0027999999</v>
      </c>
      <c r="D58" s="242">
        <f t="shared" ref="D58" si="7">SUM(D48:D57)</f>
        <v>553151.94999999995</v>
      </c>
      <c r="E58" s="242">
        <f>SUM(E48:E57)</f>
        <v>-8378.9472000000824</v>
      </c>
      <c r="H58" t="s">
        <v>2512</v>
      </c>
      <c r="I58" s="171" t="s">
        <v>2512</v>
      </c>
      <c r="J58" s="171" t="s">
        <v>2513</v>
      </c>
      <c r="K58" s="291"/>
      <c r="L58" s="291"/>
      <c r="M58" s="292">
        <v>0</v>
      </c>
      <c r="N58" s="259"/>
      <c r="P58" s="8"/>
    </row>
    <row r="59" spans="1:16">
      <c r="H59" t="s">
        <v>2514</v>
      </c>
      <c r="I59" s="170" t="s">
        <v>2514</v>
      </c>
      <c r="J59" s="170" t="s">
        <v>2513</v>
      </c>
      <c r="K59" s="293"/>
      <c r="L59" s="293"/>
      <c r="M59" s="294">
        <v>0</v>
      </c>
      <c r="N59" s="259" t="s">
        <v>2798</v>
      </c>
      <c r="P59" s="8"/>
    </row>
    <row r="60" spans="1:16">
      <c r="H60" t="s">
        <v>2515</v>
      </c>
      <c r="I60" s="171" t="s">
        <v>2515</v>
      </c>
      <c r="J60" s="171" t="s">
        <v>2516</v>
      </c>
      <c r="K60" s="291"/>
      <c r="L60" s="291"/>
      <c r="M60" s="292">
        <v>0</v>
      </c>
      <c r="N60" s="259"/>
      <c r="P60" s="8"/>
    </row>
    <row r="61" spans="1:16">
      <c r="H61" t="s">
        <v>2517</v>
      </c>
      <c r="I61" s="351" t="s">
        <v>2517</v>
      </c>
      <c r="J61" s="351" t="s">
        <v>2518</v>
      </c>
      <c r="K61" s="352"/>
      <c r="L61" s="352"/>
      <c r="M61" s="353">
        <v>0</v>
      </c>
      <c r="N61" s="259"/>
      <c r="P61" s="8"/>
    </row>
    <row r="62" spans="1:16">
      <c r="H62" t="s">
        <v>2519</v>
      </c>
      <c r="I62" s="170" t="s">
        <v>2519</v>
      </c>
      <c r="J62" s="170" t="s">
        <v>2520</v>
      </c>
      <c r="K62" s="293"/>
      <c r="L62" s="293"/>
      <c r="M62" s="294">
        <v>146984.31</v>
      </c>
      <c r="N62" s="259"/>
      <c r="P62" s="8"/>
    </row>
    <row r="63" spans="1:16">
      <c r="H63" t="s">
        <v>2521</v>
      </c>
      <c r="I63" s="171" t="s">
        <v>2521</v>
      </c>
      <c r="J63" s="171" t="s">
        <v>2522</v>
      </c>
      <c r="K63" s="291"/>
      <c r="L63" s="291"/>
      <c r="M63" s="292">
        <v>182856.28</v>
      </c>
      <c r="N63" s="259"/>
      <c r="P63" s="8"/>
    </row>
    <row r="64" spans="1:16">
      <c r="H64" t="s">
        <v>2523</v>
      </c>
      <c r="I64" s="170" t="s">
        <v>2523</v>
      </c>
      <c r="J64" s="170" t="s">
        <v>2524</v>
      </c>
      <c r="K64" s="293"/>
      <c r="L64" s="293"/>
      <c r="M64" s="294">
        <v>0</v>
      </c>
      <c r="N64" s="259"/>
      <c r="P64" s="8"/>
    </row>
    <row r="65" spans="8:16">
      <c r="H65" t="s">
        <v>2525</v>
      </c>
      <c r="I65" s="354" t="s">
        <v>2525</v>
      </c>
      <c r="J65" s="354" t="s">
        <v>2526</v>
      </c>
      <c r="K65" s="355"/>
      <c r="L65" s="355"/>
      <c r="M65" s="356">
        <v>0</v>
      </c>
      <c r="N65" s="259"/>
      <c r="P65" s="8"/>
    </row>
    <row r="66" spans="8:16">
      <c r="H66" t="s">
        <v>2527</v>
      </c>
      <c r="I66" s="171" t="s">
        <v>2527</v>
      </c>
      <c r="J66" s="171" t="s">
        <v>2528</v>
      </c>
      <c r="K66" s="291"/>
      <c r="L66" s="291"/>
      <c r="M66" s="292">
        <v>70495.98</v>
      </c>
      <c r="P66" s="8"/>
    </row>
    <row r="67" spans="8:16">
      <c r="H67" t="s">
        <v>2529</v>
      </c>
      <c r="I67" s="170" t="s">
        <v>2529</v>
      </c>
      <c r="J67" s="170" t="s">
        <v>2530</v>
      </c>
      <c r="K67" s="293"/>
      <c r="L67" s="293"/>
      <c r="M67" s="294">
        <v>152815.38</v>
      </c>
      <c r="N67" s="259" t="s">
        <v>2798</v>
      </c>
      <c r="P67" s="8"/>
    </row>
    <row r="68" spans="8:16">
      <c r="H68" t="s">
        <v>2531</v>
      </c>
      <c r="I68" s="171" t="s">
        <v>2531</v>
      </c>
      <c r="J68" s="171" t="s">
        <v>2532</v>
      </c>
      <c r="K68" s="291"/>
      <c r="L68" s="291"/>
      <c r="M68" s="292">
        <v>0</v>
      </c>
      <c r="P68" s="8"/>
    </row>
    <row r="69" spans="8:16">
      <c r="H69" t="s">
        <v>2533</v>
      </c>
      <c r="I69" s="351" t="s">
        <v>2533</v>
      </c>
      <c r="J69" s="351" t="s">
        <v>2534</v>
      </c>
      <c r="K69" s="352"/>
      <c r="L69" s="352"/>
      <c r="M69" s="353">
        <v>0</v>
      </c>
      <c r="P69" s="8"/>
    </row>
    <row r="70" spans="8:16">
      <c r="H70" t="s">
        <v>2535</v>
      </c>
      <c r="I70" s="170" t="s">
        <v>2535</v>
      </c>
      <c r="J70" s="170" t="s">
        <v>2536</v>
      </c>
      <c r="K70" s="293"/>
      <c r="L70" s="293"/>
      <c r="M70" s="294">
        <v>0</v>
      </c>
      <c r="P70" s="8"/>
    </row>
    <row r="71" spans="8:16">
      <c r="H71" t="s">
        <v>2537</v>
      </c>
      <c r="I71" s="171" t="s">
        <v>2537</v>
      </c>
      <c r="J71" s="171" t="s">
        <v>2538</v>
      </c>
      <c r="K71" s="291"/>
      <c r="L71" s="291"/>
      <c r="M71" s="292">
        <v>0</v>
      </c>
      <c r="P71" s="8"/>
    </row>
    <row r="72" spans="8:16">
      <c r="H72" t="s">
        <v>2539</v>
      </c>
      <c r="I72" s="170" t="s">
        <v>2539</v>
      </c>
      <c r="J72" s="170" t="s">
        <v>2540</v>
      </c>
      <c r="K72" s="293"/>
      <c r="L72" s="293"/>
      <c r="M72" s="294">
        <v>0</v>
      </c>
      <c r="P72" s="8"/>
    </row>
    <row r="73" spans="8:16">
      <c r="H73" t="s">
        <v>2541</v>
      </c>
      <c r="I73" s="354" t="s">
        <v>2541</v>
      </c>
      <c r="J73" s="354" t="s">
        <v>2542</v>
      </c>
      <c r="K73" s="355"/>
      <c r="L73" s="355"/>
      <c r="M73" s="356">
        <v>0</v>
      </c>
      <c r="P73" s="8"/>
    </row>
    <row r="74" spans="8:16">
      <c r="H74" t="s">
        <v>2543</v>
      </c>
      <c r="I74" s="171" t="s">
        <v>2543</v>
      </c>
      <c r="J74" s="171" t="s">
        <v>2544</v>
      </c>
      <c r="K74" s="291"/>
      <c r="L74" s="291"/>
      <c r="M74" s="292">
        <v>1167241.79</v>
      </c>
      <c r="P74" s="8"/>
    </row>
    <row r="75" spans="8:16">
      <c r="H75" t="s">
        <v>2545</v>
      </c>
      <c r="I75" s="170" t="s">
        <v>2545</v>
      </c>
      <c r="J75" s="170" t="s">
        <v>2546</v>
      </c>
      <c r="K75" s="293"/>
      <c r="L75" s="293"/>
      <c r="M75" s="294">
        <v>2539051.21</v>
      </c>
      <c r="P75" s="8"/>
    </row>
    <row r="76" spans="8:16">
      <c r="H76" t="s">
        <v>2547</v>
      </c>
      <c r="I76" s="171" t="s">
        <v>2547</v>
      </c>
      <c r="J76" s="171" t="s">
        <v>2548</v>
      </c>
      <c r="K76" s="291"/>
      <c r="L76" s="291"/>
      <c r="M76" s="292">
        <v>0</v>
      </c>
      <c r="P76" s="8"/>
    </row>
    <row r="77" spans="8:16">
      <c r="H77" s="157" t="s">
        <v>2549</v>
      </c>
      <c r="I77" s="354" t="s">
        <v>2549</v>
      </c>
      <c r="J77" s="354" t="s">
        <v>2550</v>
      </c>
      <c r="K77" s="355"/>
      <c r="L77" s="355"/>
      <c r="M77" s="356">
        <v>536760.51</v>
      </c>
      <c r="P77" s="8"/>
    </row>
    <row r="78" spans="8:16">
      <c r="H78" s="157" t="s">
        <v>2854</v>
      </c>
      <c r="I78" s="406" t="s">
        <v>2854</v>
      </c>
      <c r="J78" s="407" t="s">
        <v>2855</v>
      </c>
      <c r="K78" s="408"/>
      <c r="L78" s="408"/>
      <c r="M78" s="408">
        <v>0</v>
      </c>
      <c r="N78" s="157" t="s">
        <v>2905</v>
      </c>
      <c r="P78" s="8"/>
    </row>
    <row r="79" spans="8:16">
      <c r="H79" t="s">
        <v>2551</v>
      </c>
      <c r="I79" s="171" t="s">
        <v>2551</v>
      </c>
      <c r="J79" s="171" t="s">
        <v>2552</v>
      </c>
      <c r="K79" s="291"/>
      <c r="L79" s="291"/>
      <c r="M79" s="292">
        <v>393094.83</v>
      </c>
      <c r="P79" s="8"/>
    </row>
    <row r="80" spans="8:16">
      <c r="H80" t="s">
        <v>2553</v>
      </c>
      <c r="I80" s="170" t="s">
        <v>2553</v>
      </c>
      <c r="J80" s="170" t="s">
        <v>2552</v>
      </c>
      <c r="K80" s="293"/>
      <c r="L80" s="293"/>
      <c r="M80" s="294">
        <v>510496.77</v>
      </c>
      <c r="P80" s="8"/>
    </row>
    <row r="81" spans="8:16">
      <c r="H81" t="s">
        <v>2554</v>
      </c>
      <c r="I81" s="171" t="s">
        <v>2554</v>
      </c>
      <c r="J81" s="171" t="s">
        <v>2555</v>
      </c>
      <c r="K81" s="291"/>
      <c r="L81" s="291"/>
      <c r="M81" s="292">
        <v>0</v>
      </c>
      <c r="P81" s="8"/>
    </row>
    <row r="82" spans="8:16">
      <c r="H82" t="s">
        <v>2556</v>
      </c>
      <c r="I82" s="171" t="s">
        <v>2556</v>
      </c>
      <c r="J82" s="171" t="s">
        <v>2557</v>
      </c>
      <c r="K82" s="291"/>
      <c r="L82" s="291"/>
      <c r="M82" s="292">
        <v>0</v>
      </c>
      <c r="P82" s="8"/>
    </row>
    <row r="83" spans="8:16">
      <c r="H83" t="s">
        <v>2558</v>
      </c>
      <c r="I83" s="170" t="s">
        <v>2558</v>
      </c>
      <c r="J83" s="170" t="s">
        <v>2559</v>
      </c>
      <c r="K83" s="293"/>
      <c r="L83" s="293"/>
      <c r="M83" s="294">
        <v>54558.92</v>
      </c>
      <c r="P83" s="8"/>
    </row>
    <row r="84" spans="8:16">
      <c r="H84" t="s">
        <v>2560</v>
      </c>
      <c r="I84" s="171" t="s">
        <v>2560</v>
      </c>
      <c r="J84" s="171" t="s">
        <v>2559</v>
      </c>
      <c r="K84" s="291"/>
      <c r="L84" s="291"/>
      <c r="M84" s="292">
        <v>215904.48</v>
      </c>
      <c r="N84" s="276" t="s">
        <v>2929</v>
      </c>
      <c r="P84" s="8"/>
    </row>
    <row r="85" spans="8:16">
      <c r="H85" t="s">
        <v>2561</v>
      </c>
      <c r="I85" s="170" t="s">
        <v>2561</v>
      </c>
      <c r="J85" s="170" t="s">
        <v>2562</v>
      </c>
      <c r="K85" s="293"/>
      <c r="L85" s="293"/>
      <c r="M85" s="294">
        <v>0</v>
      </c>
      <c r="P85" s="8"/>
    </row>
    <row r="86" spans="8:16">
      <c r="H86" t="s">
        <v>2563</v>
      </c>
      <c r="I86" s="354" t="s">
        <v>2563</v>
      </c>
      <c r="J86" s="354" t="s">
        <v>2564</v>
      </c>
      <c r="K86" s="355"/>
      <c r="L86" s="355"/>
      <c r="M86" s="356">
        <v>0</v>
      </c>
      <c r="P86" s="8"/>
    </row>
    <row r="87" spans="8:16">
      <c r="H87" t="s">
        <v>2565</v>
      </c>
      <c r="I87" s="171" t="s">
        <v>2565</v>
      </c>
      <c r="J87" s="171" t="s">
        <v>2566</v>
      </c>
      <c r="K87" s="291"/>
      <c r="L87" s="291"/>
      <c r="M87" s="292">
        <v>0</v>
      </c>
      <c r="P87" s="8"/>
    </row>
    <row r="88" spans="8:16">
      <c r="H88" t="s">
        <v>2567</v>
      </c>
      <c r="I88" s="170" t="s">
        <v>2567</v>
      </c>
      <c r="J88" s="170" t="s">
        <v>2568</v>
      </c>
      <c r="K88" s="293"/>
      <c r="L88" s="293"/>
      <c r="M88" s="294">
        <v>0</v>
      </c>
      <c r="P88" s="8"/>
    </row>
    <row r="89" spans="8:16">
      <c r="H89" t="s">
        <v>2569</v>
      </c>
      <c r="I89" s="354" t="s">
        <v>2569</v>
      </c>
      <c r="J89" s="354" t="s">
        <v>2570</v>
      </c>
      <c r="K89" s="355"/>
      <c r="L89" s="355"/>
      <c r="M89" s="356">
        <v>0</v>
      </c>
      <c r="P89" s="8"/>
    </row>
    <row r="90" spans="8:16">
      <c r="H90" t="s">
        <v>2571</v>
      </c>
      <c r="I90" s="171" t="s">
        <v>2571</v>
      </c>
      <c r="J90" s="171" t="s">
        <v>2572</v>
      </c>
      <c r="K90" s="291"/>
      <c r="L90" s="291"/>
      <c r="M90" s="292">
        <v>140210.6</v>
      </c>
      <c r="P90" s="8"/>
    </row>
    <row r="91" spans="8:16">
      <c r="H91" t="s">
        <v>2573</v>
      </c>
      <c r="I91" s="170" t="s">
        <v>2573</v>
      </c>
      <c r="J91" s="170" t="s">
        <v>2574</v>
      </c>
      <c r="K91" s="293"/>
      <c r="L91" s="293"/>
      <c r="M91" s="294">
        <v>262181.18</v>
      </c>
      <c r="P91" s="8"/>
    </row>
    <row r="92" spans="8:16">
      <c r="H92" t="s">
        <v>2575</v>
      </c>
      <c r="I92" s="171" t="s">
        <v>2575</v>
      </c>
      <c r="J92" s="171" t="s">
        <v>2576</v>
      </c>
      <c r="K92" s="291"/>
      <c r="L92" s="291"/>
      <c r="M92" s="292">
        <v>0</v>
      </c>
      <c r="P92" s="8"/>
    </row>
    <row r="93" spans="8:16">
      <c r="H93" t="s">
        <v>2577</v>
      </c>
      <c r="I93" s="170" t="s">
        <v>2577</v>
      </c>
      <c r="J93" s="170" t="s">
        <v>2578</v>
      </c>
      <c r="K93" s="293"/>
      <c r="L93" s="293"/>
      <c r="M93" s="294">
        <v>0</v>
      </c>
      <c r="P93" s="8"/>
    </row>
    <row r="94" spans="8:16">
      <c r="H94" t="s">
        <v>2579</v>
      </c>
      <c r="I94" s="354" t="s">
        <v>2579</v>
      </c>
      <c r="J94" s="354" t="s">
        <v>2580</v>
      </c>
      <c r="K94" s="355"/>
      <c r="L94" s="355"/>
      <c r="M94" s="356">
        <v>0</v>
      </c>
      <c r="P94" s="8"/>
    </row>
    <row r="95" spans="8:16">
      <c r="H95" s="157" t="s">
        <v>2884</v>
      </c>
      <c r="I95" s="415" t="s">
        <v>2884</v>
      </c>
      <c r="J95" s="415" t="s">
        <v>2885</v>
      </c>
      <c r="K95" s="416"/>
      <c r="L95" s="416"/>
      <c r="M95" s="417">
        <v>0</v>
      </c>
      <c r="N95" s="259" t="s">
        <v>2883</v>
      </c>
      <c r="P95" s="8"/>
    </row>
    <row r="96" spans="8:16">
      <c r="H96" t="s">
        <v>2581</v>
      </c>
      <c r="I96" s="171" t="s">
        <v>2581</v>
      </c>
      <c r="J96" s="171" t="s">
        <v>2582</v>
      </c>
      <c r="K96" s="291"/>
      <c r="L96" s="291"/>
      <c r="M96" s="292">
        <v>14813.4</v>
      </c>
      <c r="P96" s="8"/>
    </row>
    <row r="97" spans="8:16">
      <c r="H97" t="s">
        <v>2583</v>
      </c>
      <c r="I97" s="170" t="s">
        <v>2583</v>
      </c>
      <c r="J97" s="170" t="s">
        <v>2584</v>
      </c>
      <c r="K97" s="293"/>
      <c r="L97" s="293"/>
      <c r="M97" s="294">
        <v>20327.759999999998</v>
      </c>
      <c r="P97" s="8"/>
    </row>
    <row r="98" spans="8:16">
      <c r="H98" t="s">
        <v>2585</v>
      </c>
      <c r="I98" s="171" t="s">
        <v>2585</v>
      </c>
      <c r="J98" s="171" t="s">
        <v>2586</v>
      </c>
      <c r="K98" s="291"/>
      <c r="L98" s="291"/>
      <c r="M98" s="292">
        <v>0</v>
      </c>
      <c r="P98" s="8"/>
    </row>
    <row r="99" spans="8:16">
      <c r="H99" t="s">
        <v>2587</v>
      </c>
      <c r="I99" s="354" t="s">
        <v>2587</v>
      </c>
      <c r="J99" s="354" t="s">
        <v>2588</v>
      </c>
      <c r="K99" s="355"/>
      <c r="L99" s="355"/>
      <c r="M99" s="356">
        <v>0</v>
      </c>
      <c r="P99" s="8"/>
    </row>
  </sheetData>
  <mergeCells count="11">
    <mergeCell ref="A55:B55"/>
    <mergeCell ref="A47:B47"/>
    <mergeCell ref="A51:B51"/>
    <mergeCell ref="A39:B39"/>
    <mergeCell ref="A1:E1"/>
    <mergeCell ref="A2:E2"/>
    <mergeCell ref="A7:B7"/>
    <mergeCell ref="A15:B15"/>
    <mergeCell ref="A3:E3"/>
    <mergeCell ref="A23:B23"/>
    <mergeCell ref="A31:B31"/>
  </mergeCells>
  <phoneticPr fontId="10" type="noConversion"/>
  <conditionalFormatting sqref="J39">
    <cfRule type="duplicateValues" dxfId="2" priority="3"/>
  </conditionalFormatting>
  <conditionalFormatting sqref="J45">
    <cfRule type="duplicateValues" dxfId="1" priority="2"/>
  </conditionalFormatting>
  <conditionalFormatting sqref="J78">
    <cfRule type="duplicateValues" dxfId="0" priority="1"/>
  </conditionalFormatting>
  <pageMargins left="0.5" right="0.5" top="0.5" bottom="0.5" header="0.5" footer="0.5"/>
  <pageSetup scale="47" orientation="landscape" horizontalDpi="4294967292"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tabColor rgb="FFFFFF00"/>
    <pageSetUpPr fitToPage="1"/>
  </sheetPr>
  <dimension ref="A1:F46"/>
  <sheetViews>
    <sheetView workbookViewId="0">
      <selection activeCell="D32" sqref="D32"/>
    </sheetView>
  </sheetViews>
  <sheetFormatPr defaultColWidth="8.85546875" defaultRowHeight="12.75"/>
  <cols>
    <col min="1" max="1" width="10.28515625" customWidth="1"/>
    <col min="2" max="2" width="43.28515625" customWidth="1"/>
    <col min="3" max="3" width="24" style="51" bestFit="1" customWidth="1"/>
    <col min="4" max="4" width="13.5703125" style="50" bestFit="1" customWidth="1"/>
    <col min="5" max="5" width="13.5703125" style="50" customWidth="1"/>
    <col min="6" max="6" width="14.28515625" customWidth="1"/>
    <col min="7" max="7" width="11.85546875" bestFit="1" customWidth="1"/>
  </cols>
  <sheetData>
    <row r="1" spans="1:6">
      <c r="A1" s="435" t="s">
        <v>1133</v>
      </c>
      <c r="B1" s="435"/>
      <c r="C1" s="435"/>
      <c r="D1" s="435"/>
      <c r="E1" s="6"/>
      <c r="F1" s="6"/>
    </row>
    <row r="2" spans="1:6">
      <c r="A2" s="435" t="s">
        <v>2589</v>
      </c>
      <c r="B2" s="435"/>
      <c r="C2" s="435"/>
      <c r="D2" s="435"/>
      <c r="E2" s="6"/>
      <c r="F2" s="6"/>
    </row>
    <row r="3" spans="1:6">
      <c r="A3" s="435" t="str">
        <f>'AZ WIP'!A3:F3</f>
        <v>As of July 31st 2025</v>
      </c>
      <c r="B3" s="435"/>
      <c r="C3" s="435"/>
      <c r="D3" s="435"/>
      <c r="E3" s="6"/>
      <c r="F3" s="6"/>
    </row>
    <row r="4" spans="1:6">
      <c r="A4" s="435" t="s">
        <v>2590</v>
      </c>
      <c r="B4" s="435"/>
      <c r="C4" s="435"/>
      <c r="D4" s="435"/>
      <c r="E4" s="6"/>
      <c r="F4" s="6"/>
    </row>
    <row r="6" spans="1:6">
      <c r="C6" s="20" t="s">
        <v>2403</v>
      </c>
      <c r="D6" s="91" t="s">
        <v>2430</v>
      </c>
      <c r="E6" s="91" t="s">
        <v>2447</v>
      </c>
      <c r="F6" s="5" t="s">
        <v>822</v>
      </c>
    </row>
    <row r="7" spans="1:6" ht="13.5" thickBot="1">
      <c r="C7" s="21"/>
      <c r="D7" s="92"/>
      <c r="E7" s="92"/>
      <c r="F7" s="7"/>
    </row>
    <row r="9" spans="1:6">
      <c r="A9" t="s">
        <v>2406</v>
      </c>
      <c r="B9" s="15" t="s">
        <v>2407</v>
      </c>
      <c r="C9" s="133">
        <f>Recap!C8</f>
        <v>6033.2699999999995</v>
      </c>
      <c r="D9" s="134">
        <f>Recap!C16</f>
        <v>0</v>
      </c>
      <c r="E9" s="134">
        <f>Recap!C24</f>
        <v>0</v>
      </c>
      <c r="F9" s="55">
        <f>C9+D9+E9</f>
        <v>6033.2699999999995</v>
      </c>
    </row>
    <row r="10" spans="1:6">
      <c r="C10" s="58"/>
      <c r="F10" s="55"/>
    </row>
    <row r="11" spans="1:6">
      <c r="A11" t="s">
        <v>2410</v>
      </c>
      <c r="B11" t="s">
        <v>2411</v>
      </c>
      <c r="C11" s="133">
        <f>Recap!C9</f>
        <v>533858.09000000008</v>
      </c>
      <c r="D11" s="135">
        <f>Recap!C17</f>
        <v>2008952.5300000005</v>
      </c>
      <c r="E11" s="135">
        <f>Recap!C25</f>
        <v>0</v>
      </c>
      <c r="F11" s="55">
        <f t="shared" ref="F11:F13" si="0">C11+D11+E11</f>
        <v>2542810.6200000006</v>
      </c>
    </row>
    <row r="12" spans="1:6">
      <c r="A12" t="s">
        <v>2591</v>
      </c>
      <c r="B12" t="s">
        <v>2592</v>
      </c>
      <c r="C12" s="135">
        <f>'FL+AZ - RM'!I67+'FL+AZ - RM'!G74</f>
        <v>20776.339079962625</v>
      </c>
      <c r="D12" s="135">
        <f>'FL+AZ - RM'!E67+'FL+AZ - RM'!C74</f>
        <v>84918.822557437496</v>
      </c>
      <c r="E12" s="135">
        <v>0</v>
      </c>
      <c r="F12" s="55">
        <f t="shared" si="0"/>
        <v>105695.16163740012</v>
      </c>
    </row>
    <row r="13" spans="1:6">
      <c r="A13" t="s">
        <v>2593</v>
      </c>
      <c r="B13" t="s">
        <v>2594</v>
      </c>
      <c r="C13" s="135">
        <f>Recap!M26</f>
        <v>-54850.09</v>
      </c>
      <c r="D13" s="135">
        <f>Recap!M27+Recap!M28</f>
        <v>-189676.72</v>
      </c>
      <c r="E13" s="135">
        <v>0</v>
      </c>
      <c r="F13" s="55">
        <f t="shared" si="0"/>
        <v>-244526.81</v>
      </c>
    </row>
    <row r="14" spans="1:6">
      <c r="C14" s="58"/>
      <c r="F14" s="55"/>
    </row>
    <row r="15" spans="1:6">
      <c r="B15" s="15" t="s">
        <v>2595</v>
      </c>
      <c r="C15" s="55">
        <f>SUM(C11:C14)</f>
        <v>499784.33907996269</v>
      </c>
      <c r="D15" s="16">
        <f>SUM(D11:D14)</f>
        <v>1904194.632557438</v>
      </c>
      <c r="E15" s="16">
        <f>SUM(E11:E14)</f>
        <v>0</v>
      </c>
      <c r="F15" s="55">
        <f>C15+D15+E15</f>
        <v>2403978.9716374008</v>
      </c>
    </row>
    <row r="16" spans="1:6">
      <c r="C16" s="88"/>
      <c r="D16" s="89"/>
      <c r="E16" s="89"/>
      <c r="F16" s="55"/>
    </row>
    <row r="17" spans="1:6">
      <c r="A17" t="s">
        <v>2413</v>
      </c>
      <c r="B17" t="s">
        <v>2414</v>
      </c>
      <c r="C17" s="133">
        <f>Recap!C10</f>
        <v>330379.11999999988</v>
      </c>
      <c r="D17" s="135">
        <f>Recap!C18</f>
        <v>622672.03999999992</v>
      </c>
      <c r="E17" s="135">
        <f>Recap!C26</f>
        <v>24066.35</v>
      </c>
      <c r="F17" s="55">
        <f t="shared" ref="F17:F20" si="1">C17+D17+E17</f>
        <v>977117.50999999978</v>
      </c>
    </row>
    <row r="18" spans="1:6">
      <c r="A18" t="s">
        <v>2596</v>
      </c>
      <c r="B18" t="s">
        <v>2597</v>
      </c>
      <c r="C18" s="133">
        <f>Recap!M18</f>
        <v>0</v>
      </c>
      <c r="D18" s="135">
        <f>Recap!M19+Recap!M20</f>
        <v>-367.99</v>
      </c>
      <c r="E18" s="135">
        <v>0</v>
      </c>
      <c r="F18" s="55">
        <f t="shared" si="1"/>
        <v>-367.99</v>
      </c>
    </row>
    <row r="19" spans="1:6">
      <c r="A19" s="157" t="s">
        <v>2598</v>
      </c>
      <c r="B19" s="157" t="s">
        <v>2599</v>
      </c>
      <c r="C19" s="133">
        <f>Recap!M96</f>
        <v>14813.4</v>
      </c>
      <c r="D19" s="135">
        <f>Recap!M97</f>
        <v>20327.759999999998</v>
      </c>
      <c r="E19" s="135">
        <v>0</v>
      </c>
      <c r="F19" s="55">
        <f t="shared" si="1"/>
        <v>35141.159999999996</v>
      </c>
    </row>
    <row r="20" spans="1:6">
      <c r="B20" s="15" t="s">
        <v>2600</v>
      </c>
      <c r="C20" s="16">
        <f>SUM(C17:C19)</f>
        <v>345192.5199999999</v>
      </c>
      <c r="D20" s="16">
        <f>SUM(D17:D19)</f>
        <v>642631.80999999994</v>
      </c>
      <c r="E20" s="16">
        <f>SUM(E17:E19)</f>
        <v>24066.35</v>
      </c>
      <c r="F20" s="55">
        <f t="shared" si="1"/>
        <v>1011890.6799999998</v>
      </c>
    </row>
    <row r="21" spans="1:6">
      <c r="C21" s="58"/>
      <c r="D21" s="89" t="s">
        <v>1133</v>
      </c>
      <c r="E21" s="89"/>
      <c r="F21" s="55"/>
    </row>
    <row r="22" spans="1:6">
      <c r="A22" t="s">
        <v>2417</v>
      </c>
      <c r="B22" t="s">
        <v>2601</v>
      </c>
      <c r="C22" s="189">
        <f>Recap!C11</f>
        <v>3917289.58</v>
      </c>
      <c r="D22" s="190">
        <f>Recap!C19</f>
        <v>4113035.1599999997</v>
      </c>
      <c r="E22" s="190">
        <f>Recap!C27</f>
        <v>7484.55</v>
      </c>
      <c r="F22" s="55">
        <f t="shared" ref="F22:F28" si="2">C22+D22+E22</f>
        <v>8037809.29</v>
      </c>
    </row>
    <row r="23" spans="1:6">
      <c r="A23" t="s">
        <v>2602</v>
      </c>
      <c r="B23" t="s">
        <v>2603</v>
      </c>
      <c r="C23" s="189">
        <f>'AZ WIP'!F210</f>
        <v>600307.6576871227</v>
      </c>
      <c r="D23" s="192">
        <f>'FL WIP'!F270</f>
        <v>68407.20421691997</v>
      </c>
      <c r="E23" s="192"/>
      <c r="F23" s="55">
        <f t="shared" si="2"/>
        <v>668714.86190404266</v>
      </c>
    </row>
    <row r="24" spans="1:6">
      <c r="A24" t="s">
        <v>2604</v>
      </c>
      <c r="B24" t="s">
        <v>2605</v>
      </c>
      <c r="C24" s="191">
        <f>'AZ WIP'!H210+'AZ WIP'!J210</f>
        <v>275069.19990583695</v>
      </c>
      <c r="D24" s="192">
        <f>'FL WIP'!I299+'FL WIP'!F295</f>
        <v>380749.88677355554</v>
      </c>
      <c r="E24" s="192"/>
      <c r="F24" s="55">
        <f t="shared" si="2"/>
        <v>655819.08667939249</v>
      </c>
    </row>
    <row r="25" spans="1:6" ht="12.75" customHeight="1">
      <c r="A25" t="s">
        <v>2606</v>
      </c>
      <c r="B25" t="s">
        <v>2607</v>
      </c>
      <c r="C25" s="138">
        <v>0</v>
      </c>
      <c r="D25" s="139"/>
      <c r="E25" s="139"/>
      <c r="F25" s="55">
        <f t="shared" si="2"/>
        <v>0</v>
      </c>
    </row>
    <row r="26" spans="1:6">
      <c r="A26" t="s">
        <v>2608</v>
      </c>
      <c r="B26" t="s">
        <v>2609</v>
      </c>
      <c r="C26" s="192">
        <f>Recap!M22</f>
        <v>-16183.6</v>
      </c>
      <c r="D26" s="192">
        <f>Recap!$M$23+Recap!M24</f>
        <v>-19129.169999999998</v>
      </c>
      <c r="E26" s="192"/>
      <c r="F26" s="55">
        <f t="shared" si="2"/>
        <v>-35312.769999999997</v>
      </c>
    </row>
    <row r="27" spans="1:6">
      <c r="A27" t="s">
        <v>2481</v>
      </c>
      <c r="B27" t="s">
        <v>2482</v>
      </c>
      <c r="C27" s="189">
        <f>Recap!C48</f>
        <v>156691.58319999999</v>
      </c>
      <c r="D27" s="192">
        <f>+Recap!C52</f>
        <v>164521.40639999998</v>
      </c>
      <c r="E27" s="192"/>
      <c r="F27" s="55">
        <f t="shared" si="2"/>
        <v>321212.98959999997</v>
      </c>
    </row>
    <row r="28" spans="1:6">
      <c r="B28" s="15" t="s">
        <v>2610</v>
      </c>
      <c r="C28" s="35">
        <f>SUM(C22:C27)</f>
        <v>4933174.4207929606</v>
      </c>
      <c r="D28" s="35">
        <f>SUM(D22:D27)</f>
        <v>4707584.4873904744</v>
      </c>
      <c r="E28" s="35">
        <f>SUM(E22:E27)</f>
        <v>7484.55</v>
      </c>
      <c r="F28" s="55">
        <f t="shared" si="2"/>
        <v>9648243.4581834357</v>
      </c>
    </row>
    <row r="29" spans="1:6">
      <c r="C29" s="58"/>
      <c r="F29" s="55"/>
    </row>
    <row r="30" spans="1:6">
      <c r="A30" t="s">
        <v>2421</v>
      </c>
      <c r="B30" t="s">
        <v>2611</v>
      </c>
      <c r="C30" s="133">
        <f>Recap!C12</f>
        <v>1186811.75</v>
      </c>
      <c r="D30" s="135">
        <f>Recap!C20</f>
        <v>2539188.4699999993</v>
      </c>
      <c r="E30" s="135">
        <f>Recap!C28</f>
        <v>537923.30999999982</v>
      </c>
      <c r="F30" s="55">
        <f t="shared" ref="F30:F37" si="3">C30+D30+E30</f>
        <v>4263923.5299999993</v>
      </c>
    </row>
    <row r="31" spans="1:6">
      <c r="A31" t="s">
        <v>2612</v>
      </c>
      <c r="B31" t="s">
        <v>2613</v>
      </c>
      <c r="C31" s="133">
        <f>'AZ DL&amp;OH FG'!E391</f>
        <v>417983.63156834501</v>
      </c>
      <c r="D31" s="135">
        <f>'FL DL&amp;OH FG'!C377</f>
        <v>529990.0258238652</v>
      </c>
      <c r="E31" s="135"/>
      <c r="F31" s="55">
        <f t="shared" si="3"/>
        <v>947973.65739221021</v>
      </c>
    </row>
    <row r="32" spans="1:6">
      <c r="A32" t="s">
        <v>2614</v>
      </c>
      <c r="B32" t="s">
        <v>2615</v>
      </c>
      <c r="C32" s="136">
        <f>'AZ DL&amp;OH FG'!H388+'AZ DL&amp;OH FG'!F401+'AZ DL&amp;OH FG'!F409</f>
        <v>50347.159411717497</v>
      </c>
      <c r="D32" s="137">
        <f>ROUND('FL DL&amp;OH FG'!C382+'FL DL&amp;OH FG'!J384+'FL DL&amp;OH FG'!G389+'FL DL&amp;OH FG'!H389+'FL DL&amp;OH FG'!C391+'FL DL&amp;OH FG'!I389,2)</f>
        <v>217751.5</v>
      </c>
      <c r="E32" s="137"/>
      <c r="F32" s="55">
        <f t="shared" si="3"/>
        <v>268098.6594117175</v>
      </c>
    </row>
    <row r="33" spans="1:6">
      <c r="A33" t="s">
        <v>2616</v>
      </c>
      <c r="B33" t="s">
        <v>2617</v>
      </c>
      <c r="C33" s="136">
        <f>'Summary 2'!G32</f>
        <v>0</v>
      </c>
      <c r="D33" s="137">
        <f>'Summary 2'!AA32</f>
        <v>0</v>
      </c>
      <c r="E33" s="137"/>
      <c r="F33" s="55">
        <f t="shared" si="3"/>
        <v>0</v>
      </c>
    </row>
    <row r="34" spans="1:6">
      <c r="A34" t="s">
        <v>2618</v>
      </c>
      <c r="B34" t="s">
        <v>2619</v>
      </c>
      <c r="C34" s="136">
        <f>Recap!M90</f>
        <v>140210.6</v>
      </c>
      <c r="D34" s="137">
        <f>Recap!M91</f>
        <v>262181.18</v>
      </c>
      <c r="E34" s="137"/>
      <c r="F34" s="55">
        <f t="shared" si="3"/>
        <v>402391.78</v>
      </c>
    </row>
    <row r="35" spans="1:6" ht="12.75" customHeight="1">
      <c r="A35" s="157" t="s">
        <v>2620</v>
      </c>
      <c r="B35" t="s">
        <v>2621</v>
      </c>
      <c r="C35" s="133">
        <f>Recap!M14</f>
        <v>-7903.98</v>
      </c>
      <c r="D35" s="133">
        <f>Recap!M15+Recap!M16</f>
        <v>-19069.650000000001</v>
      </c>
      <c r="E35" s="133">
        <f>Recap!M17</f>
        <v>73111.98</v>
      </c>
      <c r="F35" s="55">
        <f t="shared" si="3"/>
        <v>46138.349999999991</v>
      </c>
    </row>
    <row r="36" spans="1:6" ht="12.75" customHeight="1">
      <c r="A36" s="157" t="s">
        <v>2485</v>
      </c>
      <c r="B36" s="157" t="s">
        <v>2486</v>
      </c>
      <c r="C36" s="189">
        <f>+Recap!C49</f>
        <v>71208.705000000002</v>
      </c>
      <c r="D36" s="192">
        <f>+Recap!C53</f>
        <v>152351.30819999994</v>
      </c>
      <c r="E36" s="192"/>
      <c r="F36" s="55">
        <f t="shared" si="3"/>
        <v>223560.01319999993</v>
      </c>
    </row>
    <row r="37" spans="1:6">
      <c r="B37" s="15" t="s">
        <v>2622</v>
      </c>
      <c r="C37" s="16">
        <f>SUM(C30:C36)</f>
        <v>1858657.8659800626</v>
      </c>
      <c r="D37" s="16">
        <f>SUM(D30:D36)</f>
        <v>3682392.8340238645</v>
      </c>
      <c r="E37" s="16">
        <f>SUM(E30:E36)</f>
        <v>611035.2899999998</v>
      </c>
      <c r="F37" s="55">
        <f t="shared" si="3"/>
        <v>6152085.9900039276</v>
      </c>
    </row>
    <row r="38" spans="1:6">
      <c r="C38" s="88" t="s">
        <v>1133</v>
      </c>
      <c r="D38" s="89" t="s">
        <v>1133</v>
      </c>
      <c r="E38" s="89"/>
      <c r="F38" s="58"/>
    </row>
    <row r="39" spans="1:6" ht="13.5" thickBot="1">
      <c r="B39" s="15" t="s">
        <v>822</v>
      </c>
      <c r="C39" s="56">
        <f>C15+C20+C28+C37+C9</f>
        <v>7642842.4158529853</v>
      </c>
      <c r="D39" s="90">
        <f>D15+D20+D28+D37+D9</f>
        <v>10936803.763971778</v>
      </c>
      <c r="E39" s="90">
        <f>E15+E20+E28+E37+E9</f>
        <v>642586.18999999983</v>
      </c>
      <c r="F39" s="56">
        <f>F15+F20+F28+F37+F9</f>
        <v>19222232.369824763</v>
      </c>
    </row>
    <row r="40" spans="1:6" ht="13.5" thickTop="1">
      <c r="C40" s="52"/>
      <c r="F40" s="54"/>
    </row>
    <row r="41" spans="1:6">
      <c r="C41" s="53"/>
      <c r="D41" s="89" t="s">
        <v>1133</v>
      </c>
      <c r="E41" s="89"/>
      <c r="F41" s="54"/>
    </row>
    <row r="42" spans="1:6">
      <c r="C42" s="53"/>
      <c r="D42" s="89"/>
      <c r="E42" s="89"/>
      <c r="F42" s="54"/>
    </row>
    <row r="43" spans="1:6">
      <c r="C43" s="53"/>
      <c r="F43" s="54"/>
    </row>
    <row r="44" spans="1:6">
      <c r="C44" s="53"/>
      <c r="F44" s="54"/>
    </row>
    <row r="45" spans="1:6">
      <c r="C45" s="259"/>
    </row>
    <row r="46" spans="1:6">
      <c r="C46" s="259"/>
    </row>
  </sheetData>
  <mergeCells count="4">
    <mergeCell ref="A1:D1"/>
    <mergeCell ref="A3:D3"/>
    <mergeCell ref="A2:D2"/>
    <mergeCell ref="A4:D4"/>
  </mergeCells>
  <phoneticPr fontId="10" type="noConversion"/>
  <pageMargins left="0.5" right="0.5" top="0.5" bottom="0.5" header="0.5" footer="0.5"/>
  <pageSetup orientation="landscape" horizontalDpi="4294967292"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tabColor rgb="FFFFFF00"/>
    <pageSetUpPr fitToPage="1"/>
  </sheetPr>
  <dimension ref="A1:T134"/>
  <sheetViews>
    <sheetView tabSelected="1" zoomScale="85" zoomScaleNormal="85" workbookViewId="0"/>
  </sheetViews>
  <sheetFormatPr defaultColWidth="9.140625" defaultRowHeight="12.75"/>
  <cols>
    <col min="1" max="1" width="16.5703125" style="109" customWidth="1"/>
    <col min="2" max="2" width="27" style="109" bestFit="1" customWidth="1"/>
    <col min="3" max="3" width="9.28515625" style="109" bestFit="1" customWidth="1"/>
    <col min="4" max="4" width="6.140625" style="109" bestFit="1" customWidth="1"/>
    <col min="5" max="5" width="3" style="109" bestFit="1" customWidth="1"/>
    <col min="6" max="6" width="19.42578125" style="109" customWidth="1"/>
    <col min="7" max="7" width="13.7109375" style="109" customWidth="1"/>
    <col min="8" max="8" width="27.5703125" style="109" bestFit="1" customWidth="1"/>
    <col min="9" max="9" width="22.28515625" style="109" customWidth="1"/>
    <col min="10" max="10" width="28.5703125" style="109" customWidth="1"/>
    <col min="11" max="11" width="24.7109375" style="109" customWidth="1"/>
    <col min="12" max="13" width="12.85546875" style="109" bestFit="1" customWidth="1"/>
    <col min="14" max="14" width="16.7109375" style="109" customWidth="1"/>
    <col min="15" max="15" width="15.7109375" style="109" bestFit="1" customWidth="1"/>
    <col min="16" max="16" width="11.85546875" style="109" bestFit="1" customWidth="1"/>
    <col min="17" max="17" width="12.85546875" style="109" customWidth="1"/>
    <col min="18" max="18" width="1.85546875" style="109" customWidth="1"/>
    <col min="19" max="19" width="21.5703125" style="109" bestFit="1" customWidth="1"/>
    <col min="20" max="20" width="11.28515625" style="109" bestFit="1" customWidth="1"/>
    <col min="21" max="21" width="9.140625" style="109"/>
    <col min="22" max="22" width="11.28515625" style="109" bestFit="1" customWidth="1"/>
    <col min="23" max="16384" width="9.140625" style="109"/>
  </cols>
  <sheetData>
    <row r="1" spans="1:20">
      <c r="B1" s="449" t="s">
        <v>2657</v>
      </c>
      <c r="C1" s="449"/>
      <c r="D1" s="449"/>
      <c r="E1" s="449"/>
      <c r="F1" s="449"/>
      <c r="G1" s="449"/>
    </row>
    <row r="2" spans="1:20" ht="13.5" thickBot="1">
      <c r="B2" s="451" t="s">
        <v>2658</v>
      </c>
      <c r="C2" s="450"/>
      <c r="D2" s="450"/>
      <c r="E2" s="450"/>
      <c r="F2" s="450"/>
      <c r="G2" s="450"/>
    </row>
    <row r="3" spans="1:20" ht="13.5" thickBot="1">
      <c r="B3" s="149" t="s">
        <v>2659</v>
      </c>
      <c r="C3" s="149" t="s">
        <v>2660</v>
      </c>
      <c r="D3" s="149" t="s">
        <v>2661</v>
      </c>
      <c r="E3" s="149"/>
      <c r="F3" s="149" t="s">
        <v>2662</v>
      </c>
      <c r="G3" s="149" t="s">
        <v>2663</v>
      </c>
      <c r="I3" s="446" t="s">
        <v>2664</v>
      </c>
      <c r="J3" s="447"/>
      <c r="K3" s="448"/>
      <c r="L3" s="446" t="s">
        <v>2665</v>
      </c>
      <c r="M3" s="448"/>
      <c r="N3" s="188" t="s">
        <v>2666</v>
      </c>
      <c r="O3" s="188" t="s">
        <v>2667</v>
      </c>
      <c r="P3" s="188" t="s">
        <v>2668</v>
      </c>
    </row>
    <row r="4" spans="1:20">
      <c r="A4" s="109" t="str">
        <f>"01-"&amp;C4&amp;"-"&amp;D4&amp;"-"&amp;E4</f>
        <v>01-11333-000-01</v>
      </c>
      <c r="B4" s="148" t="s">
        <v>2669</v>
      </c>
      <c r="C4" s="148">
        <v>11333</v>
      </c>
      <c r="D4" s="168" t="s">
        <v>2670</v>
      </c>
      <c r="E4" s="168" t="s">
        <v>2644</v>
      </c>
      <c r="F4" s="296">
        <f>IF('AZ WIP'!H217&gt;0,'AZ WIP'!H217,"")</f>
        <v>42027.505899999989</v>
      </c>
      <c r="G4" s="296" t="str">
        <f>IF('AZ WIP'!H217&lt;0,-'AZ WIP'!H217,"")</f>
        <v/>
      </c>
      <c r="H4" s="150"/>
      <c r="I4" s="174"/>
      <c r="K4" s="175"/>
      <c r="L4" s="200" t="s">
        <v>2671</v>
      </c>
      <c r="M4" s="201" t="s">
        <v>2672</v>
      </c>
      <c r="N4" s="184"/>
      <c r="O4" s="184"/>
      <c r="P4" s="184"/>
    </row>
    <row r="5" spans="1:20">
      <c r="A5" s="109" t="str">
        <f t="shared" ref="A5:A15" si="0">"01-"&amp;C5&amp;"-"&amp;D5&amp;"-"&amp;E5</f>
        <v>01-15110-000-01</v>
      </c>
      <c r="B5" s="148" t="s">
        <v>2673</v>
      </c>
      <c r="C5" s="297">
        <v>15110</v>
      </c>
      <c r="D5" s="168" t="s">
        <v>2670</v>
      </c>
      <c r="E5" s="168" t="s">
        <v>2644</v>
      </c>
      <c r="F5" s="296" t="str">
        <f>IF('AZ WIP'!K221&lt;0,-'AZ WIP'!K221,"")</f>
        <v/>
      </c>
      <c r="G5" s="296">
        <f>IF('AZ WIP'!K221&gt;0,'AZ WIP'!K221,"")</f>
        <v>11228.429400000001</v>
      </c>
      <c r="H5" s="150"/>
      <c r="I5" s="176" t="s">
        <v>2396</v>
      </c>
      <c r="J5" s="170" t="s">
        <v>2397</v>
      </c>
      <c r="K5" s="195">
        <f>VLOOKUP(I5,Recap!I4:M93,5,0)</f>
        <v>6033.27</v>
      </c>
      <c r="L5" s="298">
        <f>SUMIF($A$4:$A$135,$I5,$F$4:$F$135)</f>
        <v>0</v>
      </c>
      <c r="M5" s="299">
        <f t="shared" ref="M5:M33" si="1">SUMIF($A$4:$A$135,$I5,$G$4:$G$135)</f>
        <v>0</v>
      </c>
      <c r="N5" s="185">
        <f>ROUND(K5+L5-M5,2)</f>
        <v>6033.27</v>
      </c>
      <c r="O5" s="185">
        <f>ROUND(Summary!C9,2)</f>
        <v>6033.27</v>
      </c>
      <c r="P5" s="185">
        <f>N5-O5</f>
        <v>0</v>
      </c>
      <c r="Q5" s="246">
        <f>O5-K5</f>
        <v>0</v>
      </c>
      <c r="T5" s="110"/>
    </row>
    <row r="6" spans="1:20">
      <c r="A6" s="109" t="str">
        <f t="shared" si="0"/>
        <v>01-15120-000-01</v>
      </c>
      <c r="B6" s="148" t="s">
        <v>2674</v>
      </c>
      <c r="C6" s="297">
        <v>15120</v>
      </c>
      <c r="D6" s="168" t="s">
        <v>2670</v>
      </c>
      <c r="E6" s="168" t="s">
        <v>2644</v>
      </c>
      <c r="F6" s="296" t="str">
        <f>IF('AZ WIP'!K222&lt;0,-'AZ WIP'!K222,"")</f>
        <v/>
      </c>
      <c r="G6" s="296">
        <f>IF('AZ WIP'!K222&gt;0,'AZ WIP'!K222,"")</f>
        <v>1280.5614999999962</v>
      </c>
      <c r="H6" s="150"/>
      <c r="I6" s="177" t="s">
        <v>2400</v>
      </c>
      <c r="J6" s="171" t="s">
        <v>2397</v>
      </c>
      <c r="K6" s="194">
        <f>VLOOKUP(I6,Recap!I5:M96,5,0)</f>
        <v>0</v>
      </c>
      <c r="L6" s="298">
        <f>SUMIF($A$4:$A$135,$I6,$F$4:$F$135)</f>
        <v>0</v>
      </c>
      <c r="M6" s="299">
        <f t="shared" si="1"/>
        <v>0</v>
      </c>
      <c r="N6" s="185">
        <f t="shared" ref="N6:N33" si="2">ROUND(K6+L6-M6,2)</f>
        <v>0</v>
      </c>
      <c r="O6" s="185">
        <f>ROUND(Summary!C10,2)</f>
        <v>0</v>
      </c>
      <c r="P6" s="185">
        <f>N6-O6</f>
        <v>0</v>
      </c>
      <c r="Q6" s="246">
        <f>O6-K6</f>
        <v>0</v>
      </c>
    </row>
    <row r="7" spans="1:20">
      <c r="A7" s="109" t="str">
        <f t="shared" si="0"/>
        <v>01-15130-000-01</v>
      </c>
      <c r="B7" s="148" t="s">
        <v>2675</v>
      </c>
      <c r="C7" s="148">
        <v>15130</v>
      </c>
      <c r="D7" s="168" t="s">
        <v>2670</v>
      </c>
      <c r="E7" s="168" t="s">
        <v>2644</v>
      </c>
      <c r="F7" s="296" t="str">
        <f>IF('AZ WIP'!K219&lt;0,-'AZ WIP'!K219,"")</f>
        <v/>
      </c>
      <c r="G7" s="296">
        <f>IF('AZ WIP'!K219&gt;0,'AZ WIP'!K219,"")</f>
        <v>24210.458999999999</v>
      </c>
      <c r="H7" s="150"/>
      <c r="I7" s="176" t="s">
        <v>2408</v>
      </c>
      <c r="J7" s="170" t="s">
        <v>2409</v>
      </c>
      <c r="K7" s="195">
        <f>VLOOKUP(I7,Recap!I5:M96,5,0)</f>
        <v>553298.19999999995</v>
      </c>
      <c r="L7" s="298">
        <f t="shared" ref="L7:L33" si="3">SUMIF($A$4:$A$135,I7,$F$4:$F$135)</f>
        <v>0</v>
      </c>
      <c r="M7" s="299">
        <f t="shared" si="1"/>
        <v>19440.10999999987</v>
      </c>
      <c r="N7" s="185">
        <f t="shared" si="2"/>
        <v>533858.09</v>
      </c>
      <c r="O7" s="185">
        <f>ROUND(Summary!C11,2)</f>
        <v>533858.09</v>
      </c>
      <c r="P7" s="185">
        <f t="shared" ref="P7:P28" si="4">N7-O7</f>
        <v>0</v>
      </c>
      <c r="Q7" s="246">
        <f>O7-K7</f>
        <v>-19440.109999999986</v>
      </c>
    </row>
    <row r="8" spans="1:20">
      <c r="A8" s="109" t="str">
        <f t="shared" si="0"/>
        <v>01-15140-000-01</v>
      </c>
      <c r="B8" s="148" t="s">
        <v>2676</v>
      </c>
      <c r="C8" s="148">
        <v>15140</v>
      </c>
      <c r="D8" s="147" t="s">
        <v>2670</v>
      </c>
      <c r="E8" s="168" t="s">
        <v>2644</v>
      </c>
      <c r="F8" s="296" t="str">
        <f>IF('AZ WIP'!K220&lt;0,-'AZ WIP'!K220,"")</f>
        <v/>
      </c>
      <c r="G8" s="296">
        <f>IF('AZ WIP'!K220&gt;0,'AZ WIP'!K220,"")</f>
        <v>5308.0560000000005</v>
      </c>
      <c r="H8" s="150"/>
      <c r="I8" s="177" t="s">
        <v>2412</v>
      </c>
      <c r="J8" s="171" t="s">
        <v>2409</v>
      </c>
      <c r="K8" s="194">
        <f>VLOOKUP(I8,Recap!I6:M97,5,0)</f>
        <v>2021639.71</v>
      </c>
      <c r="L8" s="298">
        <f t="shared" si="3"/>
        <v>0</v>
      </c>
      <c r="M8" s="299">
        <f t="shared" si="1"/>
        <v>12687.179999999469</v>
      </c>
      <c r="N8" s="185">
        <f t="shared" si="2"/>
        <v>2008952.53</v>
      </c>
      <c r="O8" s="185">
        <f>ROUND(Summary!D11,2)</f>
        <v>2008952.53</v>
      </c>
      <c r="P8" s="185">
        <f t="shared" si="4"/>
        <v>0</v>
      </c>
      <c r="Q8" s="246">
        <f t="shared" ref="Q8:Q29" si="5">O8-K8</f>
        <v>-12687.179999999935</v>
      </c>
    </row>
    <row r="9" spans="1:20">
      <c r="A9" s="109" t="str">
        <f t="shared" si="0"/>
        <v>01-15180-000-01</v>
      </c>
      <c r="B9" s="148" t="s">
        <v>2677</v>
      </c>
      <c r="C9" s="148">
        <v>15180</v>
      </c>
      <c r="D9" s="147" t="s">
        <v>2670</v>
      </c>
      <c r="E9" s="168" t="s">
        <v>2644</v>
      </c>
      <c r="F9" s="296" t="str">
        <f>IF('AZ WIP'!K223&lt;0,-'AZ WIP'!K223,"")</f>
        <v/>
      </c>
      <c r="G9" s="296" t="str">
        <f>IF('AZ WIP'!K223&gt;0,'AZ WIP'!K223,"")</f>
        <v/>
      </c>
      <c r="H9" s="150"/>
      <c r="I9" s="176" t="s">
        <v>2436</v>
      </c>
      <c r="J9" s="170" t="s">
        <v>2678</v>
      </c>
      <c r="K9" s="195">
        <f>VLOOKUP(I9,Recap!I8:M98,5,0)</f>
        <v>0</v>
      </c>
      <c r="L9" s="298">
        <f t="shared" si="3"/>
        <v>0</v>
      </c>
      <c r="M9" s="299">
        <f t="shared" si="1"/>
        <v>0</v>
      </c>
      <c r="N9" s="185">
        <f t="shared" si="2"/>
        <v>0</v>
      </c>
      <c r="O9" s="185">
        <f>ROUND(Summary!C18,2)</f>
        <v>0</v>
      </c>
      <c r="P9" s="185">
        <f>N9-O9</f>
        <v>0</v>
      </c>
      <c r="Q9" s="246">
        <f t="shared" si="5"/>
        <v>0</v>
      </c>
    </row>
    <row r="10" spans="1:20">
      <c r="A10" s="109" t="str">
        <f t="shared" si="0"/>
        <v>01---</v>
      </c>
      <c r="B10" s="148"/>
      <c r="C10" s="148"/>
      <c r="D10" s="147"/>
      <c r="E10" s="147"/>
      <c r="F10" s="296"/>
      <c r="G10" s="296"/>
      <c r="I10" s="177" t="s">
        <v>2459</v>
      </c>
      <c r="J10" s="171" t="s">
        <v>2460</v>
      </c>
      <c r="K10" s="194">
        <f>VLOOKUP(I10,Recap!I9:M99,5,0)</f>
        <v>24764.66</v>
      </c>
      <c r="L10" s="298">
        <f t="shared" si="3"/>
        <v>0</v>
      </c>
      <c r="M10" s="299">
        <f t="shared" si="1"/>
        <v>3988.3322202594227</v>
      </c>
      <c r="N10" s="185">
        <f t="shared" si="2"/>
        <v>20776.330000000002</v>
      </c>
      <c r="O10" s="185">
        <f>ROUND(Summary!C12,2)</f>
        <v>20776.34</v>
      </c>
      <c r="P10" s="185">
        <f t="shared" si="4"/>
        <v>-9.9999999983992893E-3</v>
      </c>
      <c r="Q10" s="246">
        <f t="shared" si="5"/>
        <v>-3988.3199999999997</v>
      </c>
    </row>
    <row r="11" spans="1:20">
      <c r="A11" s="109" t="str">
        <f t="shared" si="0"/>
        <v>01-15140-000-02</v>
      </c>
      <c r="B11" s="148" t="s">
        <v>852</v>
      </c>
      <c r="C11" s="148">
        <v>15140</v>
      </c>
      <c r="D11" s="147" t="s">
        <v>2670</v>
      </c>
      <c r="E11" s="147" t="s">
        <v>2679</v>
      </c>
      <c r="F11" s="296" t="str">
        <f>IF('FL WIP'!F298&gt;0,'FL WIP'!F298,"")</f>
        <v/>
      </c>
      <c r="G11" s="296" t="str">
        <f>IF('FL WIP'!F298&lt;0,-'FL WIP'!F298,"")</f>
        <v/>
      </c>
      <c r="H11" s="150"/>
      <c r="I11" s="176" t="s">
        <v>2461</v>
      </c>
      <c r="J11" s="170" t="s">
        <v>2462</v>
      </c>
      <c r="K11" s="195">
        <f>VLOOKUP(I11,Recap!I10:M99,5,0)</f>
        <v>88793.29</v>
      </c>
      <c r="L11" s="298">
        <f>SUMIF($A$4:$A$135,I11,$F$4:$F$135)</f>
        <v>0</v>
      </c>
      <c r="M11" s="299">
        <f t="shared" si="1"/>
        <v>3874.4656669374945</v>
      </c>
      <c r="N11" s="185">
        <f t="shared" si="2"/>
        <v>84918.82</v>
      </c>
      <c r="O11" s="185">
        <f>ROUND(Summary!D12,2)</f>
        <v>84918.82</v>
      </c>
      <c r="P11" s="185">
        <f>N11-O11</f>
        <v>0</v>
      </c>
      <c r="Q11" s="246">
        <f t="shared" si="5"/>
        <v>-3874.4699999999866</v>
      </c>
      <c r="S11" s="172"/>
    </row>
    <row r="12" spans="1:20">
      <c r="A12" s="109" t="str">
        <f t="shared" si="0"/>
        <v>01-15130-000-02</v>
      </c>
      <c r="B12" s="148" t="s">
        <v>828</v>
      </c>
      <c r="C12" s="300">
        <v>15130</v>
      </c>
      <c r="D12" s="168" t="s">
        <v>2670</v>
      </c>
      <c r="E12" s="147" t="s">
        <v>2679</v>
      </c>
      <c r="F12" s="296">
        <f>IF('FL WIP'!F299&gt;0,'FL WIP'!F299,"")</f>
        <v>668.96857200000522</v>
      </c>
      <c r="G12" s="296" t="str">
        <f>IF('FL WIP'!F299&lt;0,-'FL WIP'!F299,"")</f>
        <v/>
      </c>
      <c r="I12" s="177" t="s">
        <v>2468</v>
      </c>
      <c r="J12" s="171" t="s">
        <v>2469</v>
      </c>
      <c r="K12" s="194">
        <f>VLOOKUP(I12,Recap!I14:M99,5,0)</f>
        <v>330914.94</v>
      </c>
      <c r="L12" s="298">
        <f t="shared" si="3"/>
        <v>0</v>
      </c>
      <c r="M12" s="299">
        <f t="shared" si="1"/>
        <v>535.8200000001234</v>
      </c>
      <c r="N12" s="185">
        <f t="shared" si="2"/>
        <v>330379.12</v>
      </c>
      <c r="O12" s="185">
        <f>ROUND(Summary!C17,2)</f>
        <v>330379.12</v>
      </c>
      <c r="P12" s="185">
        <f t="shared" si="4"/>
        <v>0</v>
      </c>
      <c r="Q12" s="246">
        <f t="shared" si="5"/>
        <v>-535.82000000000698</v>
      </c>
    </row>
    <row r="13" spans="1:20">
      <c r="A13" s="109" t="str">
        <f t="shared" si="0"/>
        <v>01-15110-000-02</v>
      </c>
      <c r="B13" s="148" t="s">
        <v>1795</v>
      </c>
      <c r="C13" s="148">
        <v>15110</v>
      </c>
      <c r="D13" s="168" t="s">
        <v>2670</v>
      </c>
      <c r="E13" s="147" t="s">
        <v>2679</v>
      </c>
      <c r="F13" s="296">
        <f>IF('FL WIP'!F300&gt;0,'FL WIP'!F300,"")</f>
        <v>19580.435219999985</v>
      </c>
      <c r="G13" s="296" t="str">
        <f>IF('FL WIP'!F300&lt;0,-'FL WIP'!F300,"")</f>
        <v/>
      </c>
      <c r="H13" s="150"/>
      <c r="I13" s="176" t="s">
        <v>2470</v>
      </c>
      <c r="J13" s="170" t="s">
        <v>2469</v>
      </c>
      <c r="K13" s="195">
        <f>VLOOKUP(I13,Recap!I15:M99,5,0)</f>
        <v>624123.51</v>
      </c>
      <c r="L13" s="298">
        <f t="shared" si="3"/>
        <v>0</v>
      </c>
      <c r="M13" s="299">
        <f t="shared" si="1"/>
        <v>1451.4700000000885</v>
      </c>
      <c r="N13" s="185">
        <f>ROUND(K13+L13-M13,2)</f>
        <v>622672.04</v>
      </c>
      <c r="O13" s="185">
        <f>ROUND(Summary!D17,2)</f>
        <v>622672.04</v>
      </c>
      <c r="P13" s="185">
        <f>N13-O13</f>
        <v>0</v>
      </c>
      <c r="Q13" s="246">
        <f t="shared" si="5"/>
        <v>-1451.4699999999721</v>
      </c>
    </row>
    <row r="14" spans="1:20">
      <c r="A14" s="109" t="str">
        <f>"01-"&amp;C14&amp;"-"&amp;D14&amp;"-"&amp;E14</f>
        <v>01-15180-000-02</v>
      </c>
      <c r="B14" s="148" t="s">
        <v>2677</v>
      </c>
      <c r="C14" s="148">
        <v>15180</v>
      </c>
      <c r="D14" s="147" t="s">
        <v>2670</v>
      </c>
      <c r="E14" s="147" t="s">
        <v>2679</v>
      </c>
      <c r="F14" s="296" t="str">
        <f>IF('FL WIP'!F301&gt;0,'FL WIP'!F301,"")</f>
        <v/>
      </c>
      <c r="G14" s="296">
        <f>IF('FL WIP'!F301&lt;0,-'FL WIP'!F301,"")</f>
        <v>2596.4866000000038</v>
      </c>
      <c r="H14" s="150"/>
      <c r="I14" s="177" t="s">
        <v>2477</v>
      </c>
      <c r="J14" s="171" t="s">
        <v>2478</v>
      </c>
      <c r="K14" s="194">
        <f>VLOOKUP(I14,Recap!I16:M100,5,0)</f>
        <v>3899395.36</v>
      </c>
      <c r="L14" s="298">
        <f t="shared" si="3"/>
        <v>17894.220000000205</v>
      </c>
      <c r="M14" s="299">
        <f t="shared" si="1"/>
        <v>0</v>
      </c>
      <c r="N14" s="185">
        <f t="shared" si="2"/>
        <v>3917289.58</v>
      </c>
      <c r="O14" s="185">
        <f>ROUND(Summary!C22,2)</f>
        <v>3917289.58</v>
      </c>
      <c r="P14" s="185">
        <f t="shared" si="4"/>
        <v>0</v>
      </c>
      <c r="Q14" s="246">
        <f>O14-K14</f>
        <v>17894.220000000205</v>
      </c>
    </row>
    <row r="15" spans="1:20" ht="13.5" thickBot="1">
      <c r="A15" s="109" t="str">
        <f t="shared" si="0"/>
        <v>01-11333-000-02</v>
      </c>
      <c r="B15" s="148" t="s">
        <v>2680</v>
      </c>
      <c r="C15" s="300">
        <v>11333</v>
      </c>
      <c r="D15" s="168" t="s">
        <v>2670</v>
      </c>
      <c r="E15" s="147" t="s">
        <v>2679</v>
      </c>
      <c r="F15" s="296" t="str">
        <f>IF('FL WIP'!F302&lt;0,-'FL WIP'!F302,"")</f>
        <v/>
      </c>
      <c r="G15" s="296">
        <f>IF('FL WIP'!F302&gt;0,'FL WIP'!F302,"")</f>
        <v>17652.917191999986</v>
      </c>
      <c r="H15" s="150"/>
      <c r="I15" s="176" t="s">
        <v>2479</v>
      </c>
      <c r="J15" s="170" t="s">
        <v>2480</v>
      </c>
      <c r="K15" s="195">
        <f>VLOOKUP(I15,Recap!I18:M101,5,0)</f>
        <v>4120206.32</v>
      </c>
      <c r="L15" s="298">
        <f t="shared" si="3"/>
        <v>0</v>
      </c>
      <c r="M15" s="299">
        <f t="shared" si="1"/>
        <v>7171.160000000149</v>
      </c>
      <c r="N15" s="185">
        <f>ROUND(K15+L15-M15,2)</f>
        <v>4113035.16</v>
      </c>
      <c r="O15" s="185">
        <f>ROUND(Summary!D22,2)</f>
        <v>4113035.16</v>
      </c>
      <c r="P15" s="185">
        <f t="shared" si="4"/>
        <v>0</v>
      </c>
      <c r="Q15" s="246">
        <f t="shared" si="5"/>
        <v>-7171.1599999996834</v>
      </c>
    </row>
    <row r="16" spans="1:20" ht="13.5" thickBot="1">
      <c r="F16" s="150">
        <f>SUM(F4:F15)</f>
        <v>62276.909691999979</v>
      </c>
      <c r="G16" s="150">
        <f>SUM(G4:G15)</f>
        <v>62276.909691999979</v>
      </c>
      <c r="H16" s="256">
        <f>F16-G16</f>
        <v>0</v>
      </c>
      <c r="I16" s="177" t="s">
        <v>2489</v>
      </c>
      <c r="J16" s="171" t="s">
        <v>2490</v>
      </c>
      <c r="K16" s="194">
        <f>VLOOKUP(I16,Recap!I19:M102,5,0)</f>
        <v>600805.21</v>
      </c>
      <c r="L16" s="298">
        <f t="shared" si="3"/>
        <v>0</v>
      </c>
      <c r="M16" s="299">
        <f t="shared" si="1"/>
        <v>497.54999999993015</v>
      </c>
      <c r="N16" s="185">
        <f t="shared" si="2"/>
        <v>600307.66</v>
      </c>
      <c r="O16" s="185">
        <f>ROUND(Summary!C23,2)</f>
        <v>600307.66</v>
      </c>
      <c r="P16" s="185">
        <f>N16-O16</f>
        <v>0</v>
      </c>
      <c r="Q16" s="301">
        <f>O16-K16</f>
        <v>-497.54999999993015</v>
      </c>
      <c r="S16" s="172" t="str">
        <f>IF(Q16&gt;0,"Built WIP AZ","Used WIP AZ")</f>
        <v>Used WIP AZ</v>
      </c>
    </row>
    <row r="17" spans="1:20">
      <c r="H17" s="314"/>
      <c r="I17" s="176" t="s">
        <v>2491</v>
      </c>
      <c r="J17" s="170" t="s">
        <v>2490</v>
      </c>
      <c r="K17" s="195">
        <f>VLOOKUP(I17,Recap!I20:M103,5,0)</f>
        <v>60113.54</v>
      </c>
      <c r="L17" s="298">
        <f t="shared" si="3"/>
        <v>8293.6599999999962</v>
      </c>
      <c r="M17" s="299">
        <f t="shared" si="1"/>
        <v>0</v>
      </c>
      <c r="N17" s="185">
        <f t="shared" si="2"/>
        <v>68407.199999999997</v>
      </c>
      <c r="O17" s="185">
        <f>ROUND(Summary!D23,2)</f>
        <v>68407.199999999997</v>
      </c>
      <c r="P17" s="185">
        <f t="shared" si="4"/>
        <v>0</v>
      </c>
      <c r="Q17" s="301">
        <f t="shared" si="5"/>
        <v>8293.6599999999962</v>
      </c>
      <c r="S17" s="172" t="str">
        <f>IF(Q17&gt;0,"Built WIP FL","Used WIP FL")</f>
        <v>Built WIP FL</v>
      </c>
    </row>
    <row r="18" spans="1:20">
      <c r="B18" s="449" t="s">
        <v>2681</v>
      </c>
      <c r="C18" s="449"/>
      <c r="D18" s="449"/>
      <c r="E18" s="449"/>
      <c r="F18" s="449"/>
      <c r="G18" s="449"/>
      <c r="I18" s="177" t="s">
        <v>2504</v>
      </c>
      <c r="J18" s="171" t="s">
        <v>2505</v>
      </c>
      <c r="K18" s="194">
        <f>VLOOKUP(I18,Recap!I22:M104,5,0)</f>
        <v>226799.64</v>
      </c>
      <c r="L18" s="302">
        <f t="shared" si="3"/>
        <v>48269.560740445595</v>
      </c>
      <c r="M18" s="303">
        <f t="shared" si="1"/>
        <v>0</v>
      </c>
      <c r="N18" s="185">
        <f>ROUND(K18+L18-M18,2)</f>
        <v>275069.2</v>
      </c>
      <c r="O18" s="185">
        <f>ROUND(Summary!C24,2)</f>
        <v>275069.2</v>
      </c>
      <c r="P18" s="185">
        <f t="shared" si="4"/>
        <v>0</v>
      </c>
      <c r="Q18" s="304">
        <f t="shared" si="5"/>
        <v>48269.56</v>
      </c>
      <c r="S18" s="172" t="str">
        <f>IF(Q18&gt;0,"Built frozen WIP AZ","Used frozen WIP AZ")</f>
        <v>Built frozen WIP AZ</v>
      </c>
    </row>
    <row r="19" spans="1:20">
      <c r="B19" s="450" t="s">
        <v>2682</v>
      </c>
      <c r="C19" s="450"/>
      <c r="D19" s="450"/>
      <c r="E19" s="450"/>
      <c r="F19" s="450"/>
      <c r="G19" s="450"/>
      <c r="I19" s="176" t="s">
        <v>2506</v>
      </c>
      <c r="J19" s="170" t="s">
        <v>2507</v>
      </c>
      <c r="K19" s="195">
        <f>VLOOKUP(I19,Recap!I23:M105,5,0)</f>
        <v>402496.74</v>
      </c>
      <c r="L19" s="298">
        <f t="shared" si="3"/>
        <v>0</v>
      </c>
      <c r="M19" s="299">
        <f t="shared" si="1"/>
        <v>21746.848558666643</v>
      </c>
      <c r="N19" s="185">
        <f>ROUND(K19+L19-M19,2)</f>
        <v>380749.89</v>
      </c>
      <c r="O19" s="185">
        <f>ROUND(Summary!D24,2)</f>
        <v>380749.89</v>
      </c>
      <c r="P19" s="185">
        <f>N19-O19</f>
        <v>0</v>
      </c>
      <c r="Q19" s="304">
        <f t="shared" si="5"/>
        <v>-21746.849999999977</v>
      </c>
      <c r="S19" s="172" t="str">
        <f>IF(Q19&gt;0,"Built frozen WIP FL","Used frozen WIP FL")</f>
        <v>Used frozen WIP FL</v>
      </c>
    </row>
    <row r="20" spans="1:20" ht="13.5" thickBot="1">
      <c r="B20" s="149" t="s">
        <v>2659</v>
      </c>
      <c r="C20" s="149" t="s">
        <v>2660</v>
      </c>
      <c r="D20" s="149" t="s">
        <v>2661</v>
      </c>
      <c r="E20" s="149"/>
      <c r="F20" s="149" t="s">
        <v>2662</v>
      </c>
      <c r="G20" s="149" t="s">
        <v>2663</v>
      </c>
      <c r="I20" s="177" t="s">
        <v>2519</v>
      </c>
      <c r="J20" s="171" t="s">
        <v>2520</v>
      </c>
      <c r="K20" s="194">
        <f>VLOOKUP(I20,Recap!I24:M106,5,0)</f>
        <v>146984.31</v>
      </c>
      <c r="L20" s="298">
        <f>SUMIF($A$4:$A$135,I20,$F$4:$F$135)</f>
        <v>9707.273199999996</v>
      </c>
      <c r="M20" s="299">
        <f t="shared" si="1"/>
        <v>0</v>
      </c>
      <c r="N20" s="185">
        <f t="shared" si="2"/>
        <v>156691.57999999999</v>
      </c>
      <c r="O20" s="185">
        <f>ROUND(Summary!C27,2)</f>
        <v>156691.57999999999</v>
      </c>
      <c r="P20" s="185">
        <f t="shared" ref="P20:P23" si="6">N20-O20</f>
        <v>0</v>
      </c>
      <c r="Q20" s="246">
        <f t="shared" si="5"/>
        <v>9707.2699999999895</v>
      </c>
    </row>
    <row r="21" spans="1:20">
      <c r="A21" s="109" t="str">
        <f>"01-"&amp;C21&amp;"-"&amp;D21&amp;"-"&amp;E21</f>
        <v>01-15191-000-01</v>
      </c>
      <c r="B21" s="160" t="s">
        <v>812</v>
      </c>
      <c r="C21" s="160">
        <v>15191</v>
      </c>
      <c r="D21" s="168" t="s">
        <v>2670</v>
      </c>
      <c r="E21" s="168" t="s">
        <v>2644</v>
      </c>
      <c r="F21" s="296" t="str">
        <f>IF('AZ WIP'!J212&lt;0,-'AZ WIP'!J212,"")</f>
        <v/>
      </c>
      <c r="G21" s="296">
        <f>IF('AZ WIP'!J212&gt;0,'AZ WIP'!J212,"")</f>
        <v>6242.0548404456058</v>
      </c>
      <c r="I21" s="176" t="s">
        <v>2521</v>
      </c>
      <c r="J21" s="170" t="s">
        <v>2522</v>
      </c>
      <c r="K21" s="195">
        <f>VLOOKUP(I21,Recap!I26:M107,5,0)</f>
        <v>182856.28</v>
      </c>
      <c r="L21" s="298">
        <f t="shared" si="3"/>
        <v>0</v>
      </c>
      <c r="M21" s="299">
        <f t="shared" si="1"/>
        <v>18334.873600000021</v>
      </c>
      <c r="N21" s="185">
        <f t="shared" si="2"/>
        <v>164521.41</v>
      </c>
      <c r="O21" s="185">
        <f>ROUND(Summary!D27,2)</f>
        <v>164521.41</v>
      </c>
      <c r="P21" s="185">
        <f t="shared" si="6"/>
        <v>0</v>
      </c>
      <c r="Q21" s="246">
        <f t="shared" si="5"/>
        <v>-18334.869999999995</v>
      </c>
    </row>
    <row r="22" spans="1:20">
      <c r="A22" s="109" t="str">
        <f>"01-"&amp;C22&amp;"-"&amp;D22&amp;"-"&amp;E22</f>
        <v>01-11333-000-01</v>
      </c>
      <c r="B22" s="160" t="s">
        <v>2683</v>
      </c>
      <c r="C22" s="297">
        <v>11333</v>
      </c>
      <c r="D22" s="168" t="s">
        <v>2670</v>
      </c>
      <c r="E22" s="168" t="s">
        <v>2644</v>
      </c>
      <c r="F22" s="296">
        <f>G21</f>
        <v>6242.0548404456058</v>
      </c>
      <c r="G22" s="296" t="str">
        <f>F21</f>
        <v/>
      </c>
      <c r="I22" s="177" t="s">
        <v>2527</v>
      </c>
      <c r="J22" s="171" t="s">
        <v>2528</v>
      </c>
      <c r="K22" s="194">
        <f>VLOOKUP(I22,Recap!I27:M108,5,0)</f>
        <v>70495.98</v>
      </c>
      <c r="L22" s="298">
        <f t="shared" si="3"/>
        <v>712.72500000000582</v>
      </c>
      <c r="M22" s="299">
        <f t="shared" si="1"/>
        <v>0</v>
      </c>
      <c r="N22" s="185">
        <f t="shared" si="2"/>
        <v>71208.710000000006</v>
      </c>
      <c r="O22" s="185">
        <f>ROUND(Summary!C36,2)</f>
        <v>71208.710000000006</v>
      </c>
      <c r="P22" s="185">
        <f t="shared" si="6"/>
        <v>0</v>
      </c>
      <c r="Q22" s="246">
        <f t="shared" si="5"/>
        <v>712.73000000001048</v>
      </c>
    </row>
    <row r="23" spans="1:20">
      <c r="A23" s="109" t="str">
        <f>"01-"&amp;C23&amp;"-"&amp;D23&amp;"-"&amp;E23</f>
        <v>01---</v>
      </c>
      <c r="B23" s="160"/>
      <c r="C23" s="297"/>
      <c r="D23" s="168"/>
      <c r="E23" s="168"/>
      <c r="F23" s="296"/>
      <c r="G23" s="296"/>
      <c r="I23" s="176" t="s">
        <v>2529</v>
      </c>
      <c r="J23" s="170" t="s">
        <v>2530</v>
      </c>
      <c r="K23" s="195">
        <f>VLOOKUP(I23,Recap!I28:M109,5,0)</f>
        <v>152815.38</v>
      </c>
      <c r="L23" s="298">
        <f t="shared" si="3"/>
        <v>0</v>
      </c>
      <c r="M23" s="299">
        <f t="shared" si="1"/>
        <v>464.07180000006338</v>
      </c>
      <c r="N23" s="185">
        <f t="shared" si="2"/>
        <v>152351.31</v>
      </c>
      <c r="O23" s="185">
        <f>ROUND(Summary!D36,2)</f>
        <v>152351.31</v>
      </c>
      <c r="P23" s="185">
        <f t="shared" si="6"/>
        <v>0</v>
      </c>
      <c r="Q23" s="246">
        <f t="shared" si="5"/>
        <v>-464.07000000000698</v>
      </c>
      <c r="T23" s="264"/>
    </row>
    <row r="24" spans="1:20">
      <c r="A24" s="109" t="str">
        <f>"01-"&amp;C24&amp;"-"&amp;D24&amp;"-"&amp;E24</f>
        <v>01-15191-000-02</v>
      </c>
      <c r="B24" s="160" t="s">
        <v>812</v>
      </c>
      <c r="C24" s="160">
        <v>15191</v>
      </c>
      <c r="D24" s="164" t="s">
        <v>2670</v>
      </c>
      <c r="E24" s="164" t="s">
        <v>2679</v>
      </c>
      <c r="F24" s="340">
        <f>IF('FL WIP'!I302&lt;0,-'FL WIP'!I302,"")</f>
        <v>4093.9313666666567</v>
      </c>
      <c r="G24" s="296" t="str">
        <f>IF('FL WIP'!I302&gt;0,'FL WIP'!I302,"")</f>
        <v/>
      </c>
      <c r="I24" s="177" t="s">
        <v>2543</v>
      </c>
      <c r="J24" s="171" t="s">
        <v>2546</v>
      </c>
      <c r="K24" s="194">
        <f>VLOOKUP(I24,Recap!I30:M110,5,0)</f>
        <v>1167241.79</v>
      </c>
      <c r="L24" s="298">
        <f t="shared" si="3"/>
        <v>19569.959999999963</v>
      </c>
      <c r="M24" s="299">
        <f t="shared" si="1"/>
        <v>0</v>
      </c>
      <c r="N24" s="185">
        <f t="shared" si="2"/>
        <v>1186811.75</v>
      </c>
      <c r="O24" s="185">
        <f>ROUND(Summary!C30,2)</f>
        <v>1186811.75</v>
      </c>
      <c r="P24" s="185">
        <f t="shared" si="4"/>
        <v>0</v>
      </c>
      <c r="Q24" s="246">
        <f t="shared" si="5"/>
        <v>19569.959999999963</v>
      </c>
    </row>
    <row r="25" spans="1:20" ht="13.5" thickBot="1">
      <c r="A25" s="109" t="str">
        <f>"01-"&amp;C25&amp;"-"&amp;D25&amp;"-"&amp;E25</f>
        <v>01-11333-000-02</v>
      </c>
      <c r="B25" s="160" t="s">
        <v>2683</v>
      </c>
      <c r="C25" s="300">
        <v>11333</v>
      </c>
      <c r="D25" s="168" t="s">
        <v>2670</v>
      </c>
      <c r="E25" s="168" t="s">
        <v>2679</v>
      </c>
      <c r="F25" s="296" t="str">
        <f>G24</f>
        <v/>
      </c>
      <c r="G25" s="296">
        <f>F24</f>
        <v>4093.9313666666567</v>
      </c>
      <c r="I25" s="176" t="s">
        <v>2545</v>
      </c>
      <c r="J25" s="170" t="s">
        <v>2546</v>
      </c>
      <c r="K25" s="195">
        <f>VLOOKUP(I25,Recap!I31:M111,5,0)</f>
        <v>2539051.21</v>
      </c>
      <c r="L25" s="298">
        <f t="shared" si="3"/>
        <v>137.25999999931082</v>
      </c>
      <c r="M25" s="299">
        <f t="shared" si="1"/>
        <v>0</v>
      </c>
      <c r="N25" s="185">
        <f t="shared" si="2"/>
        <v>2539188.4700000002</v>
      </c>
      <c r="O25" s="185">
        <f>ROUND(Summary!D30,2)</f>
        <v>2539188.4700000002</v>
      </c>
      <c r="P25" s="185">
        <f t="shared" si="4"/>
        <v>0</v>
      </c>
      <c r="Q25" s="246">
        <f t="shared" si="5"/>
        <v>137.26000000024214</v>
      </c>
      <c r="T25" s="263"/>
    </row>
    <row r="26" spans="1:20" ht="13.5" thickBot="1">
      <c r="F26" s="150">
        <f>SUM(F21:F25)</f>
        <v>10335.986207112262</v>
      </c>
      <c r="G26" s="150">
        <f>SUM(G21:G25)</f>
        <v>10335.986207112262</v>
      </c>
      <c r="H26" s="256">
        <f>F26-G26</f>
        <v>0</v>
      </c>
      <c r="I26" s="177" t="s">
        <v>2551</v>
      </c>
      <c r="J26" s="171" t="s">
        <v>2552</v>
      </c>
      <c r="K26" s="194">
        <f>VLOOKUP(I26,Recap!I32:M112,5,0)</f>
        <v>393094.83</v>
      </c>
      <c r="L26" s="298">
        <f t="shared" si="3"/>
        <v>24888.799999999988</v>
      </c>
      <c r="M26" s="299">
        <f t="shared" si="1"/>
        <v>0</v>
      </c>
      <c r="N26" s="185">
        <f t="shared" si="2"/>
        <v>417983.63</v>
      </c>
      <c r="O26" s="185">
        <f>ROUND(Summary!C31,2)</f>
        <v>417983.63</v>
      </c>
      <c r="P26" s="185">
        <f>N26-O26</f>
        <v>0</v>
      </c>
      <c r="Q26" s="301">
        <f>O26-K26</f>
        <v>24888.799999999988</v>
      </c>
      <c r="S26" s="172" t="str">
        <f>IF(Q26&gt;0,"Built FG AZ","Used FG AZ")</f>
        <v>Built FG AZ</v>
      </c>
    </row>
    <row r="27" spans="1:20">
      <c r="I27" s="176" t="s">
        <v>2553</v>
      </c>
      <c r="J27" s="170" t="s">
        <v>2552</v>
      </c>
      <c r="K27" s="195">
        <f>VLOOKUP(I27,Recap!I34:M113,5,0)</f>
        <v>510496.77</v>
      </c>
      <c r="L27" s="298">
        <f t="shared" si="3"/>
        <v>19493.260000000009</v>
      </c>
      <c r="M27" s="299">
        <f t="shared" si="1"/>
        <v>0</v>
      </c>
      <c r="N27" s="185">
        <f t="shared" si="2"/>
        <v>529990.03</v>
      </c>
      <c r="O27" s="185">
        <f>ROUND(Summary!D31,2)</f>
        <v>529990.03</v>
      </c>
      <c r="P27" s="185">
        <f t="shared" si="4"/>
        <v>0</v>
      </c>
      <c r="Q27" s="301">
        <f t="shared" si="5"/>
        <v>19493.260000000009</v>
      </c>
      <c r="S27" s="172" t="str">
        <f>IF(Q27&gt;0,"Built FG FL","Used FG FL")</f>
        <v>Built FG FL</v>
      </c>
    </row>
    <row r="28" spans="1:20">
      <c r="B28" s="449" t="s">
        <v>2684</v>
      </c>
      <c r="C28" s="449"/>
      <c r="D28" s="449"/>
      <c r="E28" s="449"/>
      <c r="F28" s="449"/>
      <c r="G28" s="449"/>
      <c r="I28" s="177" t="s">
        <v>2558</v>
      </c>
      <c r="J28" s="171" t="s">
        <v>2559</v>
      </c>
      <c r="K28" s="194">
        <f>VLOOKUP(I28,Recap!I35:M114,5,0)</f>
        <v>54558.92</v>
      </c>
      <c r="L28" s="298">
        <f t="shared" si="3"/>
        <v>0</v>
      </c>
      <c r="M28" s="299">
        <f t="shared" si="1"/>
        <v>4211.7818926029131</v>
      </c>
      <c r="N28" s="185">
        <f t="shared" si="2"/>
        <v>50347.14</v>
      </c>
      <c r="O28" s="185">
        <f>ROUND(Summary!C32,2)</f>
        <v>50347.16</v>
      </c>
      <c r="P28" s="185">
        <f t="shared" si="4"/>
        <v>-2.0000000004074536E-2</v>
      </c>
      <c r="Q28" s="304">
        <f>O28-K28</f>
        <v>-4211.7599999999948</v>
      </c>
      <c r="S28" s="172" t="str">
        <f>IF(Q28&gt;0,"Built frozen FG AZ","Used frozen FG AZ")</f>
        <v>Used frozen FG AZ</v>
      </c>
    </row>
    <row r="29" spans="1:20">
      <c r="B29" s="451" t="s">
        <v>2685</v>
      </c>
      <c r="C29" s="450"/>
      <c r="D29" s="450"/>
      <c r="E29" s="450"/>
      <c r="F29" s="450"/>
      <c r="G29" s="450"/>
      <c r="I29" s="176" t="s">
        <v>2560</v>
      </c>
      <c r="J29" s="170" t="s">
        <v>2559</v>
      </c>
      <c r="K29" s="195">
        <f>VLOOKUP(I29,Recap!I36:M115,5,0)</f>
        <v>215904.48</v>
      </c>
      <c r="L29" s="298">
        <f>SUMIF($A$4:$A$135,I29,$F$4:$F$135)</f>
        <v>9502.1208150324455</v>
      </c>
      <c r="M29" s="299">
        <f>SUMIF($A$4:$A$135,$I29,$G$4:$G$135)</f>
        <v>7655.11</v>
      </c>
      <c r="N29" s="185">
        <f>ROUND(K29+L29-M29,2)</f>
        <v>217751.49</v>
      </c>
      <c r="O29" s="185">
        <f>ROUND(Summary!D32,2)</f>
        <v>217751.5</v>
      </c>
      <c r="P29" s="185">
        <f>N29-O29</f>
        <v>-1.0000000009313226E-2</v>
      </c>
      <c r="Q29" s="304">
        <f>O29-K29</f>
        <v>1847.0199999999895</v>
      </c>
      <c r="S29" s="172" t="str">
        <f>IF(Q29&gt;0,"Built frozen FG FL","Used frozen FG FL")</f>
        <v>Built frozen FG FL</v>
      </c>
    </row>
    <row r="30" spans="1:20" ht="13.5" thickBot="1">
      <c r="B30" s="149" t="s">
        <v>2659</v>
      </c>
      <c r="C30" s="149" t="s">
        <v>2660</v>
      </c>
      <c r="D30" s="149" t="s">
        <v>2661</v>
      </c>
      <c r="E30" s="149"/>
      <c r="F30" s="149" t="s">
        <v>2662</v>
      </c>
      <c r="G30" s="149" t="s">
        <v>2663</v>
      </c>
      <c r="I30" s="177" t="s">
        <v>2571</v>
      </c>
      <c r="J30" s="171" t="s">
        <v>2572</v>
      </c>
      <c r="K30" s="194">
        <f>VLOOKUP(I30,Recap!I40:M116,5,0)</f>
        <v>140210.6</v>
      </c>
      <c r="L30" s="298">
        <f t="shared" si="3"/>
        <v>0</v>
      </c>
      <c r="M30" s="299">
        <f t="shared" si="1"/>
        <v>0</v>
      </c>
      <c r="N30" s="185">
        <f t="shared" si="2"/>
        <v>140210.6</v>
      </c>
      <c r="O30" s="185">
        <f>K30</f>
        <v>140210.6</v>
      </c>
      <c r="P30" s="185">
        <f t="shared" ref="P30:P33" si="7">N30-O30</f>
        <v>0</v>
      </c>
    </row>
    <row r="31" spans="1:20">
      <c r="A31" s="109" t="str">
        <f>"01-"&amp;C31&amp;"-"&amp;D31&amp;"-"&amp;E31</f>
        <v>01-15180-000-01</v>
      </c>
      <c r="B31" s="160" t="s">
        <v>2686</v>
      </c>
      <c r="C31" s="160">
        <v>15180</v>
      </c>
      <c r="D31" s="164" t="s">
        <v>2670</v>
      </c>
      <c r="E31" s="164" t="s">
        <v>2644</v>
      </c>
      <c r="F31" s="305">
        <f>IF('FL+AZ - RM'!G76+'FL+AZ - RM'!I69&lt;0,-'FL+AZ - RM'!G76-'FL+AZ - RM'!I69,"")</f>
        <v>3988.3322202594227</v>
      </c>
      <c r="G31" s="341" t="str">
        <f>IF('FL+AZ - RM'!G76+'FL+AZ - RM'!I69&gt;0,'FL+AZ - RM'!G76+'FL+AZ - RM'!I69,"")</f>
        <v/>
      </c>
      <c r="H31" s="317"/>
      <c r="I31" s="176" t="s">
        <v>2573</v>
      </c>
      <c r="J31" s="170" t="s">
        <v>2574</v>
      </c>
      <c r="K31" s="195">
        <f>VLOOKUP(I31,Recap!I41:M117,5,0)</f>
        <v>262181.18</v>
      </c>
      <c r="L31" s="298">
        <f t="shared" si="3"/>
        <v>0</v>
      </c>
      <c r="M31" s="299">
        <f t="shared" si="1"/>
        <v>0</v>
      </c>
      <c r="N31" s="185">
        <f t="shared" si="2"/>
        <v>262181.18</v>
      </c>
      <c r="O31" s="185">
        <f t="shared" ref="O31:O33" si="8">K31</f>
        <v>262181.18</v>
      </c>
      <c r="P31" s="185">
        <f t="shared" si="7"/>
        <v>0</v>
      </c>
    </row>
    <row r="32" spans="1:20">
      <c r="A32" s="109" t="str">
        <f>"01-"&amp;C32&amp;"-"&amp;D32&amp;"-"&amp;E32</f>
        <v>01-11315-000-01</v>
      </c>
      <c r="B32" s="160" t="s">
        <v>2687</v>
      </c>
      <c r="C32" s="300">
        <v>11315</v>
      </c>
      <c r="D32" s="168" t="s">
        <v>2670</v>
      </c>
      <c r="E32" s="168" t="s">
        <v>2644</v>
      </c>
      <c r="F32" s="296" t="str">
        <f>G31</f>
        <v/>
      </c>
      <c r="G32" s="296">
        <f>F31</f>
        <v>3988.3322202594227</v>
      </c>
      <c r="H32" s="317"/>
      <c r="I32" s="177" t="s">
        <v>2581</v>
      </c>
      <c r="J32" s="171" t="s">
        <v>2582</v>
      </c>
      <c r="K32" s="178">
        <f>VLOOKUP(I32,Recap!I42:M118,5,0)</f>
        <v>14813.4</v>
      </c>
      <c r="L32" s="298">
        <f t="shared" si="3"/>
        <v>0</v>
      </c>
      <c r="M32" s="299">
        <f t="shared" si="1"/>
        <v>0</v>
      </c>
      <c r="N32" s="185">
        <f t="shared" si="2"/>
        <v>14813.4</v>
      </c>
      <c r="O32" s="185">
        <f t="shared" si="8"/>
        <v>14813.4</v>
      </c>
      <c r="P32" s="185">
        <f t="shared" si="7"/>
        <v>0</v>
      </c>
    </row>
    <row r="33" spans="1:19">
      <c r="A33" s="109" t="str">
        <f>"01-"&amp;C33&amp;"-"&amp;D33&amp;"-"&amp;E33</f>
        <v>01-15180-000-02</v>
      </c>
      <c r="B33" s="160" t="s">
        <v>2686</v>
      </c>
      <c r="C33" s="160">
        <v>15180</v>
      </c>
      <c r="D33" s="164" t="s">
        <v>2670</v>
      </c>
      <c r="E33" s="164" t="s">
        <v>2679</v>
      </c>
      <c r="F33" s="305">
        <f>IF('FL+AZ - RM'!E69+'FL+AZ - RM'!C76&lt;0,-'FL+AZ - RM'!E69-'FL+AZ - RM'!C76,"")</f>
        <v>3874.4656669374945</v>
      </c>
      <c r="G33" s="341" t="str">
        <f>IF('FL+AZ - RM'!E69+'FL+AZ - RM'!C76&gt;0,'FL+AZ - RM'!E69+'FL+AZ - RM'!C76,"")</f>
        <v/>
      </c>
      <c r="H33" s="317"/>
      <c r="I33" s="176" t="s">
        <v>2583</v>
      </c>
      <c r="J33" s="170" t="s">
        <v>2584</v>
      </c>
      <c r="K33" s="179">
        <f>VLOOKUP(I33,Recap!I46:M119,5,0)</f>
        <v>20327.759999999998</v>
      </c>
      <c r="L33" s="298">
        <f t="shared" si="3"/>
        <v>0</v>
      </c>
      <c r="M33" s="299">
        <f t="shared" si="1"/>
        <v>0</v>
      </c>
      <c r="N33" s="185">
        <f t="shared" si="2"/>
        <v>20327.759999999998</v>
      </c>
      <c r="O33" s="185">
        <f t="shared" si="8"/>
        <v>20327.759999999998</v>
      </c>
      <c r="P33" s="185">
        <f t="shared" si="7"/>
        <v>0</v>
      </c>
    </row>
    <row r="34" spans="1:19" ht="13.5" thickBot="1">
      <c r="A34" s="109" t="str">
        <f>"01-"&amp;C34&amp;"-"&amp;D34&amp;"-"&amp;E34</f>
        <v>01-11315-000-02</v>
      </c>
      <c r="B34" s="160" t="s">
        <v>2687</v>
      </c>
      <c r="C34" s="300">
        <v>11315</v>
      </c>
      <c r="D34" s="168" t="s">
        <v>2670</v>
      </c>
      <c r="E34" s="168" t="s">
        <v>2679</v>
      </c>
      <c r="F34" s="296" t="str">
        <f>G33</f>
        <v/>
      </c>
      <c r="G34" s="296">
        <f>F33</f>
        <v>3874.4656669374945</v>
      </c>
      <c r="H34" s="317"/>
      <c r="I34" s="180"/>
      <c r="J34" s="181" t="s">
        <v>822</v>
      </c>
      <c r="K34" s="182">
        <f t="shared" ref="K34:P34" si="9">SUM(K5:K33)</f>
        <v>18830417.280000001</v>
      </c>
      <c r="L34" s="183">
        <f t="shared" si="9"/>
        <v>158468.83975547753</v>
      </c>
      <c r="M34" s="182">
        <f t="shared" si="9"/>
        <v>102058.77373846619</v>
      </c>
      <c r="N34" s="186">
        <f t="shared" si="9"/>
        <v>18886827.350000001</v>
      </c>
      <c r="O34" s="186">
        <f t="shared" si="9"/>
        <v>18886827.390000001</v>
      </c>
      <c r="P34" s="187">
        <f t="shared" si="9"/>
        <v>-4.0000000011787051E-2</v>
      </c>
    </row>
    <row r="35" spans="1:19" ht="13.5" thickBot="1">
      <c r="F35" s="152">
        <f>SUM(F31:F34)</f>
        <v>7862.7978871969171</v>
      </c>
      <c r="G35" s="152">
        <f>SUM(G31:G34)</f>
        <v>7862.7978871969171</v>
      </c>
      <c r="H35" s="256">
        <f>F35-G35</f>
        <v>0</v>
      </c>
      <c r="J35" s="172"/>
      <c r="K35" s="173"/>
      <c r="M35" s="150"/>
      <c r="N35" s="173"/>
      <c r="O35" s="173"/>
      <c r="Q35" s="205">
        <f>Q29+Q28+Q19+Q18</f>
        <v>24157.970000000016</v>
      </c>
      <c r="S35" s="205" t="s">
        <v>2688</v>
      </c>
    </row>
    <row r="36" spans="1:19">
      <c r="J36" s="172"/>
      <c r="K36" s="150"/>
      <c r="N36" s="150"/>
      <c r="O36" s="150">
        <f>O34-'[7]Variable Cost Allocation'!$I$45</f>
        <v>-1312010.7931017801</v>
      </c>
      <c r="Q36" s="204">
        <f>Q27+Q26+Q17+Q16</f>
        <v>52178.170000000064</v>
      </c>
      <c r="S36" s="204" t="s">
        <v>2689</v>
      </c>
    </row>
    <row r="37" spans="1:19" ht="13.5" thickBot="1">
      <c r="B37" s="449" t="s">
        <v>2690</v>
      </c>
      <c r="C37" s="449"/>
      <c r="D37" s="449"/>
      <c r="E37" s="449"/>
      <c r="F37" s="449"/>
      <c r="G37" s="449"/>
      <c r="K37" s="150">
        <v>210842.17</v>
      </c>
      <c r="N37" s="150"/>
      <c r="O37" s="243"/>
      <c r="Q37" s="110">
        <f>SUM(Q5:Q15,Q20:Q25)</f>
        <v>-19926.029999999162</v>
      </c>
      <c r="S37" s="172" t="s">
        <v>2691</v>
      </c>
    </row>
    <row r="38" spans="1:19" ht="13.5" thickBot="1">
      <c r="B38" s="450" t="s">
        <v>2692</v>
      </c>
      <c r="C38" s="450"/>
      <c r="D38" s="450"/>
      <c r="E38" s="450"/>
      <c r="F38" s="450"/>
      <c r="G38" s="450"/>
      <c r="I38" s="314" t="s">
        <v>2693</v>
      </c>
      <c r="K38" s="150"/>
      <c r="N38" s="150"/>
      <c r="O38" s="150"/>
      <c r="Q38" s="232">
        <f>SUM(Q35:Q37)</f>
        <v>56410.11000000091</v>
      </c>
      <c r="R38" s="233"/>
      <c r="S38" s="234" t="s">
        <v>2694</v>
      </c>
    </row>
    <row r="39" spans="1:19" ht="13.5" thickBot="1">
      <c r="B39" s="149" t="s">
        <v>2659</v>
      </c>
      <c r="C39" s="149" t="s">
        <v>2660</v>
      </c>
      <c r="D39" s="149" t="s">
        <v>2661</v>
      </c>
      <c r="E39" s="149"/>
      <c r="F39" s="149" t="s">
        <v>2662</v>
      </c>
      <c r="G39" s="149" t="s">
        <v>2663</v>
      </c>
      <c r="I39" s="314"/>
      <c r="N39" s="150"/>
      <c r="O39" s="150"/>
    </row>
    <row r="40" spans="1:19">
      <c r="A40" s="109" t="str">
        <f t="shared" ref="A40:A81" si="10">"01-"&amp;C40&amp;"-"&amp;D40&amp;"-"&amp;E40</f>
        <v>01-11300-000-01</v>
      </c>
      <c r="B40" s="160" t="s">
        <v>2407</v>
      </c>
      <c r="C40" s="297">
        <v>11300</v>
      </c>
      <c r="D40" s="168" t="s">
        <v>2670</v>
      </c>
      <c r="E40" s="168" t="s">
        <v>2644</v>
      </c>
      <c r="F40" s="306" t="str">
        <f>IF(Recap!E8&gt;0,Recap!E8,"")</f>
        <v/>
      </c>
      <c r="G40" s="306" t="str">
        <f>IF(Recap!E8&lt;0,-Recap!E8,"")</f>
        <v/>
      </c>
      <c r="I40" s="314" t="s">
        <v>2695</v>
      </c>
      <c r="N40" s="150"/>
      <c r="O40" s="110"/>
      <c r="P40" s="150"/>
    </row>
    <row r="41" spans="1:19">
      <c r="A41" s="109" t="str">
        <f t="shared" si="10"/>
        <v>01-11310-000-01</v>
      </c>
      <c r="B41" s="160" t="s">
        <v>2435</v>
      </c>
      <c r="C41" s="297">
        <v>11310</v>
      </c>
      <c r="D41" s="168" t="s">
        <v>2670</v>
      </c>
      <c r="E41" s="168" t="s">
        <v>2644</v>
      </c>
      <c r="F41" s="306" t="str">
        <f>IF(Recap!E9&gt;0,Recap!E9,"")</f>
        <v/>
      </c>
      <c r="G41" s="306">
        <f>IF(Recap!E9&lt;0,-Recap!E9,"")</f>
        <v>19440.10999999987</v>
      </c>
      <c r="I41" s="314" t="s">
        <v>2696</v>
      </c>
      <c r="N41" s="150"/>
    </row>
    <row r="42" spans="1:19">
      <c r="A42" s="109" t="str">
        <f t="shared" si="10"/>
        <v>01-11320-000-01</v>
      </c>
      <c r="B42" s="160" t="s">
        <v>2697</v>
      </c>
      <c r="C42" s="297">
        <v>11320</v>
      </c>
      <c r="D42" s="168" t="s">
        <v>2670</v>
      </c>
      <c r="E42" s="168" t="s">
        <v>2644</v>
      </c>
      <c r="F42" s="306" t="str">
        <f>IF(Recap!E10&gt;0,Recap!E10,"")</f>
        <v/>
      </c>
      <c r="G42" s="306">
        <f>IF(Recap!E10&lt;0,-Recap!E10,"")</f>
        <v>535.8200000001234</v>
      </c>
      <c r="N42" s="150"/>
      <c r="O42" s="110"/>
    </row>
    <row r="43" spans="1:19">
      <c r="A43" s="109" t="str">
        <f t="shared" si="10"/>
        <v>01-11330-000-01</v>
      </c>
      <c r="B43" s="160" t="s">
        <v>2698</v>
      </c>
      <c r="C43" s="160">
        <v>11330</v>
      </c>
      <c r="D43" s="164" t="s">
        <v>2670</v>
      </c>
      <c r="E43" s="168" t="s">
        <v>2644</v>
      </c>
      <c r="F43" s="306">
        <f>IF(Recap!E11&gt;0,Recap!E11,"")</f>
        <v>17894.220000000205</v>
      </c>
      <c r="G43" s="306" t="str">
        <f>IF(Recap!E11&lt;0,-Recap!E11,"")</f>
        <v/>
      </c>
      <c r="N43" s="150"/>
      <c r="O43" s="110"/>
    </row>
    <row r="44" spans="1:19">
      <c r="A44" s="109" t="str">
        <f t="shared" si="10"/>
        <v>01-11340-000-01</v>
      </c>
      <c r="B44" s="160" t="s">
        <v>2699</v>
      </c>
      <c r="C44" s="160">
        <v>11340</v>
      </c>
      <c r="D44" s="164" t="s">
        <v>2670</v>
      </c>
      <c r="E44" s="168" t="s">
        <v>2644</v>
      </c>
      <c r="F44" s="306">
        <f>IF(Recap!E12&gt;0,Recap!E12,"")</f>
        <v>19569.959999999963</v>
      </c>
      <c r="G44" s="306" t="str">
        <f>IF(Recap!E12&lt;0,-Recap!E12,"")</f>
        <v/>
      </c>
      <c r="N44" s="150"/>
    </row>
    <row r="45" spans="1:19">
      <c r="A45" s="109" t="str">
        <f t="shared" si="10"/>
        <v>01-15233-000-01</v>
      </c>
      <c r="B45" s="160" t="s">
        <v>2700</v>
      </c>
      <c r="C45" s="160">
        <v>15233</v>
      </c>
      <c r="D45" s="164" t="s">
        <v>2670</v>
      </c>
      <c r="E45" s="168" t="s">
        <v>2644</v>
      </c>
      <c r="F45" s="306" t="str">
        <f>G43</f>
        <v/>
      </c>
      <c r="G45" s="296">
        <f>F43</f>
        <v>17894.220000000205</v>
      </c>
      <c r="N45" s="150"/>
    </row>
    <row r="46" spans="1:19">
      <c r="A46" s="109" t="str">
        <f t="shared" si="10"/>
        <v>01-15213-000-01</v>
      </c>
      <c r="B46" s="160" t="s">
        <v>2701</v>
      </c>
      <c r="C46" s="297">
        <v>15213</v>
      </c>
      <c r="D46" s="164" t="s">
        <v>2670</v>
      </c>
      <c r="E46" s="168" t="s">
        <v>2644</v>
      </c>
      <c r="F46" s="306">
        <f>G41</f>
        <v>19440.10999999987</v>
      </c>
      <c r="G46" s="296" t="str">
        <f>F41</f>
        <v/>
      </c>
      <c r="N46" s="150"/>
    </row>
    <row r="47" spans="1:19">
      <c r="A47" s="109" t="str">
        <f t="shared" si="10"/>
        <v>01-15223-000-01</v>
      </c>
      <c r="B47" s="160" t="s">
        <v>2702</v>
      </c>
      <c r="C47" s="297">
        <v>15223</v>
      </c>
      <c r="D47" s="164" t="s">
        <v>2670</v>
      </c>
      <c r="E47" s="168" t="s">
        <v>2644</v>
      </c>
      <c r="F47" s="306">
        <f>G42</f>
        <v>535.8200000001234</v>
      </c>
      <c r="G47" s="296" t="str">
        <f>F42</f>
        <v/>
      </c>
      <c r="N47" s="150"/>
    </row>
    <row r="48" spans="1:19">
      <c r="A48" s="109" t="str">
        <f t="shared" si="10"/>
        <v>01-15243-000-01</v>
      </c>
      <c r="B48" s="160" t="s">
        <v>2703</v>
      </c>
      <c r="C48" s="160">
        <v>15243</v>
      </c>
      <c r="D48" s="164" t="s">
        <v>2670</v>
      </c>
      <c r="E48" s="168" t="s">
        <v>2644</v>
      </c>
      <c r="F48" s="306" t="str">
        <f>G44</f>
        <v/>
      </c>
      <c r="G48" s="296">
        <f>F44</f>
        <v>19569.959999999963</v>
      </c>
      <c r="N48" s="150"/>
    </row>
    <row r="49" spans="1:14">
      <c r="A49" s="109" t="str">
        <f t="shared" si="10"/>
        <v>01-15233-000-01</v>
      </c>
      <c r="B49" s="160" t="s">
        <v>2704</v>
      </c>
      <c r="C49" s="160">
        <v>15233</v>
      </c>
      <c r="D49" s="164" t="s">
        <v>2670</v>
      </c>
      <c r="E49" s="168" t="s">
        <v>2644</v>
      </c>
      <c r="F49" s="306" t="str">
        <f>G40</f>
        <v/>
      </c>
      <c r="G49" s="296" t="str">
        <f>F40</f>
        <v/>
      </c>
      <c r="N49" s="150"/>
    </row>
    <row r="50" spans="1:14">
      <c r="A50" s="109" t="str">
        <f t="shared" si="10"/>
        <v>01---</v>
      </c>
      <c r="B50" s="160"/>
      <c r="C50" s="160"/>
      <c r="D50" s="164"/>
      <c r="E50" s="168"/>
      <c r="F50" s="306"/>
      <c r="G50" s="296"/>
      <c r="N50" s="150"/>
    </row>
    <row r="51" spans="1:14">
      <c r="A51" s="109" t="str">
        <f t="shared" si="10"/>
        <v>01-11310-000-02</v>
      </c>
      <c r="B51" s="160" t="s">
        <v>2411</v>
      </c>
      <c r="C51" s="297">
        <v>11310</v>
      </c>
      <c r="D51" s="168" t="s">
        <v>2670</v>
      </c>
      <c r="E51" s="168" t="s">
        <v>2679</v>
      </c>
      <c r="F51" s="296" t="str">
        <f>IF(Recap!E17&gt;0,Recap!E17,"")</f>
        <v/>
      </c>
      <c r="G51" s="296">
        <f>IF(Recap!E17&lt;0,-Recap!E17,"")</f>
        <v>12687.179999999469</v>
      </c>
      <c r="N51" s="150"/>
    </row>
    <row r="52" spans="1:14">
      <c r="A52" s="109" t="str">
        <f t="shared" si="10"/>
        <v>01-11320-000-02</v>
      </c>
      <c r="B52" s="160" t="s">
        <v>2705</v>
      </c>
      <c r="C52" s="297">
        <v>11320</v>
      </c>
      <c r="D52" s="168" t="s">
        <v>2670</v>
      </c>
      <c r="E52" s="168" t="s">
        <v>2679</v>
      </c>
      <c r="F52" s="296" t="str">
        <f>IF(Recap!E18&gt;0,Recap!E18,"")</f>
        <v/>
      </c>
      <c r="G52" s="296">
        <f>IF(Recap!E18&lt;0,-Recap!E18,"")</f>
        <v>1451.4700000000885</v>
      </c>
      <c r="N52" s="150"/>
    </row>
    <row r="53" spans="1:14">
      <c r="A53" s="109" t="str">
        <f t="shared" si="10"/>
        <v>01-11330-000-02</v>
      </c>
      <c r="B53" s="160" t="s">
        <v>2698</v>
      </c>
      <c r="C53" s="160">
        <v>11330</v>
      </c>
      <c r="D53" s="168" t="s">
        <v>2670</v>
      </c>
      <c r="E53" s="168" t="s">
        <v>2679</v>
      </c>
      <c r="F53" s="296" t="str">
        <f>IF(Recap!E19&gt;0,Recap!E19,"")</f>
        <v/>
      </c>
      <c r="G53" s="296">
        <f>IF(Recap!E19&lt;0,-Recap!E19,"")</f>
        <v>7171.160000000149</v>
      </c>
      <c r="N53" s="150"/>
    </row>
    <row r="54" spans="1:14">
      <c r="A54" s="109" t="str">
        <f t="shared" si="10"/>
        <v>01-11340-000-02</v>
      </c>
      <c r="B54" s="160" t="s">
        <v>2422</v>
      </c>
      <c r="C54" s="160">
        <v>11340</v>
      </c>
      <c r="D54" s="168" t="s">
        <v>2670</v>
      </c>
      <c r="E54" s="168" t="s">
        <v>2679</v>
      </c>
      <c r="F54" s="296">
        <f>IF(Recap!E20&gt;0,Recap!E20,"")</f>
        <v>137.25999999931082</v>
      </c>
      <c r="G54" s="296" t="str">
        <f>IF(Recap!E20&lt;0,-Recap!E20,"")</f>
        <v/>
      </c>
      <c r="N54" s="150"/>
    </row>
    <row r="55" spans="1:14">
      <c r="A55" s="109" t="str">
        <f t="shared" ref="A55" si="11">"01-"&amp;C55&amp;"-"&amp;D55&amp;"-"&amp;E55</f>
        <v>01-15213-000-02</v>
      </c>
      <c r="B55" s="160" t="s">
        <v>2701</v>
      </c>
      <c r="C55" s="297">
        <v>15213</v>
      </c>
      <c r="D55" s="164" t="s">
        <v>2670</v>
      </c>
      <c r="E55" s="168" t="s">
        <v>2679</v>
      </c>
      <c r="F55" s="296">
        <f>G51</f>
        <v>12687.179999999469</v>
      </c>
      <c r="G55" s="296" t="str">
        <f>F51</f>
        <v/>
      </c>
      <c r="N55" s="150"/>
    </row>
    <row r="56" spans="1:14">
      <c r="A56" s="109" t="str">
        <f t="shared" si="10"/>
        <v>01-15233-000-02</v>
      </c>
      <c r="B56" s="160" t="s">
        <v>2700</v>
      </c>
      <c r="C56" s="160">
        <v>15233</v>
      </c>
      <c r="D56" s="168" t="s">
        <v>2670</v>
      </c>
      <c r="E56" s="168" t="s">
        <v>2679</v>
      </c>
      <c r="F56" s="296">
        <f>G53</f>
        <v>7171.160000000149</v>
      </c>
      <c r="G56" s="296" t="str">
        <f>F53</f>
        <v/>
      </c>
      <c r="N56" s="150"/>
    </row>
    <row r="57" spans="1:14">
      <c r="A57" s="109" t="str">
        <f t="shared" si="10"/>
        <v>01-15223-000-02</v>
      </c>
      <c r="B57" s="160" t="s">
        <v>2706</v>
      </c>
      <c r="C57" s="297">
        <v>15223</v>
      </c>
      <c r="D57" s="168" t="s">
        <v>2670</v>
      </c>
      <c r="E57" s="168" t="s">
        <v>2679</v>
      </c>
      <c r="F57" s="296">
        <f>G52</f>
        <v>1451.4700000000885</v>
      </c>
      <c r="G57" s="296" t="str">
        <f>F52</f>
        <v/>
      </c>
      <c r="N57" s="150"/>
    </row>
    <row r="58" spans="1:14">
      <c r="A58" s="109" t="str">
        <f t="shared" si="10"/>
        <v>01-15243-000-02</v>
      </c>
      <c r="B58" s="160" t="s">
        <v>2703</v>
      </c>
      <c r="C58" s="297">
        <v>15243</v>
      </c>
      <c r="D58" s="168" t="s">
        <v>2670</v>
      </c>
      <c r="E58" s="168" t="s">
        <v>2679</v>
      </c>
      <c r="F58" s="306" t="str">
        <f>G54</f>
        <v/>
      </c>
      <c r="G58" s="296">
        <f>F54</f>
        <v>137.25999999931082</v>
      </c>
      <c r="N58" s="150"/>
    </row>
    <row r="59" spans="1:14">
      <c r="B59" s="160"/>
      <c r="C59" s="160"/>
      <c r="D59" s="168"/>
      <c r="E59" s="168"/>
      <c r="F59" s="306"/>
      <c r="G59" s="296"/>
      <c r="N59" s="150"/>
    </row>
    <row r="60" spans="1:14">
      <c r="A60" s="109" t="str">
        <f t="shared" ref="A60:A67" si="12">"01-"&amp;C60&amp;"-"&amp;D60&amp;"-"&amp;E60</f>
        <v>01-11310-000-06</v>
      </c>
      <c r="B60" s="160" t="s">
        <v>2411</v>
      </c>
      <c r="C60" s="297">
        <v>11310</v>
      </c>
      <c r="D60" s="168" t="s">
        <v>2670</v>
      </c>
      <c r="E60" s="168" t="s">
        <v>2707</v>
      </c>
      <c r="F60" s="296" t="str">
        <f>IF(Recap!E25&gt;0,Recap!E25,"")</f>
        <v/>
      </c>
      <c r="G60" s="296" t="str">
        <f>IF(Recap!E25&lt;0,-Recap!E25,"")</f>
        <v/>
      </c>
      <c r="N60" s="150"/>
    </row>
    <row r="61" spans="1:14">
      <c r="A61" s="109" t="str">
        <f t="shared" si="12"/>
        <v>01-11320-000-06</v>
      </c>
      <c r="B61" s="160" t="s">
        <v>2705</v>
      </c>
      <c r="C61" s="297">
        <v>11320</v>
      </c>
      <c r="D61" s="168" t="s">
        <v>2670</v>
      </c>
      <c r="E61" s="168" t="s">
        <v>2707</v>
      </c>
      <c r="F61" s="296">
        <f>IF(Recap!E26&gt;0,Recap!E26,"")</f>
        <v>3.9999999997235136E-2</v>
      </c>
      <c r="G61" s="296" t="str">
        <f>IF(Recap!E26&lt;0,-Recap!E26,"")</f>
        <v/>
      </c>
      <c r="N61" s="150"/>
    </row>
    <row r="62" spans="1:14">
      <c r="A62" s="109" t="str">
        <f t="shared" si="12"/>
        <v>01-11330-000-06</v>
      </c>
      <c r="B62" s="160" t="s">
        <v>2698</v>
      </c>
      <c r="C62" s="160">
        <v>11330</v>
      </c>
      <c r="D62" s="168" t="s">
        <v>2670</v>
      </c>
      <c r="E62" s="168" t="s">
        <v>2707</v>
      </c>
      <c r="F62" s="296">
        <f>IF(Recap!E27&gt;0,Recap!E27,"")</f>
        <v>241.51000000000022</v>
      </c>
      <c r="G62" s="296" t="str">
        <f>IF(Recap!E27&lt;0,-Recap!E27,"")</f>
        <v/>
      </c>
      <c r="N62" s="150"/>
    </row>
    <row r="63" spans="1:14">
      <c r="A63" s="109" t="str">
        <f t="shared" si="12"/>
        <v>01-11340-000-06</v>
      </c>
      <c r="B63" s="160" t="s">
        <v>2422</v>
      </c>
      <c r="C63" s="160">
        <v>11340</v>
      </c>
      <c r="D63" s="168" t="s">
        <v>2670</v>
      </c>
      <c r="E63" s="168" t="s">
        <v>2707</v>
      </c>
      <c r="F63" s="296">
        <f>IF(Recap!E28&gt;0,Recap!E28,"")</f>
        <v>1162.7999999998137</v>
      </c>
      <c r="G63" s="296" t="str">
        <f>IF(Recap!E28&lt;0,-Recap!E28,"")</f>
        <v/>
      </c>
      <c r="N63" s="150"/>
    </row>
    <row r="64" spans="1:14">
      <c r="A64" s="109" t="str">
        <f t="shared" si="12"/>
        <v>01-15213-000-06</v>
      </c>
      <c r="B64" s="160" t="s">
        <v>2701</v>
      </c>
      <c r="C64" s="297">
        <v>15213</v>
      </c>
      <c r="D64" s="164" t="s">
        <v>2670</v>
      </c>
      <c r="E64" s="168" t="s">
        <v>2707</v>
      </c>
      <c r="F64" s="296" t="str">
        <f>G60</f>
        <v/>
      </c>
      <c r="G64" s="296" t="str">
        <f>F60</f>
        <v/>
      </c>
      <c r="N64" s="150"/>
    </row>
    <row r="65" spans="1:14">
      <c r="A65" s="109" t="str">
        <f t="shared" si="12"/>
        <v>01-15233-000-06</v>
      </c>
      <c r="B65" s="160" t="s">
        <v>2700</v>
      </c>
      <c r="C65" s="160">
        <v>15233</v>
      </c>
      <c r="D65" s="168" t="s">
        <v>2670</v>
      </c>
      <c r="E65" s="168" t="s">
        <v>2707</v>
      </c>
      <c r="F65" s="296" t="str">
        <f>G62</f>
        <v/>
      </c>
      <c r="G65" s="296">
        <f>F62</f>
        <v>241.51000000000022</v>
      </c>
      <c r="N65" s="150"/>
    </row>
    <row r="66" spans="1:14">
      <c r="A66" s="109" t="str">
        <f t="shared" si="12"/>
        <v>01-15223-000-06</v>
      </c>
      <c r="B66" s="160" t="s">
        <v>2706</v>
      </c>
      <c r="C66" s="297">
        <v>15223</v>
      </c>
      <c r="D66" s="168" t="s">
        <v>2670</v>
      </c>
      <c r="E66" s="168" t="s">
        <v>2707</v>
      </c>
      <c r="F66" s="296" t="str">
        <f>G61</f>
        <v/>
      </c>
      <c r="G66" s="296">
        <f>F61</f>
        <v>3.9999999997235136E-2</v>
      </c>
      <c r="N66" s="150"/>
    </row>
    <row r="67" spans="1:14">
      <c r="A67" s="109" t="str">
        <f t="shared" si="12"/>
        <v>01-15243-000-06</v>
      </c>
      <c r="B67" s="160" t="s">
        <v>2703</v>
      </c>
      <c r="C67" s="297">
        <v>15243</v>
      </c>
      <c r="D67" s="168" t="s">
        <v>2670</v>
      </c>
      <c r="E67" s="168" t="s">
        <v>2707</v>
      </c>
      <c r="F67" s="306" t="str">
        <f>G63</f>
        <v/>
      </c>
      <c r="G67" s="296">
        <f>F63</f>
        <v>1162.7999999998137</v>
      </c>
      <c r="N67" s="150"/>
    </row>
    <row r="68" spans="1:14">
      <c r="B68" s="160"/>
      <c r="C68" s="160"/>
      <c r="D68" s="168"/>
      <c r="E68" s="168"/>
      <c r="F68" s="306"/>
      <c r="G68" s="296"/>
      <c r="N68" s="150"/>
    </row>
    <row r="69" spans="1:14">
      <c r="A69" s="109" t="str">
        <f t="shared" ref="A69:A76" si="13">"01-"&amp;C69&amp;"-"&amp;D69&amp;"-"&amp;E69</f>
        <v>01-11310-000-07</v>
      </c>
      <c r="B69" s="160" t="s">
        <v>2411</v>
      </c>
      <c r="C69" s="297">
        <v>11310</v>
      </c>
      <c r="D69" s="168" t="s">
        <v>2670</v>
      </c>
      <c r="E69" s="168" t="s">
        <v>2876</v>
      </c>
      <c r="F69" s="296" t="str">
        <f>IF(Recap!E33&gt;0,Recap!E33,"")</f>
        <v/>
      </c>
      <c r="G69" s="296" t="str">
        <f>IF(Recap!E33&lt;0,-Recap!E33,"")</f>
        <v/>
      </c>
      <c r="N69" s="150"/>
    </row>
    <row r="70" spans="1:14">
      <c r="A70" s="109" t="str">
        <f t="shared" si="13"/>
        <v>01-11320-000-07</v>
      </c>
      <c r="B70" s="160" t="s">
        <v>2705</v>
      </c>
      <c r="C70" s="297">
        <v>11320</v>
      </c>
      <c r="D70" s="168" t="s">
        <v>2670</v>
      </c>
      <c r="E70" s="168" t="s">
        <v>2876</v>
      </c>
      <c r="F70" s="296" t="str">
        <f>IF(Recap!E34&gt;0,Recap!E34,"")</f>
        <v/>
      </c>
      <c r="G70" s="296" t="str">
        <f>IF(Recap!E34&lt;0,-Recap!E34,"")</f>
        <v/>
      </c>
      <c r="N70" s="150"/>
    </row>
    <row r="71" spans="1:14">
      <c r="A71" s="109" t="str">
        <f t="shared" si="13"/>
        <v>01-11330-000-07</v>
      </c>
      <c r="B71" s="160" t="s">
        <v>2698</v>
      </c>
      <c r="C71" s="160">
        <v>11330</v>
      </c>
      <c r="D71" s="168" t="s">
        <v>2670</v>
      </c>
      <c r="E71" s="168" t="s">
        <v>2876</v>
      </c>
      <c r="F71" s="296" t="str">
        <f>IF(Recap!E35&gt;0,Recap!E35,"")</f>
        <v/>
      </c>
      <c r="G71" s="296" t="str">
        <f>IF(Recap!E35&lt;0,-Recap!E35,"")</f>
        <v/>
      </c>
      <c r="N71" s="150"/>
    </row>
    <row r="72" spans="1:14">
      <c r="A72" s="109" t="str">
        <f t="shared" si="13"/>
        <v>01-11340-000-07</v>
      </c>
      <c r="B72" s="160" t="s">
        <v>2422</v>
      </c>
      <c r="C72" s="160">
        <v>11340</v>
      </c>
      <c r="D72" s="168" t="s">
        <v>2670</v>
      </c>
      <c r="E72" s="168" t="s">
        <v>2876</v>
      </c>
      <c r="F72" s="296" t="str">
        <f>IF(Recap!E36&gt;0,Recap!E36,"")</f>
        <v/>
      </c>
      <c r="G72" s="296" t="str">
        <f>IF(Recap!E36&lt;0,-Recap!E36,"")</f>
        <v/>
      </c>
      <c r="N72" s="150"/>
    </row>
    <row r="73" spans="1:14">
      <c r="A73" s="109" t="str">
        <f t="shared" si="13"/>
        <v>01-15213-000-07</v>
      </c>
      <c r="B73" s="160" t="s">
        <v>2701</v>
      </c>
      <c r="C73" s="297">
        <v>15213</v>
      </c>
      <c r="D73" s="164" t="s">
        <v>2670</v>
      </c>
      <c r="E73" s="168" t="s">
        <v>2876</v>
      </c>
      <c r="F73" s="296" t="str">
        <f>G69</f>
        <v/>
      </c>
      <c r="G73" s="296" t="str">
        <f>F69</f>
        <v/>
      </c>
      <c r="N73" s="150"/>
    </row>
    <row r="74" spans="1:14">
      <c r="A74" s="109" t="str">
        <f t="shared" si="13"/>
        <v>01-15233-000-07</v>
      </c>
      <c r="B74" s="160" t="s">
        <v>2700</v>
      </c>
      <c r="C74" s="160">
        <v>15233</v>
      </c>
      <c r="D74" s="168" t="s">
        <v>2670</v>
      </c>
      <c r="E74" s="168" t="s">
        <v>2876</v>
      </c>
      <c r="F74" s="296" t="str">
        <f>G71</f>
        <v/>
      </c>
      <c r="G74" s="296" t="str">
        <f>F71</f>
        <v/>
      </c>
      <c r="N74" s="150"/>
    </row>
    <row r="75" spans="1:14">
      <c r="A75" s="109" t="str">
        <f t="shared" si="13"/>
        <v>01-15223-000-07</v>
      </c>
      <c r="B75" s="160" t="s">
        <v>2706</v>
      </c>
      <c r="C75" s="297">
        <v>15223</v>
      </c>
      <c r="D75" s="168" t="s">
        <v>2670</v>
      </c>
      <c r="E75" s="168" t="s">
        <v>2876</v>
      </c>
      <c r="F75" s="296" t="str">
        <f>G70</f>
        <v/>
      </c>
      <c r="G75" s="296" t="str">
        <f>F70</f>
        <v/>
      </c>
      <c r="N75" s="150"/>
    </row>
    <row r="76" spans="1:14">
      <c r="A76" s="109" t="str">
        <f t="shared" si="13"/>
        <v>01-15243-000-07</v>
      </c>
      <c r="B76" s="160" t="s">
        <v>2703</v>
      </c>
      <c r="C76" s="297">
        <v>15243</v>
      </c>
      <c r="D76" s="168" t="s">
        <v>2670</v>
      </c>
      <c r="E76" s="168" t="s">
        <v>2876</v>
      </c>
      <c r="F76" s="306" t="str">
        <f>G72</f>
        <v/>
      </c>
      <c r="G76" s="296" t="str">
        <f>F72</f>
        <v/>
      </c>
      <c r="N76" s="150"/>
    </row>
    <row r="77" spans="1:14">
      <c r="B77" s="160"/>
      <c r="C77" s="160"/>
      <c r="D77" s="168"/>
      <c r="E77" s="168"/>
      <c r="F77" s="306"/>
      <c r="G77" s="296"/>
      <c r="N77" s="150"/>
    </row>
    <row r="78" spans="1:14">
      <c r="A78" s="109" t="str">
        <f t="shared" si="10"/>
        <v>01-11335-000-01</v>
      </c>
      <c r="B78" s="160" t="s">
        <v>2482</v>
      </c>
      <c r="C78" s="297">
        <v>11335</v>
      </c>
      <c r="D78" s="164" t="s">
        <v>2670</v>
      </c>
      <c r="E78" s="235" t="s">
        <v>2644</v>
      </c>
      <c r="F78" s="306">
        <f>MAX(0,Recap!E48)</f>
        <v>9707.273199999996</v>
      </c>
      <c r="G78" s="296">
        <f>MAX(0,-Recap!E48)</f>
        <v>0</v>
      </c>
      <c r="N78" s="150"/>
    </row>
    <row r="79" spans="1:14">
      <c r="A79" s="109" t="str">
        <f t="shared" si="10"/>
        <v>01-11336-000-01</v>
      </c>
      <c r="B79" s="160" t="s">
        <v>2486</v>
      </c>
      <c r="C79" s="160">
        <v>11336</v>
      </c>
      <c r="D79" s="168" t="s">
        <v>2670</v>
      </c>
      <c r="E79" s="235" t="s">
        <v>2644</v>
      </c>
      <c r="F79" s="306">
        <f>MAX(0,Recap!E49)</f>
        <v>712.72500000000582</v>
      </c>
      <c r="G79" s="296">
        <f>MAX(0,-Recap!E49)</f>
        <v>0</v>
      </c>
    </row>
    <row r="80" spans="1:14">
      <c r="A80" s="109" t="str">
        <f t="shared" si="10"/>
        <v>01-11335-000-02</v>
      </c>
      <c r="B80" s="160" t="s">
        <v>2482</v>
      </c>
      <c r="C80" s="297">
        <v>11335</v>
      </c>
      <c r="D80" s="168" t="s">
        <v>2670</v>
      </c>
      <c r="E80" s="168" t="s">
        <v>2679</v>
      </c>
      <c r="F80" s="306">
        <f>MAX(0,Recap!E52)</f>
        <v>0</v>
      </c>
      <c r="G80" s="296">
        <f>MAX(0,-Recap!E52)</f>
        <v>18334.873600000021</v>
      </c>
    </row>
    <row r="81" spans="1:10">
      <c r="A81" s="109" t="str">
        <f t="shared" si="10"/>
        <v>01-11336-000-02</v>
      </c>
      <c r="B81" s="160" t="s">
        <v>2486</v>
      </c>
      <c r="C81" s="297">
        <v>11336</v>
      </c>
      <c r="D81" s="168" t="s">
        <v>2670</v>
      </c>
      <c r="E81" s="168" t="s">
        <v>2679</v>
      </c>
      <c r="F81" s="306">
        <f>MAX(0,Recap!E53)</f>
        <v>0</v>
      </c>
      <c r="G81" s="296">
        <f>MAX(0,-Recap!E53)</f>
        <v>464.07180000006338</v>
      </c>
    </row>
    <row r="82" spans="1:10">
      <c r="A82" s="109" t="str">
        <f t="shared" ref="A82:A83" si="14">"01-"&amp;C82&amp;"-"&amp;D82&amp;"-"&amp;E82</f>
        <v>01-11335-000-06</v>
      </c>
      <c r="B82" s="160" t="s">
        <v>2482</v>
      </c>
      <c r="C82" s="297">
        <v>11335</v>
      </c>
      <c r="D82" s="168" t="s">
        <v>2670</v>
      </c>
      <c r="E82" s="168" t="s">
        <v>2707</v>
      </c>
      <c r="F82" s="306">
        <f>MAX(0,Recap!E56)</f>
        <v>0</v>
      </c>
      <c r="G82" s="296">
        <f>MAX(0,-Recap!E56)</f>
        <v>0</v>
      </c>
    </row>
    <row r="83" spans="1:10">
      <c r="A83" s="109" t="str">
        <f t="shared" si="14"/>
        <v>01-11336-000-06</v>
      </c>
      <c r="B83" s="160" t="s">
        <v>2486</v>
      </c>
      <c r="C83" s="297">
        <v>11336</v>
      </c>
      <c r="D83" s="168" t="s">
        <v>2670</v>
      </c>
      <c r="E83" s="168" t="s">
        <v>2707</v>
      </c>
      <c r="F83" s="306">
        <f>MAX(0,Recap!E57)</f>
        <v>0</v>
      </c>
      <c r="G83" s="296">
        <f>MAX(0,-Recap!E57)</f>
        <v>0</v>
      </c>
    </row>
    <row r="84" spans="1:10">
      <c r="A84" s="109" t="str">
        <f t="shared" ref="A84:A87" si="15">"01-"&amp;C84&amp;"-"&amp;D84&amp;"-"&amp;E84</f>
        <v>01-15233-000-01</v>
      </c>
      <c r="B84" s="160" t="s">
        <v>2700</v>
      </c>
      <c r="C84" s="160">
        <v>15233</v>
      </c>
      <c r="D84" s="164" t="s">
        <v>2670</v>
      </c>
      <c r="E84" s="235" t="s">
        <v>2644</v>
      </c>
      <c r="F84" s="306">
        <f>G78</f>
        <v>0</v>
      </c>
      <c r="G84" s="296">
        <f>F78</f>
        <v>9707.273199999996</v>
      </c>
    </row>
    <row r="85" spans="1:10">
      <c r="A85" s="109" t="str">
        <f t="shared" si="15"/>
        <v>01-15243-000-01</v>
      </c>
      <c r="B85" s="160" t="s">
        <v>2703</v>
      </c>
      <c r="C85" s="297">
        <v>15243</v>
      </c>
      <c r="D85" s="168" t="s">
        <v>2670</v>
      </c>
      <c r="E85" s="235" t="s">
        <v>2644</v>
      </c>
      <c r="F85" s="306">
        <f>G79</f>
        <v>0</v>
      </c>
      <c r="G85" s="296">
        <f>F79</f>
        <v>712.72500000000582</v>
      </c>
    </row>
    <row r="86" spans="1:10">
      <c r="A86" s="109" t="str">
        <f t="shared" si="15"/>
        <v>01-15233-000-02</v>
      </c>
      <c r="B86" s="160" t="s">
        <v>2700</v>
      </c>
      <c r="C86" s="160">
        <v>15233</v>
      </c>
      <c r="D86" s="168" t="s">
        <v>2670</v>
      </c>
      <c r="E86" s="168" t="s">
        <v>2679</v>
      </c>
      <c r="F86" s="306">
        <f>G80</f>
        <v>18334.873600000021</v>
      </c>
      <c r="G86" s="296">
        <f>F80</f>
        <v>0</v>
      </c>
    </row>
    <row r="87" spans="1:10">
      <c r="A87" s="109" t="str">
        <f t="shared" si="15"/>
        <v>01-15243-000-02</v>
      </c>
      <c r="B87" s="160" t="s">
        <v>2703</v>
      </c>
      <c r="C87" s="297">
        <v>15243</v>
      </c>
      <c r="D87" s="168" t="s">
        <v>2670</v>
      </c>
      <c r="E87" s="168" t="s">
        <v>2679</v>
      </c>
      <c r="F87" s="306">
        <f>G81</f>
        <v>464.07180000006338</v>
      </c>
      <c r="G87" s="296">
        <f t="shared" ref="G87" si="16">F81</f>
        <v>0</v>
      </c>
    </row>
    <row r="88" spans="1:10">
      <c r="A88" s="109" t="str">
        <f t="shared" ref="A88:A89" si="17">"01-"&amp;C88&amp;"-"&amp;D88&amp;"-"&amp;E88</f>
        <v>01-15233-000-06</v>
      </c>
      <c r="B88" s="160" t="s">
        <v>2700</v>
      </c>
      <c r="C88" s="160">
        <v>15233</v>
      </c>
      <c r="D88" s="168" t="s">
        <v>2670</v>
      </c>
      <c r="E88" s="168" t="s">
        <v>2707</v>
      </c>
      <c r="F88" s="306">
        <f>G82</f>
        <v>0</v>
      </c>
      <c r="G88" s="296">
        <f>F82</f>
        <v>0</v>
      </c>
    </row>
    <row r="89" spans="1:10">
      <c r="A89" s="109" t="str">
        <f t="shared" si="17"/>
        <v>01-15243-000-06</v>
      </c>
      <c r="B89" s="160" t="s">
        <v>2703</v>
      </c>
      <c r="C89" s="297">
        <v>15243</v>
      </c>
      <c r="D89" s="168" t="s">
        <v>2670</v>
      </c>
      <c r="E89" s="168" t="s">
        <v>2707</v>
      </c>
      <c r="F89" s="306">
        <f t="shared" ref="F89" si="18">G83</f>
        <v>0</v>
      </c>
      <c r="G89" s="296">
        <f t="shared" ref="G89" si="19">F83</f>
        <v>0</v>
      </c>
    </row>
    <row r="90" spans="1:10" ht="13.5" thickBot="1">
      <c r="B90" s="157"/>
      <c r="C90" s="307"/>
      <c r="D90" s="308"/>
      <c r="E90" s="308"/>
      <c r="F90" s="309"/>
      <c r="G90" s="309"/>
    </row>
    <row r="91" spans="1:10" ht="13.5" thickBot="1">
      <c r="F91" s="150">
        <f>SUM(F40:F89)</f>
        <v>109510.47359999907</v>
      </c>
      <c r="G91" s="150">
        <f>SUM(G40:G89)</f>
        <v>109510.47359999907</v>
      </c>
      <c r="H91" s="151">
        <f>F91-G91</f>
        <v>0</v>
      </c>
    </row>
    <row r="93" spans="1:10">
      <c r="B93" s="452" t="s">
        <v>2708</v>
      </c>
      <c r="C93" s="452"/>
      <c r="D93" s="452"/>
      <c r="E93" s="452"/>
      <c r="F93" s="452"/>
      <c r="G93" s="452"/>
    </row>
    <row r="94" spans="1:10">
      <c r="B94" s="453" t="s">
        <v>2709</v>
      </c>
      <c r="C94" s="453"/>
      <c r="D94" s="453"/>
      <c r="E94" s="453"/>
      <c r="F94" s="453"/>
      <c r="G94" s="453"/>
    </row>
    <row r="95" spans="1:10" ht="13.5" thickBot="1">
      <c r="B95" s="149" t="s">
        <v>2659</v>
      </c>
      <c r="C95" s="149" t="s">
        <v>2660</v>
      </c>
      <c r="D95" s="149" t="s">
        <v>2661</v>
      </c>
      <c r="E95" s="149"/>
      <c r="F95" s="149" t="s">
        <v>2662</v>
      </c>
      <c r="G95" s="149" t="s">
        <v>2663</v>
      </c>
    </row>
    <row r="96" spans="1:10">
      <c r="A96" s="109" t="str">
        <f t="shared" ref="A96:A106" si="20">"01-"&amp;C96&amp;"-"&amp;D96&amp;"-"&amp;E96</f>
        <v>01-11331-000-01</v>
      </c>
      <c r="B96" s="160" t="s">
        <v>2710</v>
      </c>
      <c r="C96" s="297">
        <v>11331</v>
      </c>
      <c r="D96" s="168" t="s">
        <v>2670</v>
      </c>
      <c r="E96" s="168" t="s">
        <v>2644</v>
      </c>
      <c r="F96" s="306">
        <f>MAX(0,O16-K16)</f>
        <v>0</v>
      </c>
      <c r="G96" s="306">
        <f>MAX(0,K16-O16)</f>
        <v>497.54999999993015</v>
      </c>
      <c r="H96" s="150"/>
      <c r="J96" s="172" t="s">
        <v>2791</v>
      </c>
    </row>
    <row r="97" spans="1:16">
      <c r="A97" s="109" t="str">
        <f t="shared" si="20"/>
        <v>01-11341-000-01</v>
      </c>
      <c r="B97" s="160" t="s">
        <v>2711</v>
      </c>
      <c r="C97" s="297">
        <v>11341</v>
      </c>
      <c r="D97" s="168" t="s">
        <v>2670</v>
      </c>
      <c r="E97" s="168" t="s">
        <v>2644</v>
      </c>
      <c r="F97" s="306">
        <f>MAX(0,O26-K26)</f>
        <v>24888.799999999988</v>
      </c>
      <c r="G97" s="306">
        <f>MAX(0,K26-O26)</f>
        <v>0</v>
      </c>
      <c r="J97" s="172" t="s">
        <v>2791</v>
      </c>
    </row>
    <row r="98" spans="1:16">
      <c r="A98" s="109" t="str">
        <f t="shared" si="20"/>
        <v>01-16995-000-01</v>
      </c>
      <c r="B98" s="160" t="s">
        <v>2712</v>
      </c>
      <c r="C98" s="160">
        <v>16995</v>
      </c>
      <c r="D98" s="168" t="s">
        <v>2670</v>
      </c>
      <c r="E98" s="168" t="s">
        <v>2644</v>
      </c>
      <c r="F98" s="296">
        <f>MAX(0,(G96+G97-F96-F97)/3)</f>
        <v>0</v>
      </c>
      <c r="G98" s="296">
        <f>MAX(0,-(G96+G97-F96-F97)/3)</f>
        <v>8130.4166666666861</v>
      </c>
      <c r="I98" s="398" t="s">
        <v>2713</v>
      </c>
      <c r="J98" s="172" t="s">
        <v>2791</v>
      </c>
      <c r="K98" s="404"/>
      <c r="L98" s="150"/>
      <c r="M98" s="150"/>
      <c r="N98" s="150"/>
    </row>
    <row r="99" spans="1:16">
      <c r="A99" s="109" t="str">
        <f t="shared" si="20"/>
        <v>01-16996-000-01</v>
      </c>
      <c r="B99" s="160" t="s">
        <v>2714</v>
      </c>
      <c r="C99" s="160">
        <v>16996</v>
      </c>
      <c r="D99" s="168" t="s">
        <v>2670</v>
      </c>
      <c r="E99" s="168" t="s">
        <v>2644</v>
      </c>
      <c r="F99" s="296">
        <f>F98</f>
        <v>0</v>
      </c>
      <c r="G99" s="296">
        <f>G98</f>
        <v>8130.4166666666861</v>
      </c>
      <c r="I99" s="398" t="s">
        <v>2713</v>
      </c>
      <c r="J99" s="172" t="s">
        <v>2791</v>
      </c>
    </row>
    <row r="100" spans="1:16">
      <c r="A100" s="109" t="str">
        <f t="shared" si="20"/>
        <v>01-16997-000-01</v>
      </c>
      <c r="B100" s="160" t="s">
        <v>2715</v>
      </c>
      <c r="C100" s="160">
        <v>16997</v>
      </c>
      <c r="D100" s="168" t="s">
        <v>2670</v>
      </c>
      <c r="E100" s="168" t="s">
        <v>2644</v>
      </c>
      <c r="F100" s="296">
        <f>F99</f>
        <v>0</v>
      </c>
      <c r="G100" s="296">
        <f>G99</f>
        <v>8130.4166666666861</v>
      </c>
      <c r="I100" s="398" t="s">
        <v>2713</v>
      </c>
      <c r="J100" s="172" t="s">
        <v>2791</v>
      </c>
      <c r="L100" s="150"/>
    </row>
    <row r="101" spans="1:16">
      <c r="A101" s="109" t="str">
        <f t="shared" si="20"/>
        <v>01---</v>
      </c>
      <c r="B101" s="160"/>
      <c r="C101" s="297"/>
      <c r="D101" s="168"/>
      <c r="E101" s="168"/>
      <c r="F101" s="306"/>
      <c r="G101" s="306"/>
    </row>
    <row r="102" spans="1:16">
      <c r="A102" s="109" t="str">
        <f t="shared" si="20"/>
        <v>01-11331-000-02</v>
      </c>
      <c r="B102" s="160" t="s">
        <v>2710</v>
      </c>
      <c r="C102" s="297">
        <v>11331</v>
      </c>
      <c r="D102" s="168" t="s">
        <v>2670</v>
      </c>
      <c r="E102" s="168" t="s">
        <v>2679</v>
      </c>
      <c r="F102" s="306">
        <f>MAX(0,O17-K17)</f>
        <v>8293.6599999999962</v>
      </c>
      <c r="G102" s="306">
        <f>MAX(0,K17-O17)</f>
        <v>0</v>
      </c>
      <c r="J102" s="172" t="s">
        <v>2792</v>
      </c>
    </row>
    <row r="103" spans="1:16">
      <c r="A103" s="109" t="str">
        <f t="shared" si="20"/>
        <v>01-11341-000-02</v>
      </c>
      <c r="B103" s="160" t="s">
        <v>2716</v>
      </c>
      <c r="C103" s="297">
        <v>11341</v>
      </c>
      <c r="D103" s="168" t="s">
        <v>2670</v>
      </c>
      <c r="E103" s="168" t="s">
        <v>2679</v>
      </c>
      <c r="F103" s="306">
        <f>MAX(0,O27-K27)</f>
        <v>19493.260000000009</v>
      </c>
      <c r="G103" s="306">
        <f>MAX(0,K27-O27)</f>
        <v>0</v>
      </c>
      <c r="J103" s="172" t="s">
        <v>2792</v>
      </c>
      <c r="P103" s="150"/>
    </row>
    <row r="104" spans="1:16">
      <c r="A104" s="109" t="str">
        <f t="shared" si="20"/>
        <v>01-16995-000-02</v>
      </c>
      <c r="B104" s="160" t="s">
        <v>2712</v>
      </c>
      <c r="C104" s="160">
        <v>16995</v>
      </c>
      <c r="D104" s="168" t="s">
        <v>2670</v>
      </c>
      <c r="E104" s="168" t="s">
        <v>2679</v>
      </c>
      <c r="F104" s="296">
        <f>MAX(0,(G102+G103-F102-F103)/3)</f>
        <v>0</v>
      </c>
      <c r="G104" s="296">
        <f>MAX(0,-(G102+G103-F102-F103)/3)</f>
        <v>9262.3066666666691</v>
      </c>
      <c r="I104" s="398" t="s">
        <v>2713</v>
      </c>
      <c r="J104" s="172" t="s">
        <v>2792</v>
      </c>
    </row>
    <row r="105" spans="1:16">
      <c r="A105" s="109" t="str">
        <f t="shared" si="20"/>
        <v>01-16996-000-02</v>
      </c>
      <c r="B105" s="160" t="s">
        <v>2714</v>
      </c>
      <c r="C105" s="160">
        <v>16996</v>
      </c>
      <c r="D105" s="168" t="s">
        <v>2670</v>
      </c>
      <c r="E105" s="168" t="s">
        <v>2679</v>
      </c>
      <c r="F105" s="296">
        <f>F104</f>
        <v>0</v>
      </c>
      <c r="G105" s="296">
        <f>G104</f>
        <v>9262.3066666666691</v>
      </c>
      <c r="I105" s="398" t="s">
        <v>2713</v>
      </c>
      <c r="J105" s="172" t="s">
        <v>2792</v>
      </c>
    </row>
    <row r="106" spans="1:16" ht="13.5" thickBot="1">
      <c r="A106" s="109" t="str">
        <f t="shared" si="20"/>
        <v>01-16997-000-02</v>
      </c>
      <c r="B106" s="160" t="s">
        <v>2715</v>
      </c>
      <c r="C106" s="160">
        <v>16997</v>
      </c>
      <c r="D106" s="168" t="s">
        <v>2670</v>
      </c>
      <c r="E106" s="168" t="s">
        <v>2679</v>
      </c>
      <c r="F106" s="296">
        <f>F105</f>
        <v>0</v>
      </c>
      <c r="G106" s="296">
        <f>G105</f>
        <v>9262.3066666666691</v>
      </c>
      <c r="I106" s="398" t="s">
        <v>2713</v>
      </c>
      <c r="J106" s="172" t="s">
        <v>2792</v>
      </c>
    </row>
    <row r="107" spans="1:16" ht="13.5" thickBot="1">
      <c r="F107" s="150">
        <f>SUM(F96:F106)</f>
        <v>52675.719999999994</v>
      </c>
      <c r="G107" s="150">
        <f>SUM(G96:G106)</f>
        <v>52675.72</v>
      </c>
      <c r="H107" s="151">
        <f>F107-G107</f>
        <v>0</v>
      </c>
    </row>
    <row r="109" spans="1:16">
      <c r="B109" s="449" t="s">
        <v>2717</v>
      </c>
      <c r="C109" s="449"/>
      <c r="D109" s="449"/>
      <c r="E109" s="449"/>
      <c r="F109" s="449"/>
      <c r="G109" s="449"/>
    </row>
    <row r="110" spans="1:16">
      <c r="B110" s="450" t="s">
        <v>2718</v>
      </c>
      <c r="C110" s="450"/>
      <c r="D110" s="450"/>
      <c r="E110" s="450"/>
      <c r="F110" s="450"/>
      <c r="G110" s="450"/>
    </row>
    <row r="111" spans="1:16" ht="13.5" thickBot="1">
      <c r="B111" s="153" t="s">
        <v>2659</v>
      </c>
      <c r="C111" s="153" t="s">
        <v>2660</v>
      </c>
      <c r="D111" s="153" t="s">
        <v>2661</v>
      </c>
      <c r="E111" s="153"/>
      <c r="F111" s="153" t="s">
        <v>2662</v>
      </c>
      <c r="G111" s="153" t="s">
        <v>2663</v>
      </c>
    </row>
    <row r="112" spans="1:16">
      <c r="A112" s="109" t="str">
        <f t="shared" ref="A112:A122" si="21">"01-"&amp;C112&amp;"-"&amp;D112&amp;"-"&amp;E112</f>
        <v>01-11342-000-01</v>
      </c>
      <c r="B112" s="160" t="s">
        <v>2669</v>
      </c>
      <c r="C112" s="160">
        <v>11342</v>
      </c>
      <c r="D112" s="168" t="s">
        <v>2670</v>
      </c>
      <c r="E112" s="168" t="s">
        <v>2644</v>
      </c>
      <c r="F112" s="429" t="str">
        <f>IF('AZ DL&amp;OH FG'!G401&gt;0,'AZ DL&amp;OH FG'!G401,"")</f>
        <v/>
      </c>
      <c r="G112" s="465">
        <f>IF('AZ DL&amp;OH FG'!G401&lt;0,-'AZ DL&amp;OH FG'!G401,"")+0.00104531578836031</f>
        <v>2631.0221390657889</v>
      </c>
      <c r="H112" s="243"/>
    </row>
    <row r="113" spans="1:10">
      <c r="A113" s="109" t="str">
        <f t="shared" si="21"/>
        <v>01-15180-000-01</v>
      </c>
      <c r="B113" s="160" t="s">
        <v>2719</v>
      </c>
      <c r="C113" s="160">
        <v>15180</v>
      </c>
      <c r="D113" s="168" t="s">
        <v>2670</v>
      </c>
      <c r="E113" s="168" t="s">
        <v>2644</v>
      </c>
      <c r="F113" s="296">
        <f>IF('AZ DL&amp;OH FG'!G400&lt;0,-'AZ DL&amp;OH FG'!G400,"")</f>
        <v>2631.0210937500005</v>
      </c>
      <c r="G113" s="296" t="str">
        <f>IF('AZ DL&amp;OH FG'!G400&gt;0,'AZ DL&amp;OH FG'!G400,"")</f>
        <v/>
      </c>
    </row>
    <row r="114" spans="1:10">
      <c r="A114" s="109" t="str">
        <f t="shared" si="21"/>
        <v>01-15110-000-01</v>
      </c>
      <c r="B114" s="160" t="s">
        <v>2720</v>
      </c>
      <c r="C114" s="297">
        <v>15110</v>
      </c>
      <c r="D114" s="164" t="s">
        <v>2670</v>
      </c>
      <c r="E114" s="168" t="s">
        <v>2644</v>
      </c>
      <c r="F114" s="296" t="str">
        <f>IF('AZ DL&amp;OH FG'!G396&lt;0,-'AZ DL&amp;OH FG'!G396,"")</f>
        <v/>
      </c>
      <c r="G114" s="296" t="str">
        <f>IF('AZ DL&amp;OH FG'!G396&gt;0,'AZ DL&amp;OH FG'!G396,"")</f>
        <v/>
      </c>
      <c r="H114" s="150"/>
    </row>
    <row r="115" spans="1:10">
      <c r="A115" s="109" t="str">
        <f t="shared" si="21"/>
        <v>01-15130-000-01</v>
      </c>
      <c r="B115" s="160" t="s">
        <v>2721</v>
      </c>
      <c r="C115" s="160">
        <v>15130</v>
      </c>
      <c r="D115" s="164" t="s">
        <v>2670</v>
      </c>
      <c r="E115" s="168" t="s">
        <v>2644</v>
      </c>
      <c r="F115" s="296" t="str">
        <f>IF('AZ DL&amp;OH FG'!G397&lt;0,-'AZ DL&amp;OH FG'!G397,"")</f>
        <v/>
      </c>
      <c r="G115" s="296" t="str">
        <f>IF('AZ DL&amp;OH FG'!G397&gt;0,'AZ DL&amp;OH FG'!G397,"")</f>
        <v/>
      </c>
      <c r="H115" s="150"/>
      <c r="J115" s="428"/>
    </row>
    <row r="116" spans="1:10">
      <c r="A116" s="109" t="str">
        <f t="shared" si="21"/>
        <v>01-15140-000-01</v>
      </c>
      <c r="B116" s="160" t="s">
        <v>2722</v>
      </c>
      <c r="C116" s="297">
        <v>15140</v>
      </c>
      <c r="D116" s="164" t="s">
        <v>2670</v>
      </c>
      <c r="E116" s="168" t="s">
        <v>2644</v>
      </c>
      <c r="F116" s="296" t="str">
        <f>IF('AZ DL&amp;OH FG'!G398&lt;0,-'AZ DL&amp;OH FG'!G398,"")</f>
        <v/>
      </c>
      <c r="G116" s="296" t="str">
        <f>IF('AZ DL&amp;OH FG'!G398&gt;0,'AZ DL&amp;OH FG'!G398,"")</f>
        <v/>
      </c>
    </row>
    <row r="117" spans="1:10">
      <c r="A117" s="109" t="str">
        <f t="shared" si="21"/>
        <v>01-15120-000-01</v>
      </c>
      <c r="B117" s="160" t="s">
        <v>2723</v>
      </c>
      <c r="C117" s="160">
        <v>15120</v>
      </c>
      <c r="D117" s="164" t="s">
        <v>2670</v>
      </c>
      <c r="E117" s="168" t="s">
        <v>2644</v>
      </c>
      <c r="F117" s="296" t="str">
        <f>IF('AZ DL&amp;OH FG'!G399&lt;0,-'AZ DL&amp;OH FG'!G399,"")</f>
        <v/>
      </c>
      <c r="G117" s="296" t="str">
        <f>IF('AZ DL&amp;OH FG'!G399&gt;0,'AZ DL&amp;OH FG'!G399,"")</f>
        <v/>
      </c>
      <c r="J117" s="428"/>
    </row>
    <row r="118" spans="1:10">
      <c r="A118" s="109" t="str">
        <f t="shared" si="21"/>
        <v>01---</v>
      </c>
      <c r="B118" s="160"/>
      <c r="C118" s="160"/>
      <c r="D118" s="160"/>
      <c r="E118" s="160"/>
      <c r="F118" s="296"/>
      <c r="G118" s="296"/>
    </row>
    <row r="119" spans="1:10">
      <c r="A119" s="109" t="str">
        <f t="shared" si="21"/>
        <v>01-15130-000-02</v>
      </c>
      <c r="B119" s="160" t="s">
        <v>828</v>
      </c>
      <c r="C119" s="297">
        <v>15130</v>
      </c>
      <c r="D119" s="168" t="s">
        <v>2670</v>
      </c>
      <c r="E119" s="168" t="s">
        <v>2679</v>
      </c>
      <c r="F119" s="296" t="str">
        <f>IF('FL DL&amp;OH FG'!G386&lt;0,-'FL DL&amp;OH FG'!G386,"")</f>
        <v/>
      </c>
      <c r="G119" s="296">
        <f>IF('FL DL&amp;OH FG'!G386&gt;0,'FL DL&amp;OH FG'!G386,"")</f>
        <v>3570.9153984163422</v>
      </c>
    </row>
    <row r="120" spans="1:10">
      <c r="A120" s="109" t="str">
        <f t="shared" ref="A120" si="22">"01-"&amp;C120&amp;"-"&amp;D120&amp;"-"&amp;E120</f>
        <v>01-15110-000-02</v>
      </c>
      <c r="B120" s="160" t="s">
        <v>2720</v>
      </c>
      <c r="C120" s="297">
        <v>15110</v>
      </c>
      <c r="D120" s="164" t="s">
        <v>2670</v>
      </c>
      <c r="E120" s="235" t="s">
        <v>2679</v>
      </c>
      <c r="F120" s="296" t="str">
        <f>IF('FL DL&amp;OH FG'!I386&lt;0,ROUND(-'FL DL&amp;OH FG'!I386,2),"")</f>
        <v/>
      </c>
      <c r="G120" s="296">
        <f>IF('FL DL&amp;OH FG'!I386&gt;0,'FL DL&amp;OH FG'!I386,"")</f>
        <v>11622.214371300313</v>
      </c>
      <c r="H120" s="150"/>
      <c r="J120" s="464"/>
    </row>
    <row r="121" spans="1:10">
      <c r="A121" s="109" t="str">
        <f t="shared" si="21"/>
        <v>01-15140-000-02</v>
      </c>
      <c r="B121" s="160" t="s">
        <v>852</v>
      </c>
      <c r="C121" s="297">
        <v>15140</v>
      </c>
      <c r="D121" s="168" t="s">
        <v>2670</v>
      </c>
      <c r="E121" s="168" t="s">
        <v>2679</v>
      </c>
      <c r="F121" s="296" t="str">
        <f>IF('FL DL&amp;OH FG'!H386&lt;0,-'FL DL&amp;OH FG'!H386,"")</f>
        <v/>
      </c>
      <c r="G121" s="296" t="str">
        <f>IF('FL DL&amp;OH FG'!H386&gt;0,ROUND('FL DL&amp;OH FG'!H386,2),"")</f>
        <v/>
      </c>
      <c r="H121" s="150"/>
    </row>
    <row r="122" spans="1:10">
      <c r="A122" s="109" t="str">
        <f t="shared" si="21"/>
        <v>01-15180-000-02</v>
      </c>
      <c r="B122" s="160" t="s">
        <v>2719</v>
      </c>
      <c r="C122" s="297">
        <v>15180</v>
      </c>
      <c r="D122" s="168" t="s">
        <v>2670</v>
      </c>
      <c r="E122" s="168" t="s">
        <v>2679</v>
      </c>
      <c r="F122" s="296">
        <f>IF('FL DL&amp;OH FG'!F386&lt;0,ROUND(-'FL DL&amp;OH FG'!F386,2),"")</f>
        <v>5691.01</v>
      </c>
      <c r="G122" s="296" t="str">
        <f>IF('FL DL&amp;OH FG'!F386&gt;0,'FL DL&amp;OH FG'!F386,"")</f>
        <v/>
      </c>
      <c r="H122" s="150"/>
      <c r="I122" s="420"/>
    </row>
    <row r="123" spans="1:10" s="172" customFormat="1" ht="13.5" thickBot="1">
      <c r="A123" s="172" t="s">
        <v>2560</v>
      </c>
      <c r="B123" s="160" t="s">
        <v>2724</v>
      </c>
      <c r="C123" s="297">
        <v>11342</v>
      </c>
      <c r="D123" s="168" t="s">
        <v>2670</v>
      </c>
      <c r="E123" s="168" t="s">
        <v>2679</v>
      </c>
      <c r="F123" s="296">
        <f>IF('FL DL&amp;OH FG'!J386&gt;0,'FL DL&amp;OH FG'!J386,"")</f>
        <v>9502.1208150324455</v>
      </c>
      <c r="G123" s="296" t="str">
        <f>IF('FL DL&amp;OH FG'!J386&lt;0,ROUND(-'FL DL&amp;OH FG'!J386,2),"")</f>
        <v/>
      </c>
      <c r="H123" s="243"/>
    </row>
    <row r="124" spans="1:10" ht="13.5" thickBot="1">
      <c r="F124" s="418">
        <f>SUM(F112:F123)</f>
        <v>17824.151908782445</v>
      </c>
      <c r="G124" s="418">
        <f>SUM(G112:G123)</f>
        <v>17824.151908782445</v>
      </c>
      <c r="H124" s="419">
        <f>F124-G124</f>
        <v>0</v>
      </c>
      <c r="I124" s="314"/>
    </row>
    <row r="125" spans="1:10">
      <c r="I125" s="367"/>
    </row>
    <row r="126" spans="1:10">
      <c r="B126" s="449" t="s">
        <v>2725</v>
      </c>
      <c r="C126" s="449"/>
      <c r="D126" s="449"/>
      <c r="E126" s="449"/>
      <c r="F126" s="449"/>
      <c r="G126" s="449"/>
    </row>
    <row r="127" spans="1:10">
      <c r="B127" s="450" t="s">
        <v>2726</v>
      </c>
      <c r="C127" s="450"/>
      <c r="D127" s="450"/>
      <c r="E127" s="450"/>
      <c r="F127" s="450"/>
      <c r="G127" s="450"/>
    </row>
    <row r="128" spans="1:10" ht="13.5" thickBot="1">
      <c r="B128" s="153" t="s">
        <v>2659</v>
      </c>
      <c r="C128" s="153" t="s">
        <v>2660</v>
      </c>
      <c r="D128" s="153" t="s">
        <v>2661</v>
      </c>
      <c r="E128" s="153"/>
      <c r="F128" s="153" t="s">
        <v>2662</v>
      </c>
      <c r="G128" s="153" t="s">
        <v>2663</v>
      </c>
    </row>
    <row r="129" spans="1:8">
      <c r="A129" s="109" t="str">
        <f>"01-"&amp;C129&amp;"-"&amp;D129&amp;"-"&amp;E129</f>
        <v>01-11342-000-01</v>
      </c>
      <c r="B129" s="160" t="s">
        <v>2669</v>
      </c>
      <c r="C129" s="160">
        <v>11342</v>
      </c>
      <c r="D129" s="168" t="s">
        <v>2670</v>
      </c>
      <c r="E129" s="168" t="s">
        <v>2644</v>
      </c>
      <c r="F129" s="296" t="str">
        <f>IF('AZ DL&amp;OH FG'!H390+'AZ DL&amp;OH FG'!G409&gt;0,'AZ DL&amp;OH FG'!G409+'AZ DL&amp;OH FG'!H390,"")</f>
        <v/>
      </c>
      <c r="G129" s="306">
        <f>IF('AZ DL&amp;OH FG'!G409+'AZ DL&amp;OH FG'!H390&lt;0,-'AZ DL&amp;OH FG'!G409-'AZ DL&amp;OH FG'!H390,"")</f>
        <v>1580.7597535371242</v>
      </c>
    </row>
    <row r="130" spans="1:8">
      <c r="A130" s="109" t="str">
        <f>"01-"&amp;C130&amp;"-"&amp;D130&amp;"-"&amp;E130</f>
        <v>01-15191-000-01</v>
      </c>
      <c r="B130" s="160" t="s">
        <v>812</v>
      </c>
      <c r="C130" s="160">
        <v>15191</v>
      </c>
      <c r="D130" s="168" t="s">
        <v>2670</v>
      </c>
      <c r="E130" s="168" t="s">
        <v>2644</v>
      </c>
      <c r="F130" s="306">
        <f>G129</f>
        <v>1580.7597535371242</v>
      </c>
      <c r="G130" s="306" t="str">
        <f>F129</f>
        <v/>
      </c>
    </row>
    <row r="131" spans="1:8">
      <c r="A131" s="109" t="str">
        <f>"01-"&amp;C131&amp;"-"&amp;D131&amp;"-"&amp;E131</f>
        <v>01---</v>
      </c>
      <c r="B131" s="160"/>
      <c r="C131" s="297"/>
      <c r="D131" s="164"/>
      <c r="E131" s="164"/>
      <c r="F131" s="306"/>
      <c r="G131" s="306"/>
    </row>
    <row r="132" spans="1:8" s="172" customFormat="1">
      <c r="A132" s="172" t="s">
        <v>2560</v>
      </c>
      <c r="B132" s="160" t="s">
        <v>2669</v>
      </c>
      <c r="C132" s="160">
        <v>11342</v>
      </c>
      <c r="D132" s="168" t="s">
        <v>2670</v>
      </c>
      <c r="E132" s="168" t="s">
        <v>2679</v>
      </c>
      <c r="F132" s="306" t="str">
        <f>IF(SUM('FL DL&amp;OH FG'!C383,'FL DL&amp;OH FG'!C393,'FL DL&amp;OH FG'!G391:I391)&gt;0,ROUND(SUM('FL DL&amp;OH FG'!C383,'FL DL&amp;OH FG'!C393,'FL DL&amp;OH FG'!G391:I391),2),"")</f>
        <v/>
      </c>
      <c r="G132" s="296">
        <f>IF(SUM('FL DL&amp;OH FG'!C383,'FL DL&amp;OH FG'!C393,'FL DL&amp;OH FG'!G391:I391)&lt;0,ROUND(-SUM('FL DL&amp;OH FG'!C383,'FL DL&amp;OH FG'!C393,'FL DL&amp;OH FG'!G391:I391),2),"")</f>
        <v>7655.11</v>
      </c>
    </row>
    <row r="133" spans="1:8" ht="13.5" thickBot="1">
      <c r="A133" s="109" t="str">
        <f>"01-"&amp;C133&amp;"-"&amp;D133&amp;"-"&amp;E133</f>
        <v>01-15191-000-02</v>
      </c>
      <c r="B133" s="160" t="s">
        <v>812</v>
      </c>
      <c r="C133" s="160">
        <v>15191</v>
      </c>
      <c r="D133" s="168" t="s">
        <v>2670</v>
      </c>
      <c r="E133" s="168" t="s">
        <v>2679</v>
      </c>
      <c r="F133" s="306">
        <f>G132</f>
        <v>7655.11</v>
      </c>
      <c r="G133" s="306" t="str">
        <f>F132</f>
        <v/>
      </c>
    </row>
    <row r="134" spans="1:8" ht="13.5" thickBot="1">
      <c r="F134" s="150">
        <f>SUM(F129:F133)</f>
        <v>9235.8697535371248</v>
      </c>
      <c r="G134" s="150">
        <f>SUM(G129:G133)</f>
        <v>9235.8697535371248</v>
      </c>
      <c r="H134" s="151">
        <f>F134-G134</f>
        <v>0</v>
      </c>
    </row>
  </sheetData>
  <mergeCells count="16">
    <mergeCell ref="B1:G1"/>
    <mergeCell ref="B2:G2"/>
    <mergeCell ref="B18:G18"/>
    <mergeCell ref="B19:G19"/>
    <mergeCell ref="B28:G28"/>
    <mergeCell ref="I3:K3"/>
    <mergeCell ref="L3:M3"/>
    <mergeCell ref="B126:G126"/>
    <mergeCell ref="B127:G127"/>
    <mergeCell ref="B29:G29"/>
    <mergeCell ref="B37:G37"/>
    <mergeCell ref="B38:G38"/>
    <mergeCell ref="B93:G93"/>
    <mergeCell ref="B94:G94"/>
    <mergeCell ref="B109:G109"/>
    <mergeCell ref="B110:G110"/>
  </mergeCells>
  <pageMargins left="0.7" right="0.7" top="0.75" bottom="0.75" header="0.3" footer="0.3"/>
  <pageSetup scale="31" orientation="landscape" r:id="rId1"/>
  <cellWatches>
    <cellWatch r="O35"/>
  </cellWatch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tabColor rgb="FFFFFF00"/>
    <pageSetUpPr fitToPage="1"/>
  </sheetPr>
  <dimension ref="A1:AO44"/>
  <sheetViews>
    <sheetView workbookViewId="0">
      <pane xSplit="2" ySplit="8" topLeftCell="I18" activePane="bottomRight" state="frozen"/>
      <selection pane="topRight" activeCell="C1" sqref="C1"/>
      <selection pane="bottomLeft" activeCell="A9" sqref="A9"/>
      <selection pane="bottomRight" activeCell="L38" activeCellId="1" sqref="I38 L38"/>
    </sheetView>
  </sheetViews>
  <sheetFormatPr defaultColWidth="5.140625" defaultRowHeight="12.75"/>
  <cols>
    <col min="1" max="1" width="10.7109375" style="61" bestFit="1" customWidth="1"/>
    <col min="2" max="2" width="34.140625" style="61" bestFit="1" customWidth="1"/>
    <col min="3" max="3" width="10.28515625" style="65" bestFit="1" customWidth="1"/>
    <col min="4" max="4" width="11.5703125" style="65" bestFit="1" customWidth="1"/>
    <col min="5" max="5" width="10.28515625" style="65" bestFit="1" customWidth="1"/>
    <col min="6" max="6" width="8.7109375" style="65" bestFit="1" customWidth="1"/>
    <col min="7" max="7" width="10.28515625" style="65" bestFit="1" customWidth="1"/>
    <col min="8" max="8" width="6.140625" style="66" customWidth="1"/>
    <col min="9" max="9" width="10.85546875" style="65" bestFit="1" customWidth="1"/>
    <col min="10" max="10" width="15.140625" style="65" hidden="1" customWidth="1"/>
    <col min="11" max="11" width="10.28515625" style="65" bestFit="1" customWidth="1"/>
    <col min="12" max="13" width="10.28515625" style="65" customWidth="1"/>
    <col min="14" max="14" width="10.5703125" style="65" bestFit="1" customWidth="1"/>
    <col min="15" max="15" width="10.5703125" style="65" customWidth="1"/>
    <col min="16" max="17" width="14.5703125" style="65" bestFit="1" customWidth="1"/>
    <col min="18" max="18" width="9.85546875" style="65" customWidth="1"/>
    <col min="19" max="19" width="12.85546875" style="65" bestFit="1" customWidth="1"/>
    <col min="20" max="20" width="10.28515625" style="65" bestFit="1" customWidth="1"/>
    <col min="21" max="21" width="9" style="65" customWidth="1"/>
    <col min="22" max="25" width="11" style="65" customWidth="1"/>
    <col min="26" max="26" width="11.42578125" style="65" customWidth="1"/>
    <col min="27" max="27" width="11.28515625" style="65" bestFit="1" customWidth="1"/>
    <col min="28" max="28" width="4.7109375" style="61" bestFit="1" customWidth="1"/>
    <col min="29" max="30" width="11" style="65" customWidth="1"/>
    <col min="31" max="31" width="11.42578125" style="65" customWidth="1"/>
    <col min="32" max="32" width="11.28515625" style="65" bestFit="1" customWidth="1"/>
    <col min="33" max="33" width="4.7109375" style="61" bestFit="1" customWidth="1"/>
    <col min="34" max="34" width="14.140625" style="65" bestFit="1" customWidth="1"/>
    <col min="35" max="35" width="14" style="61" bestFit="1" customWidth="1"/>
    <col min="36" max="36" width="11.28515625" style="61" bestFit="1" customWidth="1"/>
    <col min="37" max="37" width="10.85546875" style="61" bestFit="1" customWidth="1"/>
    <col min="38" max="38" width="6.7109375" style="61" bestFit="1" customWidth="1"/>
    <col min="39" max="40" width="5.140625" style="61"/>
    <col min="41" max="41" width="5.85546875" style="61" bestFit="1" customWidth="1"/>
    <col min="42" max="16384" width="5.140625" style="61"/>
  </cols>
  <sheetData>
    <row r="1" spans="1:35">
      <c r="A1" s="454" t="s">
        <v>2623</v>
      </c>
      <c r="B1" s="454"/>
      <c r="C1" s="454"/>
      <c r="D1" s="454"/>
      <c r="E1" s="454"/>
      <c r="F1" s="454"/>
      <c r="G1" s="454"/>
      <c r="H1" s="454"/>
      <c r="I1" s="454"/>
      <c r="J1" s="60"/>
      <c r="K1" s="60"/>
      <c r="L1" s="60"/>
      <c r="M1" s="60"/>
      <c r="N1" s="60"/>
      <c r="O1" s="60"/>
      <c r="P1" s="60"/>
      <c r="Q1" s="60"/>
      <c r="R1" s="60"/>
      <c r="S1" s="60"/>
      <c r="T1" s="60"/>
      <c r="U1" s="60"/>
      <c r="V1" s="60"/>
      <c r="W1" s="60"/>
      <c r="X1" s="60"/>
      <c r="Y1" s="60"/>
      <c r="Z1" s="60"/>
      <c r="AA1" s="60"/>
      <c r="AB1" s="60"/>
      <c r="AC1" s="60"/>
      <c r="AD1" s="60"/>
      <c r="AE1" s="60"/>
      <c r="AF1" s="60"/>
      <c r="AG1" s="60"/>
      <c r="AH1" s="60"/>
    </row>
    <row r="2" spans="1:35">
      <c r="A2" s="454" t="s">
        <v>2589</v>
      </c>
      <c r="B2" s="454"/>
      <c r="C2" s="454"/>
      <c r="D2" s="454"/>
      <c r="E2" s="454"/>
      <c r="F2" s="454"/>
      <c r="G2" s="454"/>
      <c r="H2" s="454"/>
      <c r="I2" s="454"/>
      <c r="J2" s="60"/>
      <c r="K2" s="60"/>
      <c r="L2" s="60"/>
      <c r="M2" s="60"/>
      <c r="N2" s="60"/>
      <c r="O2" s="60"/>
      <c r="P2" s="60"/>
      <c r="Q2" s="60"/>
      <c r="R2" s="60"/>
      <c r="S2" s="60"/>
      <c r="T2" s="60"/>
      <c r="U2" s="60"/>
      <c r="V2" s="60"/>
      <c r="W2" s="60"/>
      <c r="X2" s="60"/>
      <c r="Y2" s="60"/>
      <c r="Z2" s="60"/>
      <c r="AA2" s="60"/>
      <c r="AB2" s="60"/>
      <c r="AC2" s="60"/>
      <c r="AD2" s="60"/>
      <c r="AE2" s="60"/>
      <c r="AF2" s="60"/>
      <c r="AG2" s="60"/>
      <c r="AH2" s="60"/>
    </row>
    <row r="3" spans="1:35">
      <c r="A3" s="454" t="str">
        <f>'AZ WIP'!A3:F3</f>
        <v>As of July 31st 2025</v>
      </c>
      <c r="B3" s="454"/>
      <c r="C3" s="454"/>
      <c r="D3" s="454"/>
      <c r="E3" s="454"/>
      <c r="F3" s="454"/>
      <c r="G3" s="454"/>
      <c r="H3" s="454"/>
      <c r="I3" s="454"/>
      <c r="J3" s="60"/>
      <c r="K3" s="60"/>
      <c r="L3" s="60"/>
      <c r="M3" s="60"/>
      <c r="N3" s="60"/>
      <c r="O3" s="60"/>
      <c r="P3" s="60"/>
      <c r="Q3" s="60"/>
      <c r="R3" s="60"/>
      <c r="S3" s="60"/>
      <c r="T3" s="60"/>
      <c r="U3" s="60"/>
      <c r="V3" s="60"/>
      <c r="W3" s="60"/>
      <c r="X3" s="60"/>
      <c r="Y3" s="60"/>
      <c r="Z3" s="60"/>
      <c r="AA3" s="60"/>
      <c r="AB3" s="60"/>
      <c r="AC3" s="60"/>
      <c r="AD3" s="60"/>
      <c r="AE3" s="60"/>
      <c r="AF3" s="60"/>
      <c r="AG3" s="60"/>
      <c r="AH3" s="60"/>
    </row>
    <row r="4" spans="1:35">
      <c r="A4" s="454"/>
      <c r="B4" s="454"/>
      <c r="C4" s="454"/>
      <c r="D4" s="454"/>
      <c r="E4" s="454"/>
      <c r="F4" s="454"/>
      <c r="G4" s="454"/>
      <c r="H4" s="454"/>
      <c r="I4" s="454"/>
      <c r="J4" s="60"/>
      <c r="K4" s="60"/>
      <c r="L4" s="60"/>
      <c r="M4" s="60"/>
      <c r="N4" s="60"/>
      <c r="O4" s="60"/>
      <c r="P4" s="60"/>
      <c r="Q4" s="60"/>
      <c r="R4" s="60"/>
      <c r="S4" s="60"/>
      <c r="T4" s="60"/>
      <c r="U4" s="60"/>
      <c r="V4" s="60"/>
      <c r="W4" s="60"/>
      <c r="X4" s="60"/>
      <c r="Y4" s="60"/>
      <c r="Z4" s="60"/>
      <c r="AA4" s="60"/>
      <c r="AB4" s="60"/>
      <c r="AC4" s="60"/>
      <c r="AD4" s="60"/>
      <c r="AE4" s="60"/>
      <c r="AF4" s="60"/>
      <c r="AG4" s="60"/>
      <c r="AH4" s="60"/>
    </row>
    <row r="5" spans="1:35" ht="16.5" customHeight="1">
      <c r="H5" s="65"/>
      <c r="I5" s="66"/>
      <c r="J5" s="66"/>
      <c r="AB5" s="65"/>
      <c r="AG5" s="65"/>
      <c r="AH5" s="61"/>
      <c r="AI5" s="65"/>
    </row>
    <row r="6" spans="1:35" ht="38.25">
      <c r="C6" s="62" t="s">
        <v>2624</v>
      </c>
      <c r="D6" s="62" t="s">
        <v>2625</v>
      </c>
      <c r="E6" s="62" t="s">
        <v>2626</v>
      </c>
      <c r="F6" s="76" t="s">
        <v>2627</v>
      </c>
      <c r="G6" s="62" t="s">
        <v>822</v>
      </c>
      <c r="H6" s="63"/>
      <c r="I6" s="62" t="s">
        <v>2628</v>
      </c>
      <c r="J6" s="62" t="s">
        <v>2629</v>
      </c>
      <c r="K6" s="62" t="s">
        <v>2630</v>
      </c>
      <c r="L6" s="76" t="s">
        <v>2625</v>
      </c>
      <c r="M6" s="76" t="s">
        <v>2631</v>
      </c>
      <c r="N6" s="62" t="s">
        <v>2632</v>
      </c>
      <c r="O6" s="76" t="s">
        <v>2633</v>
      </c>
      <c r="P6" s="62" t="s">
        <v>2634</v>
      </c>
      <c r="Q6" s="62" t="s">
        <v>2635</v>
      </c>
      <c r="R6" s="76" t="s">
        <v>2636</v>
      </c>
      <c r="S6" s="76" t="s">
        <v>2637</v>
      </c>
      <c r="T6" s="76" t="s">
        <v>2638</v>
      </c>
      <c r="U6" s="76" t="s">
        <v>2639</v>
      </c>
      <c r="V6" s="76" t="s">
        <v>2640</v>
      </c>
      <c r="W6" s="76" t="s">
        <v>2641</v>
      </c>
      <c r="X6" s="76" t="s">
        <v>2642</v>
      </c>
      <c r="Y6" s="76" t="s">
        <v>2877</v>
      </c>
      <c r="Z6" s="76" t="s">
        <v>2643</v>
      </c>
      <c r="AA6" s="62" t="s">
        <v>715</v>
      </c>
      <c r="AC6" s="76" t="s">
        <v>2799</v>
      </c>
      <c r="AD6" s="76" t="s">
        <v>2800</v>
      </c>
      <c r="AE6" s="76" t="s">
        <v>2801</v>
      </c>
      <c r="AF6" s="62" t="s">
        <v>716</v>
      </c>
      <c r="AH6" s="62" t="s">
        <v>2463</v>
      </c>
    </row>
    <row r="7" spans="1:35" ht="13.5" thickBot="1">
      <c r="C7" s="390">
        <v>1</v>
      </c>
      <c r="D7" s="390">
        <v>88</v>
      </c>
      <c r="E7" s="390">
        <v>11</v>
      </c>
      <c r="F7" s="390">
        <v>99</v>
      </c>
      <c r="G7" s="64"/>
      <c r="H7" s="63"/>
      <c r="I7" s="64">
        <v>201</v>
      </c>
      <c r="J7" s="64">
        <v>203</v>
      </c>
      <c r="K7" s="391">
        <v>204</v>
      </c>
      <c r="L7" s="390">
        <v>288</v>
      </c>
      <c r="M7" s="390">
        <v>289</v>
      </c>
      <c r="N7" s="390">
        <v>205</v>
      </c>
      <c r="O7" s="390">
        <v>206</v>
      </c>
      <c r="P7" s="390">
        <v>212</v>
      </c>
      <c r="Q7" s="390">
        <v>216</v>
      </c>
      <c r="R7" s="390">
        <v>217</v>
      </c>
      <c r="S7" s="390">
        <v>211</v>
      </c>
      <c r="T7" s="390">
        <v>218</v>
      </c>
      <c r="U7" s="390">
        <v>219</v>
      </c>
      <c r="V7" s="390">
        <v>220</v>
      </c>
      <c r="W7" s="390">
        <v>221</v>
      </c>
      <c r="X7" s="390">
        <v>222</v>
      </c>
      <c r="Y7" s="390">
        <v>223</v>
      </c>
      <c r="Z7" s="390">
        <v>401</v>
      </c>
      <c r="AA7" s="64"/>
      <c r="AC7" s="390">
        <v>601</v>
      </c>
      <c r="AD7" s="390">
        <v>602</v>
      </c>
      <c r="AE7" s="390">
        <v>603</v>
      </c>
      <c r="AF7" s="64"/>
      <c r="AH7" s="64" t="s">
        <v>822</v>
      </c>
    </row>
    <row r="9" spans="1:35">
      <c r="A9" s="61" t="s">
        <v>2406</v>
      </c>
      <c r="B9" s="61" t="s">
        <v>2407</v>
      </c>
      <c r="C9" s="140">
        <f>IFERROR(GETPIVOTDATA("$",PT!$A$3,"whs",C$7,"category","FF","FL/AZ","AZ"),0)</f>
        <v>-15668.12</v>
      </c>
      <c r="D9" s="140">
        <f>IFERROR(GETPIVOTDATA("$",PT!$A$3,"whs",D$7,"category","FF","FL/AZ","AZ"),0)</f>
        <v>13534.85</v>
      </c>
      <c r="E9" s="140">
        <f>IFERROR(GETPIVOTDATA("$",PT!$A$3,"whs",E$7,"category","FF","FL/AZ","AZ"),0)</f>
        <v>8166.54</v>
      </c>
      <c r="F9" s="140">
        <f>IFERROR(GETPIVOTDATA("$",PT!$A$3,"whs",F$7,"category","FF","FL/AZ","AZ"),0)</f>
        <v>0</v>
      </c>
      <c r="G9" s="140">
        <f>Summary!C9</f>
        <v>6033.2699999999995</v>
      </c>
      <c r="I9" s="140">
        <f>AA9-K9</f>
        <v>0</v>
      </c>
      <c r="K9" s="140">
        <v>0</v>
      </c>
      <c r="L9" s="140"/>
      <c r="M9" s="140"/>
      <c r="N9" s="140"/>
      <c r="O9" s="140"/>
      <c r="P9" s="140"/>
      <c r="Q9" s="140"/>
      <c r="R9" s="140"/>
      <c r="S9" s="140"/>
      <c r="T9" s="140"/>
      <c r="U9" s="140"/>
      <c r="V9" s="140"/>
      <c r="W9" s="140"/>
      <c r="X9" s="140"/>
      <c r="Y9" s="140"/>
      <c r="Z9" s="140"/>
      <c r="AA9" s="140">
        <f>Summary!D9</f>
        <v>0</v>
      </c>
      <c r="AC9" s="140"/>
      <c r="AD9" s="140"/>
      <c r="AE9" s="140"/>
      <c r="AF9" s="140"/>
      <c r="AH9" s="65">
        <f>AA9+G9+AF9</f>
        <v>6033.2699999999995</v>
      </c>
    </row>
    <row r="10" spans="1:35">
      <c r="AH10" s="65">
        <f>AA10+G10</f>
        <v>0</v>
      </c>
    </row>
    <row r="11" spans="1:35">
      <c r="A11" s="61" t="s">
        <v>2410</v>
      </c>
      <c r="B11" s="61" t="s">
        <v>2411</v>
      </c>
      <c r="C11" s="141">
        <f>IFERROR(GETPIVOTDATA("$",PT!$A$3,"whs",C$7,"category","RM","FL/AZ","AZ"),0)+IFERROR(GETPIVOTDATA("$",PT!$A$3,"whs",C$7,"category","RM","FL/AZ","TX"),0)</f>
        <v>113852.47</v>
      </c>
      <c r="D11" s="141">
        <f>IFERROR(GETPIVOTDATA("$",PT!$A$3,"whs",D$7,"category","RM","FL/AZ","AZ"),0)+IFERROR(GETPIVOTDATA("$",PT!$A$3,"whs",D$7,"category","RM","FL/AZ","TX"),0)</f>
        <v>-49801.91</v>
      </c>
      <c r="E11" s="141">
        <f>IFERROR(GETPIVOTDATA("$",PT!$A$3,"whs",E$7,"category","RM","FL/AZ","AZ"),0)+IFERROR(GETPIVOTDATA("$",PT!$A$3,"whs",E$7,"category","RM","FL/AZ","TX"),0)</f>
        <v>471634.96</v>
      </c>
      <c r="F11" s="141">
        <f>IFERROR(GETPIVOTDATA("$",PT!$A$3,"whs",F$7,"category","RM","FL/AZ","AZ"),0)+IFERROR(GETPIVOTDATA("$",PT!$A$3,"whs",F$7,"category","RM","FL/AZ","TX"),0)</f>
        <v>-1827.43</v>
      </c>
      <c r="G11" s="141">
        <f>Summary!C11</f>
        <v>533858.09000000008</v>
      </c>
      <c r="I11" s="141">
        <f>IFERROR(GETPIVOTDATA("$",PT!$A$3,"whs",I$7,"category","RM","FL/AZ","FL"),0)+IFERROR(GETPIVOTDATA("$",PT!$A$3,"whs",I$7,"category","RM","FL/AZ","TX"),0)</f>
        <v>550465.61</v>
      </c>
      <c r="J11" s="141">
        <f>IFERROR(GETPIVOTDATA("$",PT!$A$3,"whs",J$7,"category","RM","FL/AZ","FL"),0)</f>
        <v>0</v>
      </c>
      <c r="K11" s="141">
        <f>IFERROR(GETPIVOTDATA("$",PT!$A$3,"whs",K$7,"category","RM","FL/AZ","FL"),0)+IFERROR(GETPIVOTDATA("$",PT!$A$3,"whs",K$7,"category","RM","FL/AZ","TX"),0)</f>
        <v>0</v>
      </c>
      <c r="L11" s="141">
        <f>IFERROR(GETPIVOTDATA("$",PT!$A$3,"whs",L$7,"category","RM","FL/AZ","FL"),0)+IFERROR(GETPIVOTDATA("$",PT!$A$3,"whs",L$7,"category","RM","FL/AZ","TX"),0)</f>
        <v>-45735.779999999992</v>
      </c>
      <c r="M11" s="141">
        <f>IFERROR(GETPIVOTDATA("$",PT!$A$3,"whs",M$7,"category","RM","FL/AZ","FL"),0)+IFERROR(GETPIVOTDATA("$",PT!$A$3,"whs",M$7,"category","RM","FL/AZ","TX"),0)</f>
        <v>0</v>
      </c>
      <c r="N11" s="141">
        <f>IFERROR(GETPIVOTDATA("$",PT!$A$3,"whs",N$7,"category","RM","FL/AZ","FL"),0)+IFERROR(GETPIVOTDATA("$",PT!$A$3,"whs",N$7,"category","RM","FL/AZ","TX"),0)</f>
        <v>952749.16</v>
      </c>
      <c r="O11" s="141">
        <f>IFERROR(GETPIVOTDATA("$",PT!$A$3,"whs",O$7,"category","RM","FL/AZ","FL"),0)+IFERROR(GETPIVOTDATA("$",PT!$A$3,"whs",O$7,"category","RM","FL/AZ","TX"),0)</f>
        <v>0</v>
      </c>
      <c r="P11" s="141">
        <f>IFERROR(GETPIVOTDATA("$",PT!$A$3,"whs",P$7,"category","RM","FL/AZ","FL"),0)+IFERROR(GETPIVOTDATA("$",PT!$A$3,"whs",P$7,"category","RM","FL/AZ","TX"),0)</f>
        <v>0</v>
      </c>
      <c r="Q11" s="141">
        <f>IFERROR(GETPIVOTDATA("$",PT!$A$3,"whs",Q$7,"category","RM","FL/AZ","FL"),0)+IFERROR(GETPIVOTDATA("$",PT!$A$3,"whs",Q$7,"category","RM","FL/AZ","TX"),0)</f>
        <v>0</v>
      </c>
      <c r="R11" s="141">
        <f>IFERROR(GETPIVOTDATA("$",PT!$A$3,"whs",R$7,"category","RM","FL/AZ","FL"),0)+IFERROR(GETPIVOTDATA("$",PT!$A$3,"whs",R$7,"category","RM","FL/AZ","TX"),0)</f>
        <v>0</v>
      </c>
      <c r="S11" s="141">
        <f>IFERROR(GETPIVOTDATA("$",PT!$A$3,"whs",S$7,"category","RM","FL/AZ","FL"),0)+IFERROR(GETPIVOTDATA("$",PT!$A$3,"whs",S$7,"category","RM","FL/AZ","TX"),0)</f>
        <v>0</v>
      </c>
      <c r="T11" s="141">
        <f>IFERROR(GETPIVOTDATA("$",PT!$A$3,"whs",T$7,"category","RM","FL/AZ","FL"),0)+IFERROR(GETPIVOTDATA("$",PT!$A$3,"whs",T$7,"category","RM","FL/AZ","TX"),0)</f>
        <v>0</v>
      </c>
      <c r="U11" s="141">
        <f>IFERROR(GETPIVOTDATA("$",PT!$A$3,"whs",U$7,"category","RM","FL/AZ","FL"),0)+IFERROR(GETPIVOTDATA("$",PT!$A$3,"whs",U$7,"category","RM","FL/AZ","TX"),0)</f>
        <v>0</v>
      </c>
      <c r="V11" s="141">
        <f>IFERROR(GETPIVOTDATA("$",PT!$A$3,"whs",V$7,"category","RM","FL/AZ","FL"),0)+IFERROR(GETPIVOTDATA("$",PT!$A$3,"whs",V$7,"category","RM","FL/AZ","TX"),0)</f>
        <v>0</v>
      </c>
      <c r="W11" s="141">
        <f>IFERROR(GETPIVOTDATA("$",PT!$A$3,"whs",W$7,"category","RM","FL/AZ","FL"),0)+IFERROR(GETPIVOTDATA("$",PT!$A$3,"whs",W$7,"category","RM","FL/AZ","TX"),0)</f>
        <v>0</v>
      </c>
      <c r="X11" s="141">
        <f>IFERROR(GETPIVOTDATA("$",PT!$A$3,"whs",X$7,"category","RM","FL/AZ","FL"),0)+IFERROR(GETPIVOTDATA("$",PT!$A$3,"whs",X$7,"category","RM","FL/AZ","TX"),0)</f>
        <v>312787.26</v>
      </c>
      <c r="Y11" s="141">
        <f>IFERROR(GETPIVOTDATA("$",PT!$A$3,"whs",Y$7,"category","RM","FL/AZ","FL"),0)+IFERROR(GETPIVOTDATA("$",PT!$A$3,"whs",Y$7,"category","RM","FL/AZ","TX"),0)</f>
        <v>238686.27999999997</v>
      </c>
      <c r="Z11" s="141">
        <f>IFERROR(GETPIVOTDATA("$",PT!$A$3,"whs",Z$7,"category","RM","FL/AZ","FL"),0)+IFERROR(GETPIVOTDATA("$",PT!$A$3,"whs",Z$7,"category","RM","FL/AZ","TX"),0)</f>
        <v>0</v>
      </c>
      <c r="AA11" s="141">
        <f>Summary!D11</f>
        <v>2008952.5300000005</v>
      </c>
      <c r="AC11" s="141">
        <f>IFERROR(GETPIVOTDATA("$",PT!$A$3,"whs",AC$7,"category","RM","FL/AZ","TX"),0)</f>
        <v>0</v>
      </c>
      <c r="AD11" s="141">
        <f>IFERROR(GETPIVOTDATA("$",PT!$A$3,"whs",AD$7,"category","RM","FL/AZ","TX"),0)</f>
        <v>0</v>
      </c>
      <c r="AE11" s="141">
        <f>IFERROR(GETPIVOTDATA("$",PT!$A$3,"whs",AE$7,"category","RM","FL/AZ","TX"),0)</f>
        <v>0</v>
      </c>
      <c r="AF11" s="141"/>
      <c r="AH11" s="65">
        <f t="shared" ref="AH11:AH13" si="0">AA11+G11+AF11</f>
        <v>2542810.6200000006</v>
      </c>
    </row>
    <row r="12" spans="1:35">
      <c r="A12" t="s">
        <v>2645</v>
      </c>
      <c r="B12" t="s">
        <v>2592</v>
      </c>
      <c r="C12" s="371">
        <f>G12-SUM(D12:F12)</f>
        <v>4430.8357710028758</v>
      </c>
      <c r="D12" s="196">
        <f>D11*$G$12/$G$11</f>
        <v>-1938.1580767836288</v>
      </c>
      <c r="E12" s="196">
        <f>E11*$G$12/$G$11</f>
        <v>18354.780108183073</v>
      </c>
      <c r="F12" s="196">
        <f>F11*$G$12/$G$11</f>
        <v>-71.118722439695716</v>
      </c>
      <c r="G12" s="141">
        <f>Summary!C12</f>
        <v>20776.339079962625</v>
      </c>
      <c r="I12" s="65">
        <f>AA12-SUM(J12:AE12)</f>
        <v>-61650.531862902455</v>
      </c>
      <c r="K12" s="2">
        <f>K11*$AA$12/$AA$11</f>
        <v>0</v>
      </c>
      <c r="L12" s="2">
        <f>L11*$AA$12/$AA$11</f>
        <v>-1933.2605068303913</v>
      </c>
      <c r="M12" s="2">
        <f>M11*$AA$12/$AA$11</f>
        <v>0</v>
      </c>
      <c r="N12" s="2">
        <f>N11*$AA$12/$AA$11</f>
        <v>40272.896273854516</v>
      </c>
      <c r="O12" s="2"/>
      <c r="P12" s="2"/>
      <c r="Q12" s="2"/>
      <c r="R12" s="2"/>
      <c r="S12" s="2">
        <f t="shared" ref="S12:Y12" si="1">S11*$AA$12/$AA$11</f>
        <v>0</v>
      </c>
      <c r="T12" s="2">
        <f t="shared" si="1"/>
        <v>0</v>
      </c>
      <c r="U12" s="2">
        <f t="shared" si="1"/>
        <v>0</v>
      </c>
      <c r="V12" s="2">
        <f t="shared" si="1"/>
        <v>0</v>
      </c>
      <c r="W12" s="2">
        <f t="shared" si="1"/>
        <v>0</v>
      </c>
      <c r="X12" s="2">
        <f t="shared" si="1"/>
        <v>13221.579620981418</v>
      </c>
      <c r="Y12" s="2">
        <f t="shared" si="1"/>
        <v>10089.316474896914</v>
      </c>
      <c r="AA12" s="141">
        <f>Summary!D12</f>
        <v>84918.822557437496</v>
      </c>
      <c r="AC12" s="2">
        <f>AC11*$AA$12/$AA$11</f>
        <v>0</v>
      </c>
      <c r="AD12" s="2">
        <f>AD11*$AA$12/$AA$11</f>
        <v>0</v>
      </c>
      <c r="AF12" s="141"/>
      <c r="AH12" s="65">
        <f t="shared" si="0"/>
        <v>105695.16163740012</v>
      </c>
    </row>
    <row r="13" spans="1:35">
      <c r="B13" s="61" t="s">
        <v>2594</v>
      </c>
      <c r="C13" s="370">
        <f>G13-SUM(D13:F13)</f>
        <v>-54850.09</v>
      </c>
      <c r="D13" s="66"/>
      <c r="E13" s="66"/>
      <c r="F13" s="34"/>
      <c r="G13" s="142">
        <f>Summary!C13</f>
        <v>-54850.09</v>
      </c>
      <c r="H13" s="218"/>
      <c r="I13" s="65">
        <f>AA13-SUM(J13:AE13)</f>
        <v>137704.10749750384</v>
      </c>
      <c r="K13" s="66">
        <f>K11*$AA$13/$AA$11</f>
        <v>0</v>
      </c>
      <c r="L13" s="66">
        <f>L11*$AA$13/$AA$11</f>
        <v>4318.1770636669035</v>
      </c>
      <c r="M13" s="66">
        <f>M11*$AA$13/$AA$11</f>
        <v>0</v>
      </c>
      <c r="N13" s="66">
        <f>N11*$AA$13/$AA$11</f>
        <v>-89954.50761176282</v>
      </c>
      <c r="O13" s="66"/>
      <c r="P13" s="66"/>
      <c r="Q13" s="66"/>
      <c r="R13" s="66"/>
      <c r="S13" s="66">
        <f t="shared" ref="S13:Y13" si="2">S11*$AA$13/$AA$11</f>
        <v>0</v>
      </c>
      <c r="T13" s="66">
        <f t="shared" si="2"/>
        <v>0</v>
      </c>
      <c r="U13" s="66">
        <f t="shared" si="2"/>
        <v>0</v>
      </c>
      <c r="V13" s="66">
        <f t="shared" si="2"/>
        <v>0</v>
      </c>
      <c r="W13" s="66">
        <f t="shared" si="2"/>
        <v>0</v>
      </c>
      <c r="X13" s="66">
        <f t="shared" si="2"/>
        <v>-29532.037541268928</v>
      </c>
      <c r="Y13" s="66">
        <f t="shared" si="2"/>
        <v>-22535.739408139019</v>
      </c>
      <c r="Z13" s="66"/>
      <c r="AA13" s="141">
        <f>Summary!D13</f>
        <v>-189676.72</v>
      </c>
      <c r="AB13" s="218"/>
      <c r="AC13" s="66">
        <f>AC11*$AA$13/$AA$11</f>
        <v>0</v>
      </c>
      <c r="AD13" s="66">
        <f>AD11*$AA$13/$AA$11</f>
        <v>0</v>
      </c>
      <c r="AE13" s="66"/>
      <c r="AF13" s="141"/>
      <c r="AG13" s="218"/>
      <c r="AH13" s="66">
        <f t="shared" si="0"/>
        <v>-244526.81</v>
      </c>
    </row>
    <row r="14" spans="1:35">
      <c r="B14" s="67" t="s">
        <v>2646</v>
      </c>
      <c r="C14" s="68">
        <f t="shared" ref="C14:F14" si="3">SUM(C11:C13)</f>
        <v>63433.215771002884</v>
      </c>
      <c r="D14" s="68">
        <f t="shared" ref="D14:E14" si="4">SUM(D11:D13)</f>
        <v>-51740.068076783631</v>
      </c>
      <c r="E14" s="68">
        <f t="shared" si="4"/>
        <v>489989.74010818312</v>
      </c>
      <c r="F14" s="68">
        <f t="shared" si="3"/>
        <v>-1898.5487224396957</v>
      </c>
      <c r="G14" s="141">
        <f>Summary!C15</f>
        <v>499784.33907996269</v>
      </c>
      <c r="I14" s="68">
        <f>SUM(I11:I13)</f>
        <v>626519.1856346014</v>
      </c>
      <c r="J14" s="68">
        <f t="shared" ref="J14:Z14" si="5">SUM(J11:J13)</f>
        <v>0</v>
      </c>
      <c r="K14" s="68">
        <f t="shared" si="5"/>
        <v>0</v>
      </c>
      <c r="L14" s="68">
        <f t="shared" ref="L14" si="6">SUM(L11:L13)</f>
        <v>-43350.863443163478</v>
      </c>
      <c r="M14" s="68"/>
      <c r="N14" s="68">
        <f t="shared" si="5"/>
        <v>903067.54866209172</v>
      </c>
      <c r="O14" s="68"/>
      <c r="P14" s="68">
        <f t="shared" ref="P14" si="7">SUM(P11:P13)</f>
        <v>0</v>
      </c>
      <c r="Q14" s="68">
        <f t="shared" si="5"/>
        <v>0</v>
      </c>
      <c r="R14" s="68">
        <f t="shared" si="5"/>
        <v>0</v>
      </c>
      <c r="S14" s="68">
        <f t="shared" si="5"/>
        <v>0</v>
      </c>
      <c r="T14" s="68">
        <f t="shared" ref="T14" si="8">SUM(T11:T13)</f>
        <v>0</v>
      </c>
      <c r="U14" s="68">
        <f t="shared" si="5"/>
        <v>0</v>
      </c>
      <c r="V14" s="68">
        <f t="shared" si="5"/>
        <v>0</v>
      </c>
      <c r="W14" s="68">
        <f t="shared" si="5"/>
        <v>0</v>
      </c>
      <c r="X14" s="68">
        <f t="shared" si="5"/>
        <v>296476.80207971251</v>
      </c>
      <c r="Y14" s="68">
        <f t="shared" ref="Y14" si="9">SUM(Y11:Y13)</f>
        <v>226239.85706675786</v>
      </c>
      <c r="Z14" s="68">
        <f t="shared" si="5"/>
        <v>0</v>
      </c>
      <c r="AA14" s="68">
        <f>SUM(AA11:AA13)</f>
        <v>1904194.632557438</v>
      </c>
      <c r="AB14" s="68"/>
      <c r="AC14" s="68">
        <f t="shared" ref="AC14:AD14" si="10">SUM(AC11:AC13)</f>
        <v>0</v>
      </c>
      <c r="AD14" s="68">
        <f t="shared" si="10"/>
        <v>0</v>
      </c>
      <c r="AE14" s="68">
        <f t="shared" ref="AE14" si="11">SUM(AE11:AE13)</f>
        <v>0</v>
      </c>
      <c r="AF14" s="68"/>
      <c r="AG14" s="68"/>
      <c r="AH14" s="68">
        <f>SUM(AH11:AH13)</f>
        <v>2403978.9716374008</v>
      </c>
    </row>
    <row r="16" spans="1:35">
      <c r="A16" s="61" t="s">
        <v>2413</v>
      </c>
      <c r="B16" s="61" t="s">
        <v>2414</v>
      </c>
      <c r="C16" s="141">
        <f>IFERROR(GETPIVOTDATA("$",PT!$A$3,"whs",C$7,"category","Packaging","FL/AZ","AZ"),0)+IFERROR(GETPIVOTDATA("$",PT!$A$3,"whs",C$7,"category","Packaging","FL/AZ","TX"),0)</f>
        <v>80167.41</v>
      </c>
      <c r="D16" s="141">
        <f>IFERROR(GETPIVOTDATA("$",PT!$A$3,"whs",D$7,"category","Packaging","FL/AZ","AZ"),0)+IFERROR(GETPIVOTDATA("$",PT!$A$3,"whs",D$7,"category","Packaging","FL/AZ","TX"),0)</f>
        <v>9324.76</v>
      </c>
      <c r="E16" s="141">
        <f>IFERROR(GETPIVOTDATA("$",PT!$A$3,"whs",E$7,"category","Packaging","FL/AZ","AZ"),0)+IFERROR(GETPIVOTDATA("$",PT!$A$3,"whs",E$7,"category","Packaging","FL/AZ","TX"),0)</f>
        <v>252711.65000000005</v>
      </c>
      <c r="F16" s="141">
        <f>IFERROR(GETPIVOTDATA("$",PT!$A$3,"whs",F$7,"category","Packaging","FL/AZ","AZ"),0)+IFERROR(GETPIVOTDATA("$",PT!$A$3,"whs",F$7,"category","Packaging","FL/AZ","TX"),0)</f>
        <v>0</v>
      </c>
      <c r="G16" s="141">
        <f>Summary!C17</f>
        <v>330379.11999999988</v>
      </c>
      <c r="I16" s="141">
        <f>IFERROR(GETPIVOTDATA("$",PT!$A$3,"whs",I$7,"category","Packaging","FL/AZ","FL"),0)+IFERROR(GETPIVOTDATA("$",PT!$A$3,"whs",I$7,"category","Packaging","FL/AZ","TX"),0)</f>
        <v>204096.76000000007</v>
      </c>
      <c r="J16" s="141">
        <f>IFERROR(GETPIVOTDATA("$",PT!$A$3,"whs",J$7,"category","Packaging","FL/AZ","FL"),0)</f>
        <v>0</v>
      </c>
      <c r="K16" s="141">
        <f>IFERROR(GETPIVOTDATA("$",PT!$A$3,"whs",K$7,"category","Packaging","FL/AZ","FL"),0)+IFERROR(GETPIVOTDATA("$",PT!$A$3,"whs",K$7,"category","Packaging","FL/AZ","TX"),0)</f>
        <v>0</v>
      </c>
      <c r="L16" s="141">
        <f>IFERROR(GETPIVOTDATA("$",PT!$A$3,"whs",L$7,"category","Packaging","FL/AZ","FL"),0)+IFERROR(GETPIVOTDATA("$",PT!$A$3,"whs",L$7,"category","Packaging","FL/AZ","TX"),0)</f>
        <v>-1912.1200000000006</v>
      </c>
      <c r="M16" s="141">
        <f>IFERROR(GETPIVOTDATA("$",PT!$A$3,"whs",M$7,"category","Packaging","FL/AZ","FL"),0)+IFERROR(GETPIVOTDATA("$",PT!$A$3,"whs",M$7,"category","Packaging","FL/AZ","TX"),0)</f>
        <v>962.45</v>
      </c>
      <c r="N16" s="141">
        <f>IFERROR(GETPIVOTDATA("$",PT!$A$3,"whs",N$7,"category","Packaging","FL/AZ","FL"),0)+IFERROR(GETPIVOTDATA("$",PT!$A$3,"whs",N$7,"category","Packaging","FL/AZ","TX"),0)</f>
        <v>0</v>
      </c>
      <c r="O16" s="141">
        <f>IFERROR(GETPIVOTDATA("$",PT!$A$3,"whs",O$7,"category","Packaging","FL/AZ","FL"),0)+IFERROR(GETPIVOTDATA("$",PT!$A$3,"whs",O$7,"category","Packaging","FL/AZ","TX"),0)</f>
        <v>0</v>
      </c>
      <c r="P16" s="141">
        <f>IFERROR(GETPIVOTDATA("$",PT!$A$3,"whs",P$7,"category","Packaging","FL/AZ","FL"),0)+IFERROR(GETPIVOTDATA("$",PT!$A$3,"whs",P$7,"category","Packaging","FL/AZ","TX"),0)</f>
        <v>0</v>
      </c>
      <c r="Q16" s="141">
        <f>IFERROR(GETPIVOTDATA("$",PT!$A$3,"whs",Q$7,"category","Packaging","FL/AZ","FL"),0)+IFERROR(GETPIVOTDATA("$",PT!$A$3,"whs",Q$7,"category","Packaging","FL/AZ","TX"),0)</f>
        <v>0</v>
      </c>
      <c r="R16" s="141">
        <f>IFERROR(GETPIVOTDATA("$",PT!$A$3,"whs",R$7,"category","Packaging","FL/AZ","FL"),0)+IFERROR(GETPIVOTDATA("$",PT!$A$3,"whs",R$7,"category","Packaging","FL/AZ","TX"),0)</f>
        <v>0</v>
      </c>
      <c r="S16" s="141">
        <f>IFERROR(GETPIVOTDATA("$",PT!$A$3,"whs",S$7,"category","Packaging","FL/AZ","FL"),0)+IFERROR(GETPIVOTDATA("$",PT!$A$3,"whs",S$7,"category","Packaging","FL/AZ","TX"),0)</f>
        <v>1756.42</v>
      </c>
      <c r="T16" s="141">
        <f>IFERROR(GETPIVOTDATA("$",PT!$A$3,"whs",T$7,"category","Packaging","FL/AZ","FL"),0)+IFERROR(GETPIVOTDATA("$",PT!$A$3,"whs",T$7,"category","Packaging","FL/AZ","TX"),0)</f>
        <v>0</v>
      </c>
      <c r="U16" s="141">
        <f>IFERROR(GETPIVOTDATA("$",PT!$A$3,"whs",U$7,"category","Packaging","FL/AZ","FL"),0)+IFERROR(GETPIVOTDATA("$",PT!$A$3,"whs",U$7,"category","Packaging","FL/AZ","TX"),0)</f>
        <v>0</v>
      </c>
      <c r="V16" s="141">
        <f>IFERROR(GETPIVOTDATA("$",PT!$A$3,"whs",V$7,"category","Packaging","FL/AZ","FL"),0)+IFERROR(GETPIVOTDATA("$",PT!$A$3,"whs",V$7,"category","Packaging","FL/AZ","TX"),0)</f>
        <v>0</v>
      </c>
      <c r="W16" s="141">
        <f>IFERROR(GETPIVOTDATA("$",PT!$A$3,"whs",W$7,"category","Packaging","FL/AZ","FL"),0)+IFERROR(GETPIVOTDATA("$",PT!$A$3,"whs",W$7,"category","Packaging","FL/AZ","TX"),0)</f>
        <v>0</v>
      </c>
      <c r="X16" s="141">
        <f>IFERROR(GETPIVOTDATA("$",PT!$A$3,"whs",X$7,"category","Packaging","FL/AZ","FL"),0)+IFERROR(GETPIVOTDATA("$",PT!$A$3,"whs",X$7,"category","Packaging","FL/AZ","TX"),0)</f>
        <v>0</v>
      </c>
      <c r="Y16" s="141">
        <f>IFERROR(GETPIVOTDATA("$",PT!$A$3,"whs",Y$7,"category","Packaging","FL/AZ","FL"),0)+IFERROR(GETPIVOTDATA("$",PT!$A$3,"whs",Y$7,"category","Packaging","FL/AZ","TX"),0)</f>
        <v>429961.39999999997</v>
      </c>
      <c r="Z16" s="141">
        <f>IFERROR(GETPIVOTDATA("$",PT!$A$3,"whs",Z$7,"category","Packaging","FL/AZ","FL"),0)+IFERROR(GETPIVOTDATA("$",PT!$A$3,"whs",Z$7,"category","Packaging","FL/AZ","TX"),0)</f>
        <v>0</v>
      </c>
      <c r="AA16" s="141">
        <f>Summary!D17</f>
        <v>622672.03999999992</v>
      </c>
      <c r="AC16" s="141">
        <f>IFERROR(GETPIVOTDATA("$",PT!$A$3,"whs",AC$7,"category","Packaging","FL/AZ","TX"),0)</f>
        <v>0</v>
      </c>
      <c r="AD16" s="141">
        <f>IFERROR(GETPIVOTDATA("$",PT!$A$3,"whs",AD$7,"category","Packaging","FL/AZ","TX"),0)</f>
        <v>0</v>
      </c>
      <c r="AE16" s="141">
        <f>IFERROR(GETPIVOTDATA("$",PT!$A$3,"whs",AE$7,"category","Packaging","FL/AZ","TX"),0)</f>
        <v>0</v>
      </c>
      <c r="AF16" s="141">
        <f>Summary!E17</f>
        <v>24066.35</v>
      </c>
      <c r="AH16" s="65">
        <f t="shared" ref="AH16:AH18" si="12">AA16+G16+AF16</f>
        <v>977117.50999999978</v>
      </c>
    </row>
    <row r="17" spans="1:34">
      <c r="A17" s="220" t="s">
        <v>2598</v>
      </c>
      <c r="B17" s="220" t="s">
        <v>2599</v>
      </c>
      <c r="C17" s="372">
        <f>G17-SUM(D17:F17)</f>
        <v>14813.4</v>
      </c>
      <c r="D17" s="260"/>
      <c r="E17" s="260"/>
      <c r="F17" s="260"/>
      <c r="G17" s="141">
        <f>Summary!C19</f>
        <v>14813.4</v>
      </c>
      <c r="I17" s="141">
        <f>AA17-SUM(J17:AE17)</f>
        <v>0</v>
      </c>
      <c r="J17" s="370"/>
      <c r="K17" s="141"/>
      <c r="L17" s="141"/>
      <c r="M17" s="141"/>
      <c r="N17" s="141"/>
      <c r="O17" s="141"/>
      <c r="P17" s="141"/>
      <c r="Q17" s="141"/>
      <c r="R17" s="141"/>
      <c r="S17" s="141"/>
      <c r="T17" s="141"/>
      <c r="U17" s="141"/>
      <c r="V17" s="141"/>
      <c r="W17" s="141"/>
      <c r="X17" s="141"/>
      <c r="Y17" s="141"/>
      <c r="Z17" s="141"/>
      <c r="AA17" s="141">
        <f>Summary!D19</f>
        <v>20327.759999999998</v>
      </c>
      <c r="AC17" s="141"/>
      <c r="AD17" s="141"/>
      <c r="AE17" s="141"/>
      <c r="AF17" s="141"/>
      <c r="AH17" s="65">
        <f t="shared" si="12"/>
        <v>35141.159999999996</v>
      </c>
    </row>
    <row r="18" spans="1:34">
      <c r="A18" s="61" t="s">
        <v>2596</v>
      </c>
      <c r="B18" s="61" t="s">
        <v>2597</v>
      </c>
      <c r="C18" s="230">
        <f>G18-SUM(D18:F18)</f>
        <v>0</v>
      </c>
      <c r="D18" s="34"/>
      <c r="E18" s="34"/>
      <c r="F18" s="34"/>
      <c r="G18" s="142">
        <f>Summary!C18</f>
        <v>0</v>
      </c>
      <c r="H18" s="218"/>
      <c r="I18" s="65">
        <f>Summary!D18</f>
        <v>-367.99</v>
      </c>
      <c r="K18" s="66">
        <v>0</v>
      </c>
      <c r="L18" s="66"/>
      <c r="M18" s="66"/>
      <c r="N18" s="66"/>
      <c r="O18" s="66"/>
      <c r="P18" s="66"/>
      <c r="Q18" s="66"/>
      <c r="R18" s="66"/>
      <c r="S18" s="66"/>
      <c r="T18" s="66"/>
      <c r="U18" s="66"/>
      <c r="V18" s="66"/>
      <c r="W18" s="66"/>
      <c r="X18" s="66"/>
      <c r="Y18" s="66"/>
      <c r="Z18" s="66"/>
      <c r="AA18" s="141">
        <f>I18</f>
        <v>-367.99</v>
      </c>
      <c r="AB18" s="218"/>
      <c r="AC18" s="66"/>
      <c r="AD18" s="66"/>
      <c r="AE18" s="66"/>
      <c r="AF18" s="141"/>
      <c r="AG18" s="218"/>
      <c r="AH18" s="66">
        <f t="shared" si="12"/>
        <v>-367.99</v>
      </c>
    </row>
    <row r="19" spans="1:34">
      <c r="B19" s="67" t="s">
        <v>2600</v>
      </c>
      <c r="C19" s="68">
        <f t="shared" ref="C19:G19" si="13">SUM(C16:C18)</f>
        <v>94980.81</v>
      </c>
      <c r="D19" s="68">
        <f t="shared" ref="D19:E19" si="14">SUM(D16:D18)</f>
        <v>9324.76</v>
      </c>
      <c r="E19" s="68">
        <f t="shared" si="14"/>
        <v>252711.65000000005</v>
      </c>
      <c r="F19" s="68">
        <f t="shared" si="13"/>
        <v>0</v>
      </c>
      <c r="G19" s="68">
        <f t="shared" si="13"/>
        <v>345192.5199999999</v>
      </c>
      <c r="I19" s="68">
        <f t="shared" ref="I19:Z19" si="15">SUM(I16:I18)</f>
        <v>203728.77000000008</v>
      </c>
      <c r="J19" s="68">
        <f t="shared" si="15"/>
        <v>0</v>
      </c>
      <c r="K19" s="68">
        <f t="shared" si="15"/>
        <v>0</v>
      </c>
      <c r="L19" s="68">
        <f t="shared" ref="L19" si="16">SUM(L16:L18)</f>
        <v>-1912.1200000000006</v>
      </c>
      <c r="M19" s="68">
        <f>SUM(M16:M18)</f>
        <v>962.45</v>
      </c>
      <c r="N19" s="68">
        <f t="shared" si="15"/>
        <v>0</v>
      </c>
      <c r="O19" s="68"/>
      <c r="P19" s="68">
        <f t="shared" ref="P19" si="17">SUM(P16:P18)</f>
        <v>0</v>
      </c>
      <c r="Q19" s="68">
        <f t="shared" si="15"/>
        <v>0</v>
      </c>
      <c r="R19" s="68">
        <f t="shared" si="15"/>
        <v>0</v>
      </c>
      <c r="S19" s="68">
        <f t="shared" si="15"/>
        <v>1756.42</v>
      </c>
      <c r="T19" s="68">
        <f t="shared" ref="T19" si="18">SUM(T16:T18)</f>
        <v>0</v>
      </c>
      <c r="U19" s="68">
        <f t="shared" si="15"/>
        <v>0</v>
      </c>
      <c r="V19" s="68">
        <f t="shared" si="15"/>
        <v>0</v>
      </c>
      <c r="W19" s="68">
        <f t="shared" si="15"/>
        <v>0</v>
      </c>
      <c r="X19" s="68">
        <f t="shared" si="15"/>
        <v>0</v>
      </c>
      <c r="Y19" s="68">
        <f t="shared" si="15"/>
        <v>429961.39999999997</v>
      </c>
      <c r="Z19" s="68">
        <f t="shared" si="15"/>
        <v>0</v>
      </c>
      <c r="AA19" s="68">
        <f>SUM(AA16:AA18)</f>
        <v>642631.80999999994</v>
      </c>
      <c r="AC19" s="68">
        <f>SUM(AC16:AC18)</f>
        <v>0</v>
      </c>
      <c r="AD19" s="68">
        <f>SUM(AD16:AD18)</f>
        <v>0</v>
      </c>
      <c r="AE19" s="68">
        <f>SUM(AE16:AE18)</f>
        <v>0</v>
      </c>
      <c r="AF19" s="68"/>
      <c r="AH19" s="68">
        <f>SUM(AH16:AH18)</f>
        <v>1011890.6799999998</v>
      </c>
    </row>
    <row r="20" spans="1:34">
      <c r="AH20" s="65">
        <f>AA20+G20</f>
        <v>0</v>
      </c>
    </row>
    <row r="21" spans="1:34">
      <c r="A21" s="61" t="s">
        <v>2417</v>
      </c>
      <c r="B21" s="61" t="s">
        <v>2647</v>
      </c>
      <c r="C21" s="141">
        <f>IFERROR(GETPIVOTDATA("$",PT!$A$3,"whs",C$7,"category","WIP","FL/AZ","AZ"),0)+IFERROR(GETPIVOTDATA("$",PT!$A$3,"whs",C$7,"category","WIP","FL/AZ","TX"),0)</f>
        <v>409406.28999999986</v>
      </c>
      <c r="D21" s="141">
        <f>IFERROR(GETPIVOTDATA("$",PT!$A$3,"whs",D$7,"category","WIP","FL/AZ","AZ"),0)+IFERROR(GETPIVOTDATA("$",PT!$A$3,"whs",D$7,"category","WIP","FL/AZ","TX"),0)</f>
        <v>150997.03</v>
      </c>
      <c r="E21" s="141">
        <f>IFERROR(GETPIVOTDATA("$",PT!$A$3,"whs",E$7,"category","WIP","FL/AZ","AZ"),0)+IFERROR(GETPIVOTDATA("$",PT!$A$3,"whs",E$7,"category","WIP","FL/AZ","TX"),0)</f>
        <v>3364370.81</v>
      </c>
      <c r="F21" s="141">
        <f>IFERROR(GETPIVOTDATA("$",PT!$A$3,"whs",F$7,"category","WIP","FL/AZ","AZ"),0)+IFERROR(GETPIVOTDATA("$",PT!$A$3,"whs",F$7,"category","WIP","FL/AZ","TX"),0)</f>
        <v>0</v>
      </c>
      <c r="G21" s="141">
        <f>Summary!C22</f>
        <v>3917289.58</v>
      </c>
      <c r="I21" s="141">
        <f>IFERROR(GETPIVOTDATA("$",PT!$A$3,"whs",I$7,"category","WIP","FL/AZ","FL"),0)+IFERROR(GETPIVOTDATA("$",PT!$A$3,"whs",I$7,"category","WIP","FL/AZ","TX"),0)</f>
        <v>981260.72000000009</v>
      </c>
      <c r="J21" s="141">
        <f>IFERROR(GETPIVOTDATA("$",PT!$A$3,"whs",J$7,"category","WIP","FL/AZ","FL"),0)</f>
        <v>0</v>
      </c>
      <c r="K21" s="141">
        <f>IFERROR(GETPIVOTDATA("$",PT!$A$3,"whs",K$7,"category","WIP","FL/AZ","FL"),0)+IFERROR(GETPIVOTDATA("$",PT!$A$3,"whs",K$7,"category","WIP","FL/AZ","TX"),0)</f>
        <v>19604.080000000002</v>
      </c>
      <c r="L21" s="141">
        <f>IFERROR(GETPIVOTDATA("$",PT!$A$3,"whs",L$7,"category","WIP","FL/AZ","FL"),0)+IFERROR(GETPIVOTDATA("$",PT!$A$3,"whs",L$7,"category","WIP","FL/AZ","TX"),0)</f>
        <v>120894.15</v>
      </c>
      <c r="M21" s="141">
        <f>IFERROR(GETPIVOTDATA("$",PT!$A$3,"whs",M$7,"category","WIP","FL/AZ","FL"),0)+IFERROR(GETPIVOTDATA("$",PT!$A$3,"whs",M$7,"category","WIP","FL/AZ","TX"),0)</f>
        <v>78635.799999999988</v>
      </c>
      <c r="N21" s="141">
        <f>IFERROR(GETPIVOTDATA("$",PT!$A$3,"whs",N$7,"category","WIP","FL/AZ","FL"),0)+IFERROR(GETPIVOTDATA("$",PT!$A$3,"whs",N$7,"category","WIP","FL/AZ","TX"),0)</f>
        <v>2884086.7900000005</v>
      </c>
      <c r="O21" s="141">
        <f>IFERROR(GETPIVOTDATA("$",PT!$A$3,"whs",O$7,"category","WIP","FL/AZ","FL"),0)+IFERROR(GETPIVOTDATA("$",PT!$A$3,"whs",O$7,"category","WIP","FL/AZ","TX"),0)</f>
        <v>0</v>
      </c>
      <c r="P21" s="141">
        <f>IFERROR(GETPIVOTDATA("$",PT!$A$3,"whs",P$7,"category","WIP","FL/AZ","FL"),0)+IFERROR(GETPIVOTDATA("$",PT!$A$3,"whs",P$7,"category","WIP","FL/AZ","TX"),0)</f>
        <v>0</v>
      </c>
      <c r="Q21" s="141">
        <f>IFERROR(GETPIVOTDATA("$",PT!$A$3,"whs",Q$7,"category","WIP","FL/AZ","FL"),0)+IFERROR(GETPIVOTDATA("$",PT!$A$3,"whs",Q$7,"category","WIP","FL/AZ","TX"),0)</f>
        <v>0</v>
      </c>
      <c r="R21" s="141">
        <f>IFERROR(GETPIVOTDATA("$",PT!$A$3,"whs",R$7,"category","WIP","FL/AZ","FL"),0)+IFERROR(GETPIVOTDATA("$",PT!$A$3,"whs",R$7,"category","WIP","FL/AZ","TX"),0)</f>
        <v>0</v>
      </c>
      <c r="S21" s="141">
        <f>IFERROR(GETPIVOTDATA("$",PT!$A$3,"whs",S$7,"category","WIP","FL/AZ","FL"),0)+IFERROR(GETPIVOTDATA("$",PT!$A$3,"whs",S$7,"category","WIP","FL/AZ","TX"),0)</f>
        <v>23160.339999999997</v>
      </c>
      <c r="T21" s="141">
        <f>IFERROR(GETPIVOTDATA("$",PT!$A$3,"whs",T$7,"category","WIP","FL/AZ","FL"),0)+IFERROR(GETPIVOTDATA("$",PT!$A$3,"whs",T$7,"category","WIP","FL/AZ","TX"),0)</f>
        <v>0</v>
      </c>
      <c r="U21" s="141">
        <f>IFERROR(GETPIVOTDATA("$",PT!$A$3,"whs",U$7,"category","WIP","FL/AZ","FL"),0)+IFERROR(GETPIVOTDATA("$",PT!$A$3,"whs",U$7,"category","WIP","FL/AZ","TX"),0)</f>
        <v>0</v>
      </c>
      <c r="V21" s="141">
        <f>IFERROR(GETPIVOTDATA("$",PT!$A$3,"whs",V$7,"category","WIP","FL/AZ","FL"),0)+IFERROR(GETPIVOTDATA("$",PT!$A$3,"whs",V$7,"category","WIP","FL/AZ","TX"),0)</f>
        <v>0</v>
      </c>
      <c r="W21" s="141">
        <f>IFERROR(GETPIVOTDATA("$",PT!$A$3,"whs",W$7,"category","WIP","FL/AZ","FL"),0)+IFERROR(GETPIVOTDATA("$",PT!$A$3,"whs",W$7,"category","WIP","FL/AZ","TX"),0)</f>
        <v>0</v>
      </c>
      <c r="X21" s="141">
        <f>IFERROR(GETPIVOTDATA("$",PT!$A$3,"whs",X$7,"category","WIP","FL/AZ","FL"),0)+IFERROR(GETPIVOTDATA("$",PT!$A$3,"whs",X$7,"category","WIP","FL/AZ","TX"),0)</f>
        <v>0</v>
      </c>
      <c r="Y21" s="141">
        <f>IFERROR(GETPIVOTDATA("$",PT!$A$3,"whs",Y$7,"category","WIP","FL/AZ","FL"),0)+IFERROR(GETPIVOTDATA("$",PT!$A$3,"whs",Y$7,"category","WIP","FL/AZ","TX"),0)</f>
        <v>5393.28</v>
      </c>
      <c r="Z21" s="141">
        <f>IFERROR(GETPIVOTDATA("$",PT!$A$3,"whs",Z$7,"category","WIP","FL/AZ","FL"),0)+IFERROR(GETPIVOTDATA("$",PT!$A$3,"whs",Z$7,"category","WIP","FL/AZ","TX"),0)</f>
        <v>0</v>
      </c>
      <c r="AA21" s="141">
        <f>Summary!D22</f>
        <v>4113035.1599999997</v>
      </c>
      <c r="AC21" s="141">
        <f>IFERROR(GETPIVOTDATA("$",PT!$A$3,"whs",AC$7,"category","WIP","FL/AZ","TX"),0)</f>
        <v>0</v>
      </c>
      <c r="AD21" s="141">
        <f>IFERROR(GETPIVOTDATA("$",PT!$A$3,"whs",AD$7,"category","WIP","FL/AZ","TX"),0)</f>
        <v>0</v>
      </c>
      <c r="AE21" s="141">
        <f>IFERROR(GETPIVOTDATA("$",PT!$A$3,"whs",AE$7,"category","WIP","FL/AZ","TX"),0)</f>
        <v>0</v>
      </c>
      <c r="AF21" s="141">
        <f>Summary!E22</f>
        <v>7484.55</v>
      </c>
      <c r="AH21" s="65">
        <f t="shared" ref="AH21:AH26" si="19">AA21+G21+AF21</f>
        <v>8037809.29</v>
      </c>
    </row>
    <row r="22" spans="1:34">
      <c r="A22" s="61" t="s">
        <v>2602</v>
      </c>
      <c r="B22" s="61" t="s">
        <v>2603</v>
      </c>
      <c r="C22" s="66">
        <f>((C$21-IFERROR(GETPIVOTDATA("$",PT!$A$3,"whs",C$7,"category","WIP","FL/AZ","TX"),0))/$G$21)*$G22</f>
        <v>62739.740316128176</v>
      </c>
      <c r="D22" s="66">
        <f>((D$21-IFERROR(GETPIVOTDATA("$",PT!$A$3,"whs",D$7,"category","WIP","FL/AZ","TX"),0))/$G$21)*$G22</f>
        <v>23139.640699478794</v>
      </c>
      <c r="E22" s="66">
        <f>((E$21-IFERROR(GETPIVOTDATA("$",PT!$A$3,"whs",E$7,"category","WIP","FL/AZ","TX"),0))/$G$21)*$G22</f>
        <v>514428.27667151572</v>
      </c>
      <c r="F22" s="66">
        <f>((F$21-IFERROR(GETPIVOTDATA("$",PT!$A$3,"whs",F$7,"category","WIP","FL/AZ","TX"),0))/$G$21)*$G22</f>
        <v>0</v>
      </c>
      <c r="G22" s="141">
        <f>Summary!C23</f>
        <v>600307.6576871227</v>
      </c>
      <c r="H22" s="218"/>
      <c r="I22" s="65">
        <f>AA22-SUM(J22:AE22)</f>
        <v>-24315.445042013511</v>
      </c>
      <c r="K22" s="34">
        <f>((K$21-IFERROR(GETPIVOTDATA("$",PT!$A$3,"whs",K$7,"category","WIP","FL/AZ","TX"),0))/$AA$21)*$AA$22</f>
        <v>326.05126187271316</v>
      </c>
      <c r="L22" s="66"/>
      <c r="M22" s="66"/>
      <c r="N22" s="34">
        <f>'FL WIP'!F43+'FL WIP'!F131+'FL WIP'!F118</f>
        <v>23604.195490682632</v>
      </c>
      <c r="O22" s="34"/>
      <c r="P22" s="66"/>
      <c r="Q22" s="66"/>
      <c r="R22" s="230"/>
      <c r="S22" s="34">
        <f>((S$21-IFERROR(GETPIVOTDATA("$",PT!$A$3,"whs",S$7,"category","WIP","FL/AZ","TX"),0))/$AA$21)*$AA$22</f>
        <v>385.19828945816749</v>
      </c>
      <c r="T22" s="66"/>
      <c r="U22" s="66"/>
      <c r="V22" s="66"/>
      <c r="W22" s="66"/>
      <c r="X22" s="66"/>
      <c r="Y22" s="66"/>
      <c r="Z22" s="66"/>
      <c r="AA22" s="141">
        <f>Summary!D23</f>
        <v>68407.20421691997</v>
      </c>
      <c r="AB22" s="218"/>
      <c r="AC22" s="66"/>
      <c r="AD22" s="66"/>
      <c r="AE22" s="66"/>
      <c r="AF22" s="141"/>
      <c r="AG22" s="218"/>
      <c r="AH22" s="65">
        <f t="shared" si="19"/>
        <v>668714.86190404266</v>
      </c>
    </row>
    <row r="23" spans="1:34">
      <c r="A23" s="61" t="s">
        <v>2604</v>
      </c>
      <c r="B23" s="61" t="s">
        <v>2648</v>
      </c>
      <c r="C23" s="370">
        <f>G23-SUM(D23:F23)</f>
        <v>28748.20927247277</v>
      </c>
      <c r="D23" s="66">
        <f>((D$21-IFERROR(GETPIVOTDATA("$",PT!$A$3,"whs",D$7,"category","WIP","FL/AZ","TX"),0))/$G$21)*$G23</f>
        <v>10602.900649039497</v>
      </c>
      <c r="E23" s="66">
        <f>((E$21-IFERROR(GETPIVOTDATA("$",PT!$A$3,"whs",E$7,"category","WIP","FL/AZ","TX"),0))/$G$21)*$G23</f>
        <v>235718.08998432467</v>
      </c>
      <c r="F23" s="66">
        <f>((F$21-IFERROR(GETPIVOTDATA("$",PT!$A$3,"whs",F$7,"category","WIP","FL/AZ","TX"),0))/$G$21)*$G23</f>
        <v>0</v>
      </c>
      <c r="G23" s="142">
        <f>Summary!C24+Summary!C25</f>
        <v>275069.19990583695</v>
      </c>
      <c r="H23" s="218"/>
      <c r="I23" s="65">
        <f>AA23-SUM(J23:AE23)</f>
        <v>-289986.06472803385</v>
      </c>
      <c r="K23" s="66">
        <f>((K$21-IFERROR(GETPIVOTDATA("$",PT!$A$3,"whs",K$7,"category","WIP","FL/AZ","TX"),0))/$AA$21)*$AA$23</f>
        <v>1814.7793417598029</v>
      </c>
      <c r="L23" s="66">
        <f>((L$21-IFERROR(GETPIVOTDATA("$",PT!$A$3,"whs",L$7,"category","WIP","FL/AZ","TX"),0))/$AA$21)*$AA$23</f>
        <v>11191.35434866675</v>
      </c>
      <c r="M23" s="66">
        <f>((M$21-IFERROR(GETPIVOTDATA("$",PT!$A$3,"whs",M$7,"category","WIP","FL/AZ","TX"),0))/$AA$21)*$AA$23</f>
        <v>7279.4349626585627</v>
      </c>
      <c r="N23" s="66">
        <f>((N$21-IFERROR(GETPIVOTDATA("$",PT!$A$3,"whs",N$7,"category","WIP","FL/AZ","TX"),0))/$AA$21)*$AA$23</f>
        <v>266984.27706550597</v>
      </c>
      <c r="O23" s="34"/>
      <c r="P23" s="66">
        <f>P21/3.77*0.4</f>
        <v>0</v>
      </c>
      <c r="Q23" s="66">
        <f>Q21/3.77*0.4</f>
        <v>0</v>
      </c>
      <c r="R23" s="66">
        <f>0.27*R21/2.3</f>
        <v>0</v>
      </c>
      <c r="S23" s="66">
        <f>((S$21-IFERROR(GETPIVOTDATA("$",PT!$A$3,"whs",S$7,"category","WIP","FL/AZ","TX"),0))/$AA$21)*$AA$23</f>
        <v>2143.9877097080416</v>
      </c>
      <c r="T23" s="66">
        <f t="shared" ref="T23:V23" si="20">T21/3.77*0.4</f>
        <v>0</v>
      </c>
      <c r="U23" s="66">
        <f t="shared" si="20"/>
        <v>0</v>
      </c>
      <c r="V23" s="66">
        <f t="shared" si="20"/>
        <v>0</v>
      </c>
      <c r="W23" s="66">
        <f t="shared" ref="W23:Z23" si="21">W21/3.77*0.4</f>
        <v>0</v>
      </c>
      <c r="X23" s="66">
        <f t="shared" si="21"/>
        <v>0</v>
      </c>
      <c r="Y23" s="66">
        <f t="shared" ref="Y23" si="22">Y21/3.77*0.4</f>
        <v>572.23129973474795</v>
      </c>
      <c r="Z23" s="66">
        <f t="shared" si="21"/>
        <v>0</v>
      </c>
      <c r="AA23" s="141">
        <f>Summary!D24</f>
        <v>380749.88677355554</v>
      </c>
      <c r="AB23" s="218"/>
      <c r="AC23" s="66">
        <f>AC21/3.77*0.4</f>
        <v>0</v>
      </c>
      <c r="AD23" s="66">
        <f t="shared" ref="AD23" si="23">AD21/3.77*0.4</f>
        <v>0</v>
      </c>
      <c r="AE23" s="66">
        <f>AE21/3.77*0.4</f>
        <v>0</v>
      </c>
      <c r="AF23" s="141"/>
      <c r="AG23" s="218"/>
      <c r="AH23" s="66">
        <f t="shared" si="19"/>
        <v>655819.08667939249</v>
      </c>
    </row>
    <row r="24" spans="1:34">
      <c r="A24" s="61" t="s">
        <v>2608</v>
      </c>
      <c r="B24" s="61" t="s">
        <v>2649</v>
      </c>
      <c r="C24" s="230">
        <f t="shared" ref="C24:C25" si="24">G24-SUM(E24:F24)</f>
        <v>-16183.6</v>
      </c>
      <c r="D24" s="34"/>
      <c r="E24" s="34"/>
      <c r="F24" s="34"/>
      <c r="G24" s="142">
        <f>Summary!C26</f>
        <v>-16183.6</v>
      </c>
      <c r="H24" s="218"/>
      <c r="K24" s="66"/>
      <c r="L24" s="66"/>
      <c r="M24" s="66"/>
      <c r="N24" s="66"/>
      <c r="O24" s="66"/>
      <c r="P24" s="66"/>
      <c r="Q24" s="66"/>
      <c r="R24" s="66"/>
      <c r="S24" s="66"/>
      <c r="T24" s="66"/>
      <c r="U24" s="66"/>
      <c r="V24" s="66"/>
      <c r="W24" s="66"/>
      <c r="X24" s="66"/>
      <c r="Y24" s="66"/>
      <c r="Z24" s="66"/>
      <c r="AA24" s="141">
        <f>Summary!D26</f>
        <v>-19129.169999999998</v>
      </c>
      <c r="AB24" s="218"/>
      <c r="AC24" s="66"/>
      <c r="AD24" s="66"/>
      <c r="AE24" s="66"/>
      <c r="AF24" s="141"/>
      <c r="AG24" s="218"/>
      <c r="AH24" s="66">
        <f t="shared" si="19"/>
        <v>-35312.769999999997</v>
      </c>
    </row>
    <row r="25" spans="1:34">
      <c r="A25" t="s">
        <v>2650</v>
      </c>
      <c r="B25" t="s">
        <v>2651</v>
      </c>
      <c r="C25" s="140">
        <f t="shared" si="24"/>
        <v>0</v>
      </c>
      <c r="D25" s="143"/>
      <c r="E25" s="143"/>
      <c r="F25" s="139"/>
      <c r="G25" s="66"/>
      <c r="I25" s="65">
        <f>AA25-K25</f>
        <v>0</v>
      </c>
      <c r="K25" s="66"/>
      <c r="L25" s="66"/>
      <c r="M25" s="66"/>
      <c r="N25" s="66"/>
      <c r="O25" s="66"/>
      <c r="P25" s="66"/>
      <c r="Q25" s="66"/>
      <c r="R25" s="66"/>
      <c r="S25" s="66"/>
      <c r="T25" s="66"/>
      <c r="U25" s="66"/>
      <c r="V25" s="66"/>
      <c r="W25" s="66"/>
      <c r="X25" s="66"/>
      <c r="Y25" s="66"/>
      <c r="Z25" s="66"/>
      <c r="AA25" s="66"/>
      <c r="AC25" s="66"/>
      <c r="AD25" s="66"/>
      <c r="AE25" s="66"/>
      <c r="AF25" s="66"/>
      <c r="AH25" s="66">
        <f t="shared" si="19"/>
        <v>0</v>
      </c>
    </row>
    <row r="26" spans="1:34">
      <c r="A26" s="61" t="s">
        <v>2481</v>
      </c>
      <c r="B26" s="61" t="s">
        <v>2482</v>
      </c>
      <c r="C26" s="230">
        <f>G26-SUM(D26:F26)</f>
        <v>156691.58319999999</v>
      </c>
      <c r="D26" s="34"/>
      <c r="E26" s="34"/>
      <c r="F26" s="34"/>
      <c r="G26" s="142">
        <f>Summary!C27</f>
        <v>156691.58319999999</v>
      </c>
      <c r="H26" s="218"/>
      <c r="I26" s="65">
        <f>AA26-K26</f>
        <v>164521.40639999998</v>
      </c>
      <c r="K26" s="66"/>
      <c r="L26" s="66"/>
      <c r="M26" s="66"/>
      <c r="N26" s="66"/>
      <c r="O26" s="66"/>
      <c r="P26" s="66"/>
      <c r="Q26" s="66"/>
      <c r="R26" s="66"/>
      <c r="S26" s="66"/>
      <c r="T26" s="66"/>
      <c r="U26" s="66"/>
      <c r="V26" s="66"/>
      <c r="W26" s="66"/>
      <c r="X26" s="66"/>
      <c r="Y26" s="66"/>
      <c r="Z26" s="66"/>
      <c r="AA26" s="141">
        <f>Summary!D27</f>
        <v>164521.40639999998</v>
      </c>
      <c r="AB26" s="218"/>
      <c r="AC26" s="66"/>
      <c r="AD26" s="66"/>
      <c r="AE26" s="66"/>
      <c r="AF26" s="141"/>
      <c r="AG26" s="218"/>
      <c r="AH26" s="66">
        <f t="shared" si="19"/>
        <v>321212.98959999997</v>
      </c>
    </row>
    <row r="27" spans="1:34">
      <c r="B27" s="67" t="s">
        <v>2610</v>
      </c>
      <c r="C27" s="69">
        <f t="shared" ref="C27:G27" si="25">SUM(C21:C26)</f>
        <v>641402.22278860083</v>
      </c>
      <c r="D27" s="69">
        <f t="shared" ref="D27:E27" si="26">SUM(D21:D26)</f>
        <v>184739.57134851831</v>
      </c>
      <c r="E27" s="69">
        <f t="shared" si="26"/>
        <v>4114517.1766558406</v>
      </c>
      <c r="F27" s="69">
        <f t="shared" si="25"/>
        <v>0</v>
      </c>
      <c r="G27" s="69">
        <f t="shared" si="25"/>
        <v>4933174.4207929606</v>
      </c>
      <c r="H27" s="69"/>
      <c r="I27" s="69">
        <f t="shared" ref="I27:Z27" si="27">SUM(I21:I26)</f>
        <v>831480.61662995268</v>
      </c>
      <c r="J27" s="69">
        <f t="shared" si="27"/>
        <v>0</v>
      </c>
      <c r="K27" s="69">
        <f t="shared" si="27"/>
        <v>21744.910603632517</v>
      </c>
      <c r="L27" s="69">
        <f>SUM(L21:L26)</f>
        <v>132085.50434866676</v>
      </c>
      <c r="M27" s="69">
        <f>SUM(M21:M26)</f>
        <v>85915.234962658549</v>
      </c>
      <c r="N27" s="69">
        <f t="shared" si="27"/>
        <v>3174675.2625561887</v>
      </c>
      <c r="O27" s="69"/>
      <c r="P27" s="69">
        <f t="shared" ref="P27" si="28">SUM(P21:P26)</f>
        <v>0</v>
      </c>
      <c r="Q27" s="69">
        <f t="shared" si="27"/>
        <v>0</v>
      </c>
      <c r="R27" s="69">
        <f t="shared" si="27"/>
        <v>0</v>
      </c>
      <c r="S27" s="69">
        <f t="shared" si="27"/>
        <v>25689.525999166206</v>
      </c>
      <c r="T27" s="69">
        <f t="shared" ref="T27" si="29">SUM(T21:T26)</f>
        <v>0</v>
      </c>
      <c r="U27" s="69">
        <f t="shared" si="27"/>
        <v>0</v>
      </c>
      <c r="V27" s="69">
        <f t="shared" si="27"/>
        <v>0</v>
      </c>
      <c r="W27" s="69">
        <f t="shared" si="27"/>
        <v>0</v>
      </c>
      <c r="X27" s="69">
        <f t="shared" si="27"/>
        <v>0</v>
      </c>
      <c r="Y27" s="69">
        <f t="shared" ref="Y27" si="30">SUM(Y21:Y26)</f>
        <v>5965.5112997347478</v>
      </c>
      <c r="Z27" s="69">
        <f t="shared" si="27"/>
        <v>0</v>
      </c>
      <c r="AA27" s="69">
        <f>SUM(AA21:AA26)</f>
        <v>4707584.4873904744</v>
      </c>
      <c r="AC27" s="69">
        <f t="shared" ref="AC27:AD27" si="31">SUM(AC21:AC26)</f>
        <v>0</v>
      </c>
      <c r="AD27" s="69">
        <f t="shared" si="31"/>
        <v>0</v>
      </c>
      <c r="AE27" s="69">
        <f t="shared" ref="AE27" si="32">SUM(AE21:AE26)</f>
        <v>0</v>
      </c>
      <c r="AF27" s="69"/>
      <c r="AH27" s="69">
        <f>SUM(AH21:AH26)</f>
        <v>9648243.4581834339</v>
      </c>
    </row>
    <row r="28" spans="1:34">
      <c r="AH28" s="65">
        <f>AA28+G28</f>
        <v>0</v>
      </c>
    </row>
    <row r="29" spans="1:34">
      <c r="A29" s="61" t="s">
        <v>2421</v>
      </c>
      <c r="B29" s="61" t="s">
        <v>2652</v>
      </c>
      <c r="C29" s="141">
        <f>IFERROR(GETPIVOTDATA("$",PT!$A$3,"whs",C$7,"category","FG","FL/AZ","AZ"),0)+IFERROR(GETPIVOTDATA("$",PT!$A$3,"whs",C$7,"category","FG","FL/AZ","TX"),0)</f>
        <v>47780.99</v>
      </c>
      <c r="D29" s="141">
        <f>IFERROR(GETPIVOTDATA("$",PT!$A$3,"whs",D$7,"category","FG","FL/AZ","AZ"),0)+IFERROR(GETPIVOTDATA("$",PT!$A$3,"whs",D$7,"category","FG","FL/AZ","TX"),0)</f>
        <v>1156.03</v>
      </c>
      <c r="E29" s="141">
        <f>IFERROR(GETPIVOTDATA("$",PT!$A$3,"whs",E$7,"category","FG","FL/AZ","AZ"),0)+IFERROR(GETPIVOTDATA("$",PT!$A$3,"whs",E$7,"category","FG","FL/AZ","TX"),0)</f>
        <v>1217725.81</v>
      </c>
      <c r="F29" s="141">
        <f>IFERROR(GETPIVOTDATA("$",PT!$A$3,"whs",F$7,"category","FG","FL/AZ","AZ"),0)+IFERROR(GETPIVOTDATA("$",PT!$A$3,"whs",F$7,"category","FG","FL/AZ","TX"),0)</f>
        <v>36194.200000000004</v>
      </c>
      <c r="G29" s="141">
        <f>Summary!C30</f>
        <v>1186811.75</v>
      </c>
      <c r="I29" s="141">
        <f>IFERROR(GETPIVOTDATA("$",PT!$A$3,"whs",I$7,"category","FG","FL/AZ","FL"),0)+IFERROR(GETPIVOTDATA("$",PT!$A$3,"whs",I$7,"category","FG","FL/AZ","TX"),0)</f>
        <v>272390.40000000008</v>
      </c>
      <c r="J29" s="141">
        <f>IFERROR(GETPIVOTDATA("$",PT!$A$3,"whs",J$7,"category","FG","FL/AZ","FL"),0)</f>
        <v>0</v>
      </c>
      <c r="K29" s="141">
        <f>IFERROR(GETPIVOTDATA("$",PT!$A$3,"whs",K$7,"category","FG","FL/AZ","FL"),0)+IFERROR(GETPIVOTDATA("$",PT!$A$3,"whs",K$7,"category","FG","FL/AZ","TX"),0)</f>
        <v>1044538.3500000003</v>
      </c>
      <c r="L29" s="141">
        <f>IFERROR(GETPIVOTDATA("$",PT!$A$3,"whs",L$7,"category","FG","FL/AZ","FL"),0)+IFERROR(GETPIVOTDATA("$",PT!$A$3,"whs",L$7,"category","FG","FL/AZ","TX"),0)</f>
        <v>-22217.47</v>
      </c>
      <c r="M29" s="141">
        <f>IFERROR(GETPIVOTDATA("$",PT!$A$3,"whs",M$7,"category","FG","FL/AZ","FL"),0)+IFERROR(GETPIVOTDATA("$",PT!$A$3,"whs",M$7,"category","FG","FL/AZ","TX"),0)</f>
        <v>-79754.69</v>
      </c>
      <c r="N29" s="141">
        <f>IFERROR(GETPIVOTDATA("$",PT!$A$3,"whs",N$7,"category","FG","FL/AZ","FL"),0)+IFERROR(GETPIVOTDATA("$",PT!$A$3,"whs",N$7,"category","FG","FL/AZ","TX"),0)</f>
        <v>155.47</v>
      </c>
      <c r="O29" s="141">
        <f>IFERROR(GETPIVOTDATA("$",PT!$A$3,"whs",O$7,"category","FG","FL/AZ","FL"),0)+IFERROR(GETPIVOTDATA("$",PT!$A$3,"whs",O$7,"category","FG","FL/AZ","TX"),0)</f>
        <v>0</v>
      </c>
      <c r="P29" s="141">
        <f>IFERROR(GETPIVOTDATA("$",PT!$A$3,"whs",P$7,"category","FG","FL/AZ","FL"),0)+IFERROR(GETPIVOTDATA("$",PT!$A$3,"whs",P$7,"category","FG","FL/AZ","TX"),0)</f>
        <v>0</v>
      </c>
      <c r="Q29" s="141">
        <f>IFERROR(GETPIVOTDATA("$",PT!$A$3,"whs",Q$7,"category","FG","FL/AZ","FL"),0)+IFERROR(GETPIVOTDATA("$",PT!$A$3,"whs",Q$7,"category","FG","FL/AZ","TX"),0)</f>
        <v>0</v>
      </c>
      <c r="R29" s="141">
        <f>IFERROR(GETPIVOTDATA("$",PT!$A$3,"whs",R$7,"category","FG","FL/AZ","FL"),0)+IFERROR(GETPIVOTDATA("$",PT!$A$3,"whs",R$7,"category","FG","FL/AZ","TX"),0)</f>
        <v>0</v>
      </c>
      <c r="S29" s="141">
        <f>IFERROR(GETPIVOTDATA("$",PT!$A$3,"whs",S$7,"category","FG","FL/AZ","FL"),0)+IFERROR(GETPIVOTDATA("$",PT!$A$3,"whs",S$7,"category","FG","FL/AZ","TX"),0)</f>
        <v>990667.43000000017</v>
      </c>
      <c r="T29" s="141">
        <f>IFERROR(GETPIVOTDATA("$",PT!$A$3,"whs",T$7,"category","FG","FL/AZ","FL"),0)+IFERROR(GETPIVOTDATA("$",PT!$A$3,"whs",T$7,"category","FG","FL/AZ","TX"),0)</f>
        <v>0</v>
      </c>
      <c r="U29" s="141">
        <f>IFERROR(GETPIVOTDATA("$",PT!$A$3,"whs",U$7,"category","FG","FL/AZ","FL"),0)+IFERROR(GETPIVOTDATA("$",PT!$A$3,"whs",U$7,"category","FG","FL/AZ","TX"),0)</f>
        <v>0</v>
      </c>
      <c r="V29" s="141">
        <f>IFERROR(GETPIVOTDATA("$",PT!$A$3,"whs",V$7,"category","FG","FL/AZ","FL"),0)+IFERROR(GETPIVOTDATA("$",PT!$A$3,"whs",V$7,"category","FG","FL/AZ","TX"),0)</f>
        <v>0</v>
      </c>
      <c r="W29" s="141">
        <f>IFERROR(GETPIVOTDATA("$",PT!$A$3,"whs",W$7,"category","FG","FL/AZ","FL"),0)+IFERROR(GETPIVOTDATA("$",PT!$A$3,"whs",W$7,"category","FG","FL/AZ","TX"),0)</f>
        <v>0</v>
      </c>
      <c r="X29" s="141">
        <f>IFERROR(GETPIVOTDATA("$",PT!$A$3,"whs",X$7,"category","FG","FL/AZ","FL"),0)+IFERROR(GETPIVOTDATA("$",PT!$A$3,"whs",X$7,"category","FG","FL/AZ","TX"),0)</f>
        <v>0</v>
      </c>
      <c r="Y29" s="141">
        <f>IFERROR(GETPIVOTDATA("$",PT!$A$3,"whs",Y$7,"category","FG","FL/AZ","FL"),0)+IFERROR(GETPIVOTDATA("$",PT!$A$3,"whs",Y$7,"category","FG","FL/AZ","TX"),0)</f>
        <v>376906.93</v>
      </c>
      <c r="Z29" s="141">
        <f>IFERROR(GETPIVOTDATA("$",PT!$A$3,"whs",Z$7,"category","FG","FL/AZ","FL"),0)+IFERROR(GETPIVOTDATA("$",PT!$A$3,"whs",Z$7,"category","FG","FL/AZ","TX"),0)</f>
        <v>0</v>
      </c>
      <c r="AA29" s="141">
        <f>Summary!D30</f>
        <v>2539188.4699999993</v>
      </c>
      <c r="AC29" s="141">
        <f>IFERROR(GETPIVOTDATA("$",PT!$A$3,"whs",AC$7,"category","FG","FL/AZ","TX"),0)</f>
        <v>301522.15000000002</v>
      </c>
      <c r="AD29" s="141">
        <f>IFERROR(GETPIVOTDATA("$",PT!$A$3,"whs",AD$7,"category","FG","FL/AZ","TX"),0)</f>
        <v>29645.889999999996</v>
      </c>
      <c r="AE29" s="141">
        <f>IFERROR(GETPIVOTDATA("$",PT!$A$3,"whs",AE$7,"category","FG","FL/AZ","TX"),0)</f>
        <v>47212.039999999994</v>
      </c>
      <c r="AF29" s="141">
        <f>Summary!E30</f>
        <v>537923.30999999982</v>
      </c>
      <c r="AH29" s="65">
        <f>AA29+G29+AF29</f>
        <v>4263923.5299999993</v>
      </c>
    </row>
    <row r="30" spans="1:34">
      <c r="A30" s="61" t="s">
        <v>2612</v>
      </c>
      <c r="B30" s="61" t="s">
        <v>2653</v>
      </c>
      <c r="C30" s="34">
        <f>((C$29-IFERROR(GETPIVOTDATA("$",PT!$A$3,"whs",C$7,"category","FG","FL/AZ","TX"),0))/$G$29)*$G30</f>
        <v>16828.003025863854</v>
      </c>
      <c r="D30" s="34">
        <f>((D$29-IFERROR(GETPIVOTDATA("$",PT!$A$3,"whs",D$7,"category","FG","FL/AZ","TX"),0))/$G$29)*$G30</f>
        <v>407.14259662659549</v>
      </c>
      <c r="E30" s="34">
        <f>((E$29-IFERROR(GETPIVOTDATA("$",PT!$A$3,"whs",E$7,"category","FG","FL/AZ","TX"),0))/$G$29)*$G30</f>
        <v>400725.12868262763</v>
      </c>
      <c r="F30" s="34">
        <f>((F$29-IFERROR(GETPIVOTDATA("$",PT!$A$3,"whs",F$7,"category","FG","FL/AZ","TX"),0))/$G$29)*$G30</f>
        <v>23.357263226971352</v>
      </c>
      <c r="G30" s="141">
        <f>Summary!C31</f>
        <v>417983.63156834501</v>
      </c>
      <c r="H30" s="218"/>
      <c r="I30" s="65">
        <f>AA30-SUM(J30:Z30)</f>
        <v>134508.39327759959</v>
      </c>
      <c r="K30" s="34">
        <f>(K$29-IFERROR(GETPIVOTDATA("$",PT!$A$3,"whs",K$7,"category","FG","FL/AZ","TX"),0))/$AA$29*$AA$30</f>
        <v>218020.4083435043</v>
      </c>
      <c r="L30" s="34">
        <f>(L$29-IFERROR(GETPIVOTDATA("$",PT!$A$3,"whs",L$7,"category","FG","FL/AZ","TX"),0))/$AA$29*$AA$30</f>
        <v>-4386.497228032923</v>
      </c>
      <c r="M30" s="34">
        <f>(M$29-IFERROR(GETPIVOTDATA("$",PT!$A$3,"whs",M$7,"category","FG","FL/AZ","TX"),0))/$AA$29*$AA$30</f>
        <v>-16634.308837396908</v>
      </c>
      <c r="N30" s="34">
        <f>(N$29-IFERROR(GETPIVOTDATA("$",PT!$A$3,"whs",N$7,"category","FG","FL/AZ","TX"),0))/$AA$29*$AA$30</f>
        <v>32.450347931375234</v>
      </c>
      <c r="O30" s="34">
        <f>(O$29-IFERROR(GETPIVOTDATA("$",PT!$A$3,"whs",O$7,"category","FG","FL/AZ","TX"),0))/$AA$29*$AA$30</f>
        <v>0</v>
      </c>
      <c r="P30" s="34">
        <f>(P$29-IFERROR(GETPIVOTDATA("$",PT!$A$3,"whs",P$7,"category","FG","FL/AZ","TX"),0))/$AA$29*$AA$30</f>
        <v>0</v>
      </c>
      <c r="Q30" s="34">
        <f>(Q$29-IFERROR(GETPIVOTDATA("$",PT!$A$3,"whs",Q$7,"category","FG","FL/AZ","TX"),0))/$AA$29*$AA$30</f>
        <v>0</v>
      </c>
      <c r="R30" s="34">
        <f>(R$29-IFERROR(GETPIVOTDATA("$",PT!$A$3,"whs",R$7,"category","FG","FL/AZ","TX"),0))/$AA$29*$AA$30</f>
        <v>0</v>
      </c>
      <c r="S30" s="34">
        <f>(S$29-IFERROR(GETPIVOTDATA("$",PT!$A$3,"whs",S$7,"category","FG","FL/AZ","TX"),0))/$AA$29*$AA$30</f>
        <v>198449.57992025974</v>
      </c>
      <c r="T30" s="34">
        <f>(T$29-IFERROR(GETPIVOTDATA("$",PT!$A$3,"whs",T$7,"category","FG","FL/AZ","TX"),0))/$AA$29*$AA$30</f>
        <v>0</v>
      </c>
      <c r="U30" s="34">
        <f>(U$29-IFERROR(GETPIVOTDATA("$",PT!$A$3,"whs",U$7,"category","FG","FL/AZ","TX"),0))/$AA$29*$AA$30</f>
        <v>0</v>
      </c>
      <c r="V30" s="34">
        <f>(V$29-IFERROR(GETPIVOTDATA("$",PT!$A$3,"whs",V$7,"category","FG","FL/AZ","TX"),0))/$AA$29*$AA$30</f>
        <v>0</v>
      </c>
      <c r="W30" s="34"/>
      <c r="X30" s="34"/>
      <c r="Y30" s="34"/>
      <c r="Z30" s="66"/>
      <c r="AA30" s="141">
        <f>Summary!D31</f>
        <v>529990.0258238652</v>
      </c>
      <c r="AB30" s="218"/>
      <c r="AC30" s="34">
        <v>0</v>
      </c>
      <c r="AD30" s="34">
        <v>0</v>
      </c>
      <c r="AE30" s="66">
        <v>0</v>
      </c>
      <c r="AF30" s="141"/>
      <c r="AG30" s="218"/>
      <c r="AH30" s="65">
        <f t="shared" ref="AH30:AH35" si="33">AA30+G30+AF30</f>
        <v>947973.65739221021</v>
      </c>
    </row>
    <row r="31" spans="1:34">
      <c r="A31" s="61" t="s">
        <v>2614</v>
      </c>
      <c r="B31" s="61" t="s">
        <v>2654</v>
      </c>
      <c r="C31" s="34">
        <f>((C$29-IFERROR(GETPIVOTDATA("$",PT!$A$3,"whs",C$7,"category","FG","FL/AZ","TX"),0))/$G$29)*$G31</f>
        <v>2026.9744720505839</v>
      </c>
      <c r="D31" s="34">
        <f>((D$29-IFERROR(GETPIVOTDATA("$",PT!$A$3,"whs",D$7,"category","FG","FL/AZ","TX"),0))/$G$29)*$G31</f>
        <v>49.041330012723392</v>
      </c>
      <c r="E31" s="34">
        <f>((E$29-IFERROR(GETPIVOTDATA("$",PT!$A$3,"whs",E$7,"category","FG","FL/AZ","TX"),0))/$G$29)*$G31</f>
        <v>48268.330169685993</v>
      </c>
      <c r="F31" s="34">
        <f>((F$29-IFERROR(GETPIVOTDATA("$",PT!$A$3,"whs",F$7,"category","FG","FL/AZ","TX"),0))/$G$29)*$G31</f>
        <v>2.8134399682048055</v>
      </c>
      <c r="G31" s="142">
        <f>Summary!C32</f>
        <v>50347.159411717497</v>
      </c>
      <c r="H31" s="218"/>
      <c r="I31" s="65">
        <f>AA31-SUM(J31:Z31)</f>
        <v>10884.219054418878</v>
      </c>
      <c r="K31" s="66">
        <f>K29/$AA$29*$AA$31</f>
        <v>89575.781871766754</v>
      </c>
      <c r="L31" s="66"/>
      <c r="M31" s="66"/>
      <c r="N31" s="66">
        <f>N29/$AA$29*$AA$31</f>
        <v>13.332537582371744</v>
      </c>
      <c r="O31" s="66"/>
      <c r="P31" s="66"/>
      <c r="Q31" s="66"/>
      <c r="R31" s="66"/>
      <c r="S31" s="66">
        <f>S29/$AA$29*$AA$31</f>
        <v>84956.009147144985</v>
      </c>
      <c r="T31" s="66"/>
      <c r="U31" s="66"/>
      <c r="V31" s="66"/>
      <c r="W31" s="66"/>
      <c r="X31" s="66"/>
      <c r="Y31" s="66">
        <f>Y29/$AA$29*$AA$31</f>
        <v>32322.157389087002</v>
      </c>
      <c r="Z31" s="66"/>
      <c r="AA31" s="141">
        <f>Summary!D32</f>
        <v>217751.5</v>
      </c>
      <c r="AB31" s="218"/>
      <c r="AC31" s="66"/>
      <c r="AD31" s="66"/>
      <c r="AE31" s="66"/>
      <c r="AF31" s="141"/>
      <c r="AG31" s="218"/>
      <c r="AH31" s="66">
        <f t="shared" si="33"/>
        <v>268098.6594117175</v>
      </c>
    </row>
    <row r="32" spans="1:34">
      <c r="A32" s="61" t="s">
        <v>2616</v>
      </c>
      <c r="B32" s="61" t="s">
        <v>2617</v>
      </c>
      <c r="C32" s="230"/>
      <c r="D32" s="34"/>
      <c r="E32" s="34"/>
      <c r="F32" s="34"/>
      <c r="G32" s="142"/>
      <c r="H32" s="218"/>
      <c r="I32" s="65">
        <f>AA32-SUM(J32:Z32)</f>
        <v>0</v>
      </c>
      <c r="K32" s="66"/>
      <c r="L32" s="66"/>
      <c r="M32" s="66"/>
      <c r="N32" s="66"/>
      <c r="O32" s="66"/>
      <c r="P32" s="66"/>
      <c r="Q32" s="66"/>
      <c r="R32" s="66"/>
      <c r="S32" s="66"/>
      <c r="T32" s="66"/>
      <c r="U32" s="66"/>
      <c r="V32" s="66"/>
      <c r="W32" s="66"/>
      <c r="X32" s="66"/>
      <c r="Y32" s="66"/>
      <c r="Z32" s="66"/>
      <c r="AA32" s="141">
        <f>Recap!M87</f>
        <v>0</v>
      </c>
      <c r="AB32" s="218"/>
      <c r="AC32" s="66"/>
      <c r="AD32" s="66"/>
      <c r="AE32" s="66"/>
      <c r="AF32" s="141"/>
      <c r="AG32" s="218"/>
      <c r="AH32" s="66">
        <f t="shared" si="33"/>
        <v>0</v>
      </c>
    </row>
    <row r="33" spans="1:41">
      <c r="A33" s="61" t="s">
        <v>2618</v>
      </c>
      <c r="B33" s="61" t="s">
        <v>2619</v>
      </c>
      <c r="C33" s="230">
        <f>G33</f>
        <v>140210.6</v>
      </c>
      <c r="D33" s="34"/>
      <c r="E33" s="34"/>
      <c r="F33" s="34"/>
      <c r="G33" s="142">
        <f>Summary!C34</f>
        <v>140210.6</v>
      </c>
      <c r="H33" s="218"/>
      <c r="I33" s="65">
        <f>AA33</f>
        <v>262181.18</v>
      </c>
      <c r="K33" s="66"/>
      <c r="L33" s="66"/>
      <c r="M33" s="66"/>
      <c r="N33" s="66"/>
      <c r="O33" s="66"/>
      <c r="P33" s="66"/>
      <c r="Q33" s="66"/>
      <c r="R33" s="66"/>
      <c r="S33" s="66"/>
      <c r="T33" s="66"/>
      <c r="U33" s="66"/>
      <c r="V33" s="66"/>
      <c r="W33" s="66"/>
      <c r="X33" s="66"/>
      <c r="Y33" s="66"/>
      <c r="Z33" s="66"/>
      <c r="AA33" s="141">
        <f>Recap!M91</f>
        <v>262181.18</v>
      </c>
      <c r="AB33" s="218"/>
      <c r="AC33" s="66"/>
      <c r="AD33" s="66"/>
      <c r="AE33" s="66"/>
      <c r="AF33" s="141"/>
      <c r="AG33" s="218"/>
      <c r="AH33" s="66">
        <f t="shared" si="33"/>
        <v>402391.78</v>
      </c>
    </row>
    <row r="34" spans="1:41">
      <c r="A34" s="220" t="s">
        <v>2620</v>
      </c>
      <c r="B34" s="61" t="s">
        <v>2655</v>
      </c>
      <c r="C34" s="230">
        <f>G34-SUM(E34:F34)</f>
        <v>-7903.98</v>
      </c>
      <c r="D34" s="34">
        <v>0</v>
      </c>
      <c r="E34" s="34">
        <v>0</v>
      </c>
      <c r="F34" s="34"/>
      <c r="G34" s="142">
        <f>Summary!C35</f>
        <v>-7903.98</v>
      </c>
      <c r="H34" s="218"/>
      <c r="I34" s="65">
        <f>AA34-(K34+S34+Y34)</f>
        <v>-954.35620290287989</v>
      </c>
      <c r="K34" s="66">
        <f>K29/$AA$29*$AA$34</f>
        <v>-7844.6247615788498</v>
      </c>
      <c r="L34" s="66"/>
      <c r="M34" s="66"/>
      <c r="N34" s="66"/>
      <c r="O34" s="66"/>
      <c r="P34" s="66"/>
      <c r="Q34" s="66"/>
      <c r="R34" s="66"/>
      <c r="S34" s="66">
        <f>S29/$AA$29*$AA$34</f>
        <v>-7440.0468416192471</v>
      </c>
      <c r="T34" s="66"/>
      <c r="U34" s="66"/>
      <c r="V34" s="66"/>
      <c r="W34" s="66"/>
      <c r="X34" s="66"/>
      <c r="Y34" s="66">
        <f>Y29/$AA$29*$AA$34</f>
        <v>-2830.6221938990225</v>
      </c>
      <c r="Z34" s="66"/>
      <c r="AA34" s="141">
        <f>Summary!D35</f>
        <v>-19069.650000000001</v>
      </c>
      <c r="AB34" s="218"/>
      <c r="AC34" s="66"/>
      <c r="AD34" s="66"/>
      <c r="AE34" s="66"/>
      <c r="AF34" s="141">
        <f>Summary!E35</f>
        <v>73111.98</v>
      </c>
      <c r="AG34" s="218"/>
      <c r="AH34" s="66">
        <f t="shared" si="33"/>
        <v>46138.349999999991</v>
      </c>
    </row>
    <row r="35" spans="1:41">
      <c r="A35" s="61" t="s">
        <v>2485</v>
      </c>
      <c r="B35" s="61" t="s">
        <v>2486</v>
      </c>
      <c r="C35" s="34">
        <f>((C$29-IFERROR(GETPIVOTDATA("$",PT!$A$3,"whs",C$7,"category","FG","FL/AZ","TX"),0))/$G$29)*$G35</f>
        <v>2866.8594000000003</v>
      </c>
      <c r="D35" s="34">
        <f>((D$29-IFERROR(GETPIVOTDATA("$",PT!$A$3,"whs",D$7,"category","FG","FL/AZ","TX"),0))/$G$29)*$G35</f>
        <v>69.361800000000002</v>
      </c>
      <c r="E35" s="34">
        <f>((E$29-IFERROR(GETPIVOTDATA("$",PT!$A$3,"whs",E$7,"category","FG","FL/AZ","TX"),0))/$G$29)*$G35</f>
        <v>68268.504600000015</v>
      </c>
      <c r="F35" s="34">
        <f>((F$29-IFERROR(GETPIVOTDATA("$",PT!$A$3,"whs",F$7,"category","FG","FL/AZ","TX"),0))/$G$29)*$G35</f>
        <v>3.9791999999999828</v>
      </c>
      <c r="G35" s="142">
        <f>Summary!C36</f>
        <v>71208.705000000002</v>
      </c>
      <c r="H35" s="218"/>
      <c r="I35" s="65">
        <f>AA35-SUM(J35:AE35)</f>
        <v>0</v>
      </c>
      <c r="K35" s="66"/>
      <c r="L35" s="66"/>
      <c r="M35" s="66"/>
      <c r="N35" s="66"/>
      <c r="O35" s="66"/>
      <c r="P35" s="66"/>
      <c r="Q35" s="66"/>
      <c r="R35" s="66"/>
      <c r="S35" s="66"/>
      <c r="T35" s="66"/>
      <c r="U35" s="66"/>
      <c r="V35" s="66"/>
      <c r="W35" s="66"/>
      <c r="X35" s="66"/>
      <c r="Y35" s="66"/>
      <c r="Z35" s="66"/>
      <c r="AA35" s="141">
        <f>Summary!D36</f>
        <v>152351.30819999994</v>
      </c>
      <c r="AB35" s="218"/>
      <c r="AC35" s="66"/>
      <c r="AD35" s="66"/>
      <c r="AE35" s="66"/>
      <c r="AF35" s="141"/>
      <c r="AG35" s="218"/>
      <c r="AH35" s="66">
        <f t="shared" si="33"/>
        <v>223560.01319999993</v>
      </c>
    </row>
    <row r="36" spans="1:41">
      <c r="B36" s="67" t="s">
        <v>2622</v>
      </c>
      <c r="C36" s="68">
        <f t="shared" ref="C36:G36" si="34">SUM(C29:C35)</f>
        <v>201809.4468979144</v>
      </c>
      <c r="D36" s="68">
        <f t="shared" ref="D36:E36" si="35">SUM(D29:D35)</f>
        <v>1681.5757266393186</v>
      </c>
      <c r="E36" s="68">
        <f t="shared" si="35"/>
        <v>1734987.7734523136</v>
      </c>
      <c r="F36" s="68">
        <f t="shared" si="34"/>
        <v>36224.34990319518</v>
      </c>
      <c r="G36" s="68">
        <f t="shared" si="34"/>
        <v>1858657.8659800626</v>
      </c>
      <c r="H36" s="69"/>
      <c r="I36" s="68">
        <f t="shared" ref="I36:V36" si="36">SUM(I29:I35)</f>
        <v>679009.83612911578</v>
      </c>
      <c r="J36" s="68">
        <f t="shared" si="36"/>
        <v>0</v>
      </c>
      <c r="K36" s="68">
        <f t="shared" si="36"/>
        <v>1344289.9154536927</v>
      </c>
      <c r="L36" s="68">
        <f>SUM(L29:L35)</f>
        <v>-26603.967228032925</v>
      </c>
      <c r="M36" s="68">
        <f>SUM(M29:M35)</f>
        <v>-96388.99883739691</v>
      </c>
      <c r="N36" s="68">
        <f t="shared" si="36"/>
        <v>201.25288551374697</v>
      </c>
      <c r="O36" s="68"/>
      <c r="P36" s="68">
        <f t="shared" ref="P36" si="37">SUM(P29:P35)</f>
        <v>0</v>
      </c>
      <c r="Q36" s="68">
        <f t="shared" si="36"/>
        <v>0</v>
      </c>
      <c r="R36" s="68">
        <f t="shared" si="36"/>
        <v>0</v>
      </c>
      <c r="S36" s="68">
        <f t="shared" si="36"/>
        <v>1266632.9722257857</v>
      </c>
      <c r="T36" s="68">
        <f t="shared" ref="T36" si="38">SUM(T29:T35)</f>
        <v>0</v>
      </c>
      <c r="U36" s="68">
        <f t="shared" si="36"/>
        <v>0</v>
      </c>
      <c r="V36" s="68">
        <f t="shared" si="36"/>
        <v>0</v>
      </c>
      <c r="W36" s="68">
        <f t="shared" ref="W36:Z36" si="39">SUM(W29:W35)</f>
        <v>0</v>
      </c>
      <c r="X36" s="68">
        <f t="shared" si="39"/>
        <v>0</v>
      </c>
      <c r="Y36" s="68">
        <f t="shared" ref="Y36" si="40">SUM(Y29:Y35)</f>
        <v>406398.46519518801</v>
      </c>
      <c r="Z36" s="68">
        <f t="shared" si="39"/>
        <v>0</v>
      </c>
      <c r="AA36" s="68">
        <f>SUM(AA29:AA35)</f>
        <v>3682392.8340238645</v>
      </c>
      <c r="AC36" s="68">
        <f>SUM(AC29:AC35)</f>
        <v>301522.15000000002</v>
      </c>
      <c r="AD36" s="68">
        <f t="shared" ref="AD36" si="41">SUM(AD29:AD35)</f>
        <v>29645.889999999996</v>
      </c>
      <c r="AE36" s="68">
        <f t="shared" ref="AE36" si="42">SUM(AE29:AE35)</f>
        <v>47212.039999999994</v>
      </c>
      <c r="AF36" s="68">
        <f>SUM(AF29:AF35)</f>
        <v>611035.2899999998</v>
      </c>
      <c r="AH36" s="69">
        <f>AA36+G36+AF36</f>
        <v>6152085.9900039276</v>
      </c>
    </row>
    <row r="37" spans="1:41">
      <c r="AH37" s="65">
        <f>AA37+G37</f>
        <v>0</v>
      </c>
    </row>
    <row r="38" spans="1:41" ht="13.5" thickBot="1">
      <c r="B38" s="67" t="s">
        <v>822</v>
      </c>
      <c r="C38" s="70">
        <f>C9+C14+C19+C27+C36</f>
        <v>985957.57545751811</v>
      </c>
      <c r="D38" s="70">
        <f t="shared" ref="D38" si="43">D9+D14+D19+D27+D36</f>
        <v>157540.68899837398</v>
      </c>
      <c r="E38" s="70">
        <f t="shared" ref="E38:F38" si="44">E9+E14+E19+E27+E36</f>
        <v>6600372.8802163377</v>
      </c>
      <c r="F38" s="70">
        <f t="shared" si="44"/>
        <v>34325.801180755487</v>
      </c>
      <c r="G38" s="70">
        <f>G9+G14+G19+G27+G36</f>
        <v>7642842.4158529863</v>
      </c>
      <c r="H38" s="69"/>
      <c r="I38" s="70">
        <f t="shared" ref="I38:R38" si="45">I14+I19+I27+I36</f>
        <v>2340738.4083936699</v>
      </c>
      <c r="J38" s="70">
        <f t="shared" si="45"/>
        <v>0</v>
      </c>
      <c r="K38" s="70">
        <f t="shared" si="45"/>
        <v>1366034.8260573251</v>
      </c>
      <c r="L38" s="70">
        <f>L14+L19+L27+L36</f>
        <v>60218.553677470351</v>
      </c>
      <c r="M38" s="70">
        <f>M14+M19+M27+M36</f>
        <v>-9511.3138747383637</v>
      </c>
      <c r="N38" s="70">
        <f>N14+N19+N27+N36</f>
        <v>4077944.0641037943</v>
      </c>
      <c r="O38" s="70"/>
      <c r="P38" s="70">
        <f>P14+P19+P27+P36</f>
        <v>0</v>
      </c>
      <c r="Q38" s="70">
        <f>Q14+Q19+Q27+Q36</f>
        <v>0</v>
      </c>
      <c r="R38" s="70">
        <f t="shared" si="45"/>
        <v>0</v>
      </c>
      <c r="S38" s="70">
        <f>S14+S19+S27+S36</f>
        <v>1294078.918224952</v>
      </c>
      <c r="T38" s="70">
        <f t="shared" ref="T38" si="46">T14+T19+T27+T36</f>
        <v>0</v>
      </c>
      <c r="U38" s="70">
        <f t="shared" ref="U38" si="47">U14+U19+U27+U36</f>
        <v>0</v>
      </c>
      <c r="V38" s="70">
        <f>V14+V19+V27+V36</f>
        <v>0</v>
      </c>
      <c r="W38" s="70">
        <f>W14+W19+W27+W36</f>
        <v>0</v>
      </c>
      <c r="X38" s="70">
        <f>X14+X19+X27+X36</f>
        <v>296476.80207971251</v>
      </c>
      <c r="Y38" s="70">
        <f>Y14+Y19+Y27+Y36</f>
        <v>1068565.2335616807</v>
      </c>
      <c r="Z38" s="70">
        <f t="shared" ref="Z38" si="48">Z14+Z19+Z27+Z36</f>
        <v>0</v>
      </c>
      <c r="AA38" s="70">
        <f>AA14+AA19+AA27+AA36+AA9</f>
        <v>10936803.763971778</v>
      </c>
      <c r="AC38" s="70">
        <f>AC14+AC19+AC27+AC36</f>
        <v>301522.15000000002</v>
      </c>
      <c r="AD38" s="70">
        <f>AD14+AD19+AD27+AD36</f>
        <v>29645.889999999996</v>
      </c>
      <c r="AE38" s="70">
        <f>AE14+AE19+AE27+AE36</f>
        <v>47212.039999999994</v>
      </c>
      <c r="AF38" s="70">
        <f>AF14+AF19+AF27+AF36+AF9</f>
        <v>611035.2899999998</v>
      </c>
      <c r="AH38" s="70">
        <f>AA38+G38+AF38</f>
        <v>19190681.469824761</v>
      </c>
    </row>
    <row r="39" spans="1:41" ht="13.5" thickTop="1">
      <c r="AO39" s="214"/>
    </row>
    <row r="40" spans="1:41" s="71" customFormat="1">
      <c r="A40" s="295"/>
      <c r="B40" s="72"/>
      <c r="C40" s="144">
        <f t="shared" ref="C40:AA40" si="49">+C11+C16+C21+C29+C9</f>
        <v>635539.03999999992</v>
      </c>
      <c r="D40" s="144">
        <f t="shared" ref="D40" si="50">+D11+D16+D21+D29+D9</f>
        <v>125210.76000000001</v>
      </c>
      <c r="E40" s="144">
        <f t="shared" si="49"/>
        <v>5314609.7700000005</v>
      </c>
      <c r="F40" s="144">
        <f t="shared" si="49"/>
        <v>34366.770000000004</v>
      </c>
      <c r="G40" s="144">
        <f>+G11+G16+G21+G29+G9</f>
        <v>5974371.8099999996</v>
      </c>
      <c r="H40" s="144">
        <f t="shared" si="49"/>
        <v>0</v>
      </c>
      <c r="I40" s="144">
        <f>+I11+I16+I21+I29+I9</f>
        <v>2008213.4900000005</v>
      </c>
      <c r="J40" s="144">
        <f t="shared" si="49"/>
        <v>0</v>
      </c>
      <c r="K40" s="144">
        <f t="shared" si="49"/>
        <v>1064142.4300000004</v>
      </c>
      <c r="L40" s="144">
        <f t="shared" ref="L40" si="51">+L11+L16+L21+L29+L9</f>
        <v>51028.78</v>
      </c>
      <c r="M40" s="144"/>
      <c r="N40" s="144">
        <f t="shared" si="49"/>
        <v>3836991.4200000009</v>
      </c>
      <c r="O40" s="144"/>
      <c r="P40" s="144">
        <f t="shared" ref="P40" si="52">+P11+P16+P21+P29+P9</f>
        <v>0</v>
      </c>
      <c r="Q40" s="144">
        <f t="shared" si="49"/>
        <v>0</v>
      </c>
      <c r="R40" s="144">
        <f t="shared" si="49"/>
        <v>0</v>
      </c>
      <c r="S40" s="144">
        <f t="shared" si="49"/>
        <v>1015584.1900000002</v>
      </c>
      <c r="T40" s="144">
        <f t="shared" ref="T40" si="53">+T11+T16+T21+T29+T9</f>
        <v>0</v>
      </c>
      <c r="U40" s="144">
        <f t="shared" si="49"/>
        <v>0</v>
      </c>
      <c r="V40" s="144"/>
      <c r="W40" s="144"/>
      <c r="X40" s="144"/>
      <c r="Y40" s="144"/>
      <c r="Z40" s="144">
        <f t="shared" ref="Z40" si="54">+Z11+Z16+Z21+Z29+Z9</f>
        <v>0</v>
      </c>
      <c r="AA40" s="144">
        <f t="shared" si="49"/>
        <v>9283848.1999999993</v>
      </c>
      <c r="AB40" s="144">
        <f t="shared" ref="AB40" si="55">+AB11+AB16+AB21+AB29</f>
        <v>0</v>
      </c>
      <c r="AC40" s="144"/>
      <c r="AD40" s="144"/>
      <c r="AE40" s="144">
        <f t="shared" ref="AE40" si="56">+AE11+AE16+AE21+AE29+AE9</f>
        <v>47212.039999999994</v>
      </c>
      <c r="AF40" s="144"/>
      <c r="AG40" s="144"/>
      <c r="AH40" s="144">
        <f>+AH11+AH16+AH21+AH29+AH9+AH32</f>
        <v>15827694.219999999</v>
      </c>
      <c r="AI40" s="61"/>
      <c r="AJ40" s="61"/>
      <c r="AK40" s="61"/>
      <c r="AL40" s="295"/>
      <c r="AM40" s="295"/>
      <c r="AN40" s="295"/>
      <c r="AO40" s="295"/>
    </row>
    <row r="41" spans="1:41">
      <c r="G41" s="65">
        <f>G38-G40</f>
        <v>1668470.6058529867</v>
      </c>
      <c r="AA41" s="65">
        <f>AA38-AA40</f>
        <v>1652955.5639717784</v>
      </c>
      <c r="AH41" s="65">
        <f>AH38-AH40</f>
        <v>3362987.2498247623</v>
      </c>
    </row>
    <row r="42" spans="1:41">
      <c r="G42" s="214">
        <f>G41/G38</f>
        <v>0.21830498590317665</v>
      </c>
      <c r="AA42" s="214">
        <f>AA41/AA38</f>
        <v>0.15113698660453023</v>
      </c>
      <c r="AF42" s="214"/>
      <c r="AH42" s="214">
        <f>AH41/AH38</f>
        <v>0.17524063723910432</v>
      </c>
    </row>
    <row r="44" spans="1:41">
      <c r="B44" s="61" t="s">
        <v>2656</v>
      </c>
      <c r="C44" s="65">
        <f>SUM(C30:C31,C22:C23,C17,C12)</f>
        <v>129587.16285751825</v>
      </c>
      <c r="D44" s="65">
        <f>SUM(D30:D31,D22:D23,D17,D12)</f>
        <v>32260.567198373981</v>
      </c>
      <c r="E44" s="65">
        <f t="shared" ref="E44" si="57">SUM(E30:E31,E22:E23,E17,E12)</f>
        <v>1217494.6056163372</v>
      </c>
      <c r="F44" s="65">
        <f>SUM(F30:F31,F22:F23,F17,F12)</f>
        <v>-44.948019244519557</v>
      </c>
      <c r="I44" s="65">
        <f>SUM(I30:I31,I22:I23,I17,I12)</f>
        <v>-230559.42930093134</v>
      </c>
      <c r="J44" s="65">
        <f t="shared" ref="J44:S44" si="58">SUM(J30:J31,J22:J23,J17,J12)</f>
        <v>0</v>
      </c>
      <c r="K44" s="65">
        <f t="shared" si="58"/>
        <v>309737.02081890358</v>
      </c>
      <c r="L44" s="65">
        <f t="shared" si="58"/>
        <v>4871.5966138034355</v>
      </c>
      <c r="N44" s="65">
        <f>SUM(N30:N31,N22:N23,N17,N12)</f>
        <v>330907.15171555692</v>
      </c>
      <c r="P44" s="65">
        <f t="shared" si="58"/>
        <v>0</v>
      </c>
      <c r="Q44" s="65">
        <f t="shared" si="58"/>
        <v>0</v>
      </c>
      <c r="R44" s="65">
        <f>SUM(R30:R31,R22:R23,R17,R12)</f>
        <v>0</v>
      </c>
      <c r="S44" s="65">
        <f t="shared" si="58"/>
        <v>285934.77506657096</v>
      </c>
      <c r="T44" s="65">
        <f>SUM(T30:T31,T22:T23,T17,T12)</f>
        <v>0</v>
      </c>
      <c r="U44" s="65">
        <f t="shared" ref="U44:Z44" si="59">SUM(U30:U31,U22:U23,U17,U12)</f>
        <v>0</v>
      </c>
      <c r="V44" s="65">
        <f t="shared" si="59"/>
        <v>0</v>
      </c>
      <c r="W44" s="65">
        <f t="shared" si="59"/>
        <v>0</v>
      </c>
      <c r="X44" s="65">
        <f t="shared" si="59"/>
        <v>13221.579620981418</v>
      </c>
      <c r="Y44" s="65">
        <f t="shared" ref="Y44" si="60">SUM(Y30:Y31,Y22:Y23,Y17,Y12)</f>
        <v>42983.705163718667</v>
      </c>
      <c r="Z44" s="65">
        <f t="shared" si="59"/>
        <v>0</v>
      </c>
      <c r="AC44" s="65">
        <f>SUM(AC30:AC31,AC22:AC23,AC17,AC12)</f>
        <v>0</v>
      </c>
      <c r="AD44" s="65">
        <f>SUM(AD30:AD31,AD22:AD23,AD17,AD12)</f>
        <v>0</v>
      </c>
      <c r="AE44" s="65">
        <f>SUM(AE30:AE31,AE22:AE23,AE17,AE12)</f>
        <v>0</v>
      </c>
    </row>
  </sheetData>
  <mergeCells count="4">
    <mergeCell ref="A1:I1"/>
    <mergeCell ref="A2:I2"/>
    <mergeCell ref="A3:I3"/>
    <mergeCell ref="A4:I4"/>
  </mergeCells>
  <phoneticPr fontId="10" type="noConversion"/>
  <pageMargins left="0.25" right="0.25" top="0.25" bottom="0.25" header="0.5" footer="0.5"/>
  <pageSetup scale="44"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D2F99-7E91-4659-BD7A-026C2A6FDA5F}">
  <sheetPr>
    <tabColor theme="0"/>
  </sheetPr>
  <dimension ref="B2:G45"/>
  <sheetViews>
    <sheetView workbookViewId="0">
      <selection activeCell="D5" sqref="D5"/>
    </sheetView>
  </sheetViews>
  <sheetFormatPr defaultRowHeight="12.75"/>
  <cols>
    <col min="1" max="1" width="4.42578125" customWidth="1"/>
    <col min="2" max="2" width="16" customWidth="1"/>
    <col min="3" max="3" width="35.85546875" bestFit="1" customWidth="1"/>
    <col min="4" max="5" width="11.7109375" bestFit="1" customWidth="1"/>
    <col min="7" max="8" width="12.28515625" bestFit="1" customWidth="1"/>
  </cols>
  <sheetData>
    <row r="2" spans="2:7">
      <c r="B2" s="85" t="s">
        <v>2727</v>
      </c>
      <c r="C2" s="85"/>
    </row>
    <row r="3" spans="2:7">
      <c r="D3" s="316" t="s">
        <v>288</v>
      </c>
      <c r="E3" s="316" t="s">
        <v>2663</v>
      </c>
      <c r="F3" s="224">
        <f>SUM(D4:D13)-SUM(E4:E13)</f>
        <v>0</v>
      </c>
    </row>
    <row r="4" spans="2:7">
      <c r="B4" t="s">
        <v>2489</v>
      </c>
      <c r="C4" t="s">
        <v>2490</v>
      </c>
      <c r="D4" s="313"/>
      <c r="E4" s="313">
        <v>29520.494007884816</v>
      </c>
    </row>
    <row r="5" spans="2:7">
      <c r="B5" t="s">
        <v>2491</v>
      </c>
      <c r="C5" t="s">
        <v>2490</v>
      </c>
      <c r="D5" s="313">
        <v>5187.3653991335668</v>
      </c>
      <c r="E5" s="313"/>
    </row>
    <row r="6" spans="2:7">
      <c r="B6" t="s">
        <v>2551</v>
      </c>
      <c r="C6" t="s">
        <v>2552</v>
      </c>
      <c r="D6" s="313"/>
      <c r="E6" s="313">
        <v>68888.361935938592</v>
      </c>
      <c r="G6" s="313">
        <f>-(SUM(E4:E6)-SUM(D4:D7))</f>
        <v>-46378.551000895699</v>
      </c>
    </row>
    <row r="7" spans="2:7">
      <c r="B7" t="s">
        <v>2553</v>
      </c>
      <c r="C7" t="s">
        <v>2552</v>
      </c>
      <c r="D7" s="313">
        <v>46842.939543794142</v>
      </c>
      <c r="E7" s="313"/>
    </row>
    <row r="8" spans="2:7">
      <c r="B8" t="s">
        <v>2728</v>
      </c>
      <c r="C8" t="s">
        <v>2712</v>
      </c>
      <c r="D8" s="313">
        <v>32802.951981274469</v>
      </c>
      <c r="E8" s="313"/>
    </row>
    <row r="9" spans="2:7">
      <c r="B9" t="s">
        <v>2729</v>
      </c>
      <c r="C9" t="s">
        <v>2714</v>
      </c>
      <c r="D9" s="313">
        <v>32802.951981274469</v>
      </c>
      <c r="E9" s="313"/>
    </row>
    <row r="10" spans="2:7">
      <c r="B10" t="s">
        <v>2730</v>
      </c>
      <c r="C10" t="s">
        <v>2715</v>
      </c>
      <c r="D10" s="313">
        <v>32802.951981274469</v>
      </c>
      <c r="E10" s="313"/>
    </row>
    <row r="11" spans="2:7">
      <c r="B11" t="s">
        <v>2731</v>
      </c>
      <c r="C11" t="s">
        <v>2712</v>
      </c>
      <c r="D11" s="313"/>
      <c r="E11" s="313">
        <v>17343.434980975904</v>
      </c>
    </row>
    <row r="12" spans="2:7">
      <c r="B12" t="s">
        <v>2732</v>
      </c>
      <c r="C12" t="s">
        <v>2714</v>
      </c>
      <c r="D12" s="313"/>
      <c r="E12" s="313">
        <v>17343.434980975904</v>
      </c>
    </row>
    <row r="13" spans="2:7">
      <c r="B13" t="s">
        <v>2733</v>
      </c>
      <c r="C13" t="s">
        <v>2715</v>
      </c>
      <c r="D13" s="313"/>
      <c r="E13" s="313">
        <v>17343.434980975904</v>
      </c>
    </row>
    <row r="15" spans="2:7">
      <c r="B15" s="85" t="s">
        <v>819</v>
      </c>
    </row>
    <row r="16" spans="2:7">
      <c r="D16" s="316" t="s">
        <v>288</v>
      </c>
      <c r="E16" s="316" t="s">
        <v>2663</v>
      </c>
      <c r="F16" s="224">
        <f>SUM(D17:D32)-SUM(E17:E32)</f>
        <v>0</v>
      </c>
    </row>
    <row r="17" spans="2:7">
      <c r="B17" t="s">
        <v>2459</v>
      </c>
      <c r="C17" t="s">
        <v>2460</v>
      </c>
      <c r="D17" s="313">
        <v>17336.205349999997</v>
      </c>
      <c r="E17" s="313"/>
      <c r="G17" s="313">
        <f>-(SUM(E17:E22)-SUM(D17:D22))</f>
        <v>124041.95559354377</v>
      </c>
    </row>
    <row r="18" spans="2:7">
      <c r="B18" t="s">
        <v>2461</v>
      </c>
      <c r="C18" t="s">
        <v>2462</v>
      </c>
      <c r="D18" s="313">
        <v>150545.52052000008</v>
      </c>
      <c r="E18" s="313"/>
    </row>
    <row r="19" spans="2:7">
      <c r="B19" t="s">
        <v>2504</v>
      </c>
      <c r="C19" t="s">
        <v>2505</v>
      </c>
      <c r="D19" s="313"/>
      <c r="E19" s="313">
        <v>288333.14579985861</v>
      </c>
    </row>
    <row r="20" spans="2:7">
      <c r="B20" t="s">
        <v>2506</v>
      </c>
      <c r="C20" t="s">
        <v>2507</v>
      </c>
      <c r="D20" s="313">
        <v>295093.38499999995</v>
      </c>
      <c r="E20" s="313"/>
    </row>
    <row r="21" spans="2:7">
      <c r="B21" t="s">
        <v>2558</v>
      </c>
      <c r="C21" t="s">
        <v>2559</v>
      </c>
      <c r="D21" s="313"/>
      <c r="E21" s="313">
        <v>93096.557223678275</v>
      </c>
    </row>
    <row r="22" spans="2:7">
      <c r="B22" t="s">
        <v>2560</v>
      </c>
      <c r="C22" t="s">
        <v>2559</v>
      </c>
      <c r="D22" s="313">
        <v>42496.547747080607</v>
      </c>
      <c r="E22" s="313"/>
    </row>
    <row r="23" spans="2:7">
      <c r="B23" t="s">
        <v>2734</v>
      </c>
      <c r="C23" t="s">
        <v>2686</v>
      </c>
      <c r="D23" s="313"/>
      <c r="E23" s="313">
        <v>17336.205349999997</v>
      </c>
    </row>
    <row r="24" spans="2:7">
      <c r="B24" t="s">
        <v>2735</v>
      </c>
      <c r="C24" t="s">
        <v>2686</v>
      </c>
      <c r="D24" s="313"/>
      <c r="E24" s="313">
        <v>150545.52052000008</v>
      </c>
    </row>
    <row r="25" spans="2:7">
      <c r="B25" t="s">
        <v>2736</v>
      </c>
      <c r="C25" t="s">
        <v>2673</v>
      </c>
      <c r="D25" s="313">
        <v>236833.52048809527</v>
      </c>
      <c r="E25" s="313"/>
    </row>
    <row r="26" spans="2:7">
      <c r="B26" t="s">
        <v>2737</v>
      </c>
      <c r="C26" t="s">
        <v>2674</v>
      </c>
      <c r="D26" s="313"/>
      <c r="E26" s="313">
        <v>1153.6896000000033</v>
      </c>
      <c r="G26" s="18"/>
    </row>
    <row r="27" spans="2:7">
      <c r="B27" t="s">
        <v>2738</v>
      </c>
      <c r="C27" t="s">
        <v>2675</v>
      </c>
      <c r="D27" s="313">
        <v>166311.78898544167</v>
      </c>
      <c r="E27" s="313"/>
    </row>
    <row r="28" spans="2:7">
      <c r="B28" t="s">
        <v>2739</v>
      </c>
      <c r="C28" t="s">
        <v>2676</v>
      </c>
      <c r="D28" s="313"/>
      <c r="E28" s="313">
        <v>20450.395600000003</v>
      </c>
    </row>
    <row r="29" spans="2:7">
      <c r="B29" t="s">
        <v>2734</v>
      </c>
      <c r="C29" t="s">
        <v>2677</v>
      </c>
      <c r="D29" s="313"/>
      <c r="E29" s="313">
        <v>111.52125000000001</v>
      </c>
    </row>
    <row r="30" spans="2:7">
      <c r="B30" t="s">
        <v>2740</v>
      </c>
      <c r="C30" t="s">
        <v>852</v>
      </c>
      <c r="D30" s="313"/>
      <c r="E30" s="313">
        <v>60552.741374999998</v>
      </c>
    </row>
    <row r="31" spans="2:7">
      <c r="B31" t="s">
        <v>2741</v>
      </c>
      <c r="C31" t="s">
        <v>1795</v>
      </c>
      <c r="D31" s="313"/>
      <c r="E31" s="313">
        <v>181832.3314</v>
      </c>
    </row>
    <row r="32" spans="2:7">
      <c r="B32" t="s">
        <v>2735</v>
      </c>
      <c r="C32" t="s">
        <v>2677</v>
      </c>
      <c r="D32" s="313"/>
      <c r="E32" s="313">
        <v>95204.859972080609</v>
      </c>
    </row>
    <row r="34" spans="2:7">
      <c r="B34" s="85" t="s">
        <v>812</v>
      </c>
    </row>
    <row r="35" spans="2:7">
      <c r="D35" s="316" t="s">
        <v>288</v>
      </c>
      <c r="E35" s="316" t="s">
        <v>2663</v>
      </c>
      <c r="F35" s="224">
        <f>SUM(D36:D45)-SUM(E36:E45)</f>
        <v>0</v>
      </c>
    </row>
    <row r="36" spans="2:7">
      <c r="B36" t="s">
        <v>2459</v>
      </c>
      <c r="C36" t="s">
        <v>2460</v>
      </c>
      <c r="D36" s="313"/>
      <c r="E36" s="313">
        <v>17.131371436200425</v>
      </c>
      <c r="G36" s="313">
        <f>-(SUM(E36:E41)-SUM(D36:D41))</f>
        <v>84996.299767103919</v>
      </c>
    </row>
    <row r="37" spans="2:7">
      <c r="B37" t="s">
        <v>2461</v>
      </c>
      <c r="C37" t="s">
        <v>2462</v>
      </c>
      <c r="D37" s="313">
        <v>40896.672936249975</v>
      </c>
      <c r="E37" s="313"/>
    </row>
    <row r="38" spans="2:7">
      <c r="B38" t="s">
        <v>2504</v>
      </c>
      <c r="C38" t="s">
        <v>2505</v>
      </c>
      <c r="D38" s="18">
        <v>28368.538598945044</v>
      </c>
      <c r="E38" s="313"/>
    </row>
    <row r="39" spans="2:7">
      <c r="B39" t="s">
        <v>2506</v>
      </c>
      <c r="C39" t="s">
        <v>2507</v>
      </c>
      <c r="D39" s="313"/>
      <c r="E39" s="18">
        <v>21129.010138888872</v>
      </c>
    </row>
    <row r="40" spans="2:7">
      <c r="B40" t="s">
        <v>2558</v>
      </c>
      <c r="C40" t="s">
        <v>2559</v>
      </c>
      <c r="D40" s="18">
        <v>10352.341647828282</v>
      </c>
      <c r="E40" s="313"/>
    </row>
    <row r="41" spans="2:7">
      <c r="B41" t="s">
        <v>2560</v>
      </c>
      <c r="C41" t="s">
        <v>2559</v>
      </c>
      <c r="D41" s="18">
        <v>26524.888094405705</v>
      </c>
      <c r="E41" s="313"/>
    </row>
    <row r="42" spans="2:7">
      <c r="B42" t="s">
        <v>2734</v>
      </c>
      <c r="C42" t="s">
        <v>2686</v>
      </c>
      <c r="D42" s="313">
        <v>17.131371436200425</v>
      </c>
      <c r="E42" s="313"/>
    </row>
    <row r="43" spans="2:7">
      <c r="B43" t="s">
        <v>2735</v>
      </c>
      <c r="C43" t="s">
        <v>2686</v>
      </c>
      <c r="D43" s="313"/>
      <c r="E43" s="313">
        <v>40896.672936249975</v>
      </c>
    </row>
    <row r="44" spans="2:7">
      <c r="B44" t="s">
        <v>2742</v>
      </c>
      <c r="C44" t="s">
        <v>812</v>
      </c>
      <c r="D44" s="313"/>
      <c r="E44" s="18">
        <v>38720.880246773326</v>
      </c>
    </row>
    <row r="45" spans="2:7">
      <c r="B45" t="s">
        <v>2743</v>
      </c>
      <c r="C45" t="s">
        <v>812</v>
      </c>
      <c r="D45" s="18"/>
      <c r="E45" s="18">
        <v>5395.877955516833</v>
      </c>
      <c r="F45"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O1259"/>
  <sheetViews>
    <sheetView workbookViewId="0">
      <selection sqref="A1:F1"/>
    </sheetView>
  </sheetViews>
  <sheetFormatPr defaultRowHeight="12.75"/>
  <cols>
    <col min="1" max="1" width="7.28515625" bestFit="1" customWidth="1"/>
    <col min="2" max="2" width="12.85546875" style="239" bestFit="1" customWidth="1"/>
    <col min="3" max="3" width="62.140625" style="230" bestFit="1" customWidth="1"/>
    <col min="4" max="4" width="6.5703125" bestFit="1" customWidth="1"/>
    <col min="5" max="5" width="14.28515625" bestFit="1" customWidth="1"/>
    <col min="6" max="6" width="12.85546875" style="230" bestFit="1" customWidth="1"/>
    <col min="7" max="7" width="14" style="224" bestFit="1" customWidth="1"/>
    <col min="8" max="8" width="12.85546875" style="230" bestFit="1" customWidth="1"/>
    <col min="9" max="9" width="11.140625" bestFit="1" customWidth="1"/>
    <col min="10" max="10" width="8.28515625" bestFit="1" customWidth="1"/>
    <col min="11" max="11" width="11.28515625" style="224" bestFit="1" customWidth="1"/>
    <col min="12" max="12" width="10.85546875" bestFit="1" customWidth="1"/>
    <col min="14" max="14" width="13.7109375" bestFit="1" customWidth="1"/>
    <col min="15" max="15" width="11.85546875" style="230" bestFit="1" customWidth="1"/>
  </cols>
  <sheetData>
    <row r="1" spans="1:15">
      <c r="A1" s="434" t="s">
        <v>2906</v>
      </c>
      <c r="B1" s="434"/>
      <c r="C1" s="434"/>
      <c r="D1" s="434"/>
      <c r="E1" s="434"/>
      <c r="F1" s="434"/>
    </row>
    <row r="2" spans="1:15">
      <c r="A2" t="s">
        <v>0</v>
      </c>
      <c r="C2" s="118">
        <v>45838</v>
      </c>
    </row>
    <row r="3" spans="1:15">
      <c r="A3" t="s">
        <v>1</v>
      </c>
      <c r="C3" s="118">
        <v>45869</v>
      </c>
    </row>
    <row r="6" spans="1:15" ht="15">
      <c r="A6" s="215" t="s">
        <v>2</v>
      </c>
      <c r="B6" s="238" t="s">
        <v>3</v>
      </c>
      <c r="C6" s="223" t="s">
        <v>4</v>
      </c>
      <c r="D6" s="215" t="s">
        <v>5</v>
      </c>
      <c r="E6" s="215" t="s">
        <v>6</v>
      </c>
      <c r="F6" s="223" t="s">
        <v>7</v>
      </c>
      <c r="G6" s="237" t="s">
        <v>8</v>
      </c>
      <c r="H6" s="258" t="s">
        <v>9</v>
      </c>
      <c r="I6" s="215" t="s">
        <v>10</v>
      </c>
      <c r="J6" s="15" t="s">
        <v>11</v>
      </c>
      <c r="K6" s="224" t="s">
        <v>12</v>
      </c>
      <c r="L6" s="215" t="s">
        <v>13</v>
      </c>
      <c r="M6" s="215"/>
      <c r="N6" s="18"/>
      <c r="O6" s="246"/>
    </row>
    <row r="7" spans="1:15">
      <c r="A7" s="321">
        <v>201</v>
      </c>
      <c r="B7" s="321" t="s">
        <v>14</v>
      </c>
      <c r="C7" s="321" t="s">
        <v>15</v>
      </c>
      <c r="D7" s="321" t="s">
        <v>16</v>
      </c>
      <c r="E7" s="321" t="s">
        <v>17</v>
      </c>
      <c r="F7" s="321">
        <v>1377</v>
      </c>
      <c r="G7" s="405">
        <v>1377</v>
      </c>
      <c r="H7" s="405">
        <v>1098.5</v>
      </c>
      <c r="I7" s="321" t="s">
        <v>18</v>
      </c>
      <c r="J7" s="321" t="s">
        <v>19</v>
      </c>
      <c r="K7" s="224">
        <f t="shared" ref="K7:K70" si="0">H7/F7</f>
        <v>0.79774872912127814</v>
      </c>
      <c r="N7" s="18"/>
      <c r="O7" s="246"/>
    </row>
    <row r="8" spans="1:15" ht="12.75" customHeight="1">
      <c r="A8" s="321">
        <v>288</v>
      </c>
      <c r="B8" s="321" t="s">
        <v>297</v>
      </c>
      <c r="C8" s="321" t="s">
        <v>298</v>
      </c>
      <c r="D8" s="321" t="s">
        <v>34</v>
      </c>
      <c r="E8" s="321" t="s">
        <v>299</v>
      </c>
      <c r="F8" s="321">
        <v>0</v>
      </c>
      <c r="G8" s="321">
        <v>0</v>
      </c>
      <c r="H8" s="321">
        <v>-3.63</v>
      </c>
      <c r="I8" s="321" t="s">
        <v>44</v>
      </c>
      <c r="J8" s="321" t="s">
        <v>19</v>
      </c>
      <c r="K8" s="224" t="e">
        <f t="shared" si="0"/>
        <v>#DIV/0!</v>
      </c>
      <c r="N8" s="18"/>
      <c r="O8" s="246"/>
    </row>
    <row r="9" spans="1:15" ht="12.75" customHeight="1">
      <c r="A9" s="321">
        <v>1</v>
      </c>
      <c r="B9" s="321" t="s">
        <v>14</v>
      </c>
      <c r="C9" s="321" t="s">
        <v>15</v>
      </c>
      <c r="D9" s="321" t="s">
        <v>16</v>
      </c>
      <c r="E9" s="321" t="s">
        <v>17</v>
      </c>
      <c r="F9" s="321">
        <v>8001</v>
      </c>
      <c r="G9" s="405">
        <v>8001</v>
      </c>
      <c r="H9" s="405">
        <v>5255.06</v>
      </c>
      <c r="I9" s="321" t="s">
        <v>18</v>
      </c>
      <c r="J9" s="321" t="s">
        <v>23</v>
      </c>
      <c r="K9" s="224">
        <f t="shared" si="0"/>
        <v>0.65680039995000628</v>
      </c>
      <c r="L9" s="215"/>
      <c r="N9" s="18"/>
      <c r="O9" s="246"/>
    </row>
    <row r="10" spans="1:15" ht="12.75" customHeight="1">
      <c r="A10" s="321">
        <v>11</v>
      </c>
      <c r="B10" s="321" t="s">
        <v>20</v>
      </c>
      <c r="C10" s="321" t="s">
        <v>21</v>
      </c>
      <c r="D10" s="321" t="s">
        <v>16</v>
      </c>
      <c r="E10" s="321" t="s">
        <v>22</v>
      </c>
      <c r="F10" s="405">
        <v>20000</v>
      </c>
      <c r="G10" s="405">
        <v>2</v>
      </c>
      <c r="H10" s="405">
        <v>308</v>
      </c>
      <c r="I10" s="321" t="s">
        <v>18</v>
      </c>
      <c r="J10" s="321" t="s">
        <v>23</v>
      </c>
      <c r="K10" s="224">
        <f t="shared" si="0"/>
        <v>1.54E-2</v>
      </c>
      <c r="N10" s="18"/>
      <c r="O10" s="89"/>
    </row>
    <row r="11" spans="1:15" ht="12.75" customHeight="1">
      <c r="A11" s="321">
        <v>11</v>
      </c>
      <c r="B11" s="321" t="s">
        <v>14</v>
      </c>
      <c r="C11" s="321" t="s">
        <v>15</v>
      </c>
      <c r="D11" s="321" t="s">
        <v>16</v>
      </c>
      <c r="E11" s="321" t="s">
        <v>17</v>
      </c>
      <c r="F11" s="321">
        <v>17600</v>
      </c>
      <c r="G11" s="321">
        <v>17600</v>
      </c>
      <c r="H11" s="321">
        <v>11563.2</v>
      </c>
      <c r="I11" s="321" t="s">
        <v>18</v>
      </c>
      <c r="J11" s="321" t="s">
        <v>23</v>
      </c>
      <c r="K11" s="224">
        <f t="shared" si="0"/>
        <v>0.65700000000000003</v>
      </c>
      <c r="N11" s="18"/>
      <c r="O11" s="246"/>
    </row>
    <row r="12" spans="1:15" ht="12.75" customHeight="1">
      <c r="A12" s="321">
        <v>1</v>
      </c>
      <c r="B12" s="321">
        <v>5142</v>
      </c>
      <c r="C12" s="321" t="s">
        <v>62</v>
      </c>
      <c r="D12" s="321" t="s">
        <v>28</v>
      </c>
      <c r="E12" s="321" t="s">
        <v>54</v>
      </c>
      <c r="F12" s="321">
        <v>2</v>
      </c>
      <c r="G12" s="405">
        <v>101.6</v>
      </c>
      <c r="H12" s="405">
        <v>57.59</v>
      </c>
      <c r="I12" s="321" t="s">
        <v>30</v>
      </c>
      <c r="J12" s="321" t="s">
        <v>23</v>
      </c>
      <c r="K12" s="224">
        <f t="shared" si="0"/>
        <v>28.795000000000002</v>
      </c>
      <c r="N12" s="18"/>
      <c r="O12" s="246"/>
    </row>
    <row r="13" spans="1:15" ht="12.75" customHeight="1">
      <c r="A13" s="321">
        <v>288</v>
      </c>
      <c r="B13" s="321" t="s">
        <v>24</v>
      </c>
      <c r="C13" s="321" t="s">
        <v>25</v>
      </c>
      <c r="D13" s="321" t="s">
        <v>16</v>
      </c>
      <c r="E13" s="321" t="s">
        <v>26</v>
      </c>
      <c r="F13" s="405">
        <v>0</v>
      </c>
      <c r="G13" s="405">
        <v>0</v>
      </c>
      <c r="H13" s="405">
        <v>0</v>
      </c>
      <c r="I13" s="321" t="s">
        <v>18</v>
      </c>
      <c r="J13" s="321" t="s">
        <v>19</v>
      </c>
      <c r="K13" s="224" t="e">
        <f t="shared" si="0"/>
        <v>#DIV/0!</v>
      </c>
      <c r="N13" s="18"/>
      <c r="O13" s="246"/>
    </row>
    <row r="14" spans="1:15" ht="12.75" customHeight="1">
      <c r="A14" s="321">
        <v>201</v>
      </c>
      <c r="B14" s="321" t="s">
        <v>24</v>
      </c>
      <c r="C14" s="321" t="s">
        <v>25</v>
      </c>
      <c r="D14" s="321" t="s">
        <v>16</v>
      </c>
      <c r="E14" s="321" t="s">
        <v>26</v>
      </c>
      <c r="F14" s="405">
        <v>91106</v>
      </c>
      <c r="G14" s="405">
        <v>91.11</v>
      </c>
      <c r="H14" s="405">
        <v>2159.21</v>
      </c>
      <c r="I14" s="321" t="s">
        <v>18</v>
      </c>
      <c r="J14" s="321" t="s">
        <v>19</v>
      </c>
      <c r="K14" s="224">
        <f t="shared" si="0"/>
        <v>2.369997585230391E-2</v>
      </c>
      <c r="L14" s="215"/>
      <c r="N14" s="18"/>
      <c r="O14" s="246"/>
    </row>
    <row r="15" spans="1:15">
      <c r="A15" s="321">
        <v>1</v>
      </c>
      <c r="B15" s="321" t="s">
        <v>24</v>
      </c>
      <c r="C15" s="321" t="s">
        <v>25</v>
      </c>
      <c r="D15" s="321" t="s">
        <v>16</v>
      </c>
      <c r="E15" s="321" t="s">
        <v>26</v>
      </c>
      <c r="F15" s="321">
        <v>6176</v>
      </c>
      <c r="G15" s="321">
        <v>6.18</v>
      </c>
      <c r="H15" s="321">
        <v>145.75</v>
      </c>
      <c r="I15" s="321" t="s">
        <v>18</v>
      </c>
      <c r="J15" s="321" t="s">
        <v>23</v>
      </c>
      <c r="K15" s="224">
        <f t="shared" si="0"/>
        <v>2.3599417098445596E-2</v>
      </c>
      <c r="N15" s="18"/>
      <c r="O15" s="246"/>
    </row>
    <row r="16" spans="1:15">
      <c r="A16" s="321">
        <v>11</v>
      </c>
      <c r="B16" s="321">
        <v>7502</v>
      </c>
      <c r="C16" s="321" t="s">
        <v>27</v>
      </c>
      <c r="D16" s="321" t="s">
        <v>28</v>
      </c>
      <c r="E16" s="321" t="s">
        <v>29</v>
      </c>
      <c r="F16" s="321">
        <v>2549</v>
      </c>
      <c r="G16" s="405">
        <v>92885.56</v>
      </c>
      <c r="H16" s="405">
        <v>61903.57</v>
      </c>
      <c r="I16" s="321" t="s">
        <v>30</v>
      </c>
      <c r="J16" s="321" t="s">
        <v>23</v>
      </c>
      <c r="K16" s="224">
        <f t="shared" si="0"/>
        <v>24.285433503334641</v>
      </c>
      <c r="N16" s="18"/>
      <c r="O16" s="246"/>
    </row>
    <row r="17" spans="1:15" ht="12.75" customHeight="1">
      <c r="A17" s="321">
        <v>11</v>
      </c>
      <c r="B17" s="321">
        <v>6617</v>
      </c>
      <c r="C17" s="321" t="s">
        <v>31</v>
      </c>
      <c r="D17" s="321" t="s">
        <v>28</v>
      </c>
      <c r="E17" s="321" t="s">
        <v>32</v>
      </c>
      <c r="F17" s="405">
        <v>345</v>
      </c>
      <c r="G17" s="405">
        <v>9453</v>
      </c>
      <c r="H17" s="405">
        <v>4844.63</v>
      </c>
      <c r="I17" s="321" t="s">
        <v>30</v>
      </c>
      <c r="J17" s="321" t="s">
        <v>23</v>
      </c>
      <c r="K17" s="224">
        <f t="shared" si="0"/>
        <v>14.04240579710145</v>
      </c>
      <c r="N17" s="18"/>
      <c r="O17" s="246"/>
    </row>
    <row r="18" spans="1:15">
      <c r="A18" s="321">
        <v>88</v>
      </c>
      <c r="B18" s="321" t="s">
        <v>14</v>
      </c>
      <c r="C18" s="321" t="s">
        <v>15</v>
      </c>
      <c r="D18" s="321" t="s">
        <v>16</v>
      </c>
      <c r="E18" s="321" t="s">
        <v>17</v>
      </c>
      <c r="F18" s="321">
        <v>214</v>
      </c>
      <c r="G18" s="405">
        <v>214</v>
      </c>
      <c r="H18" s="405">
        <v>140.56</v>
      </c>
      <c r="I18" s="321" t="s">
        <v>18</v>
      </c>
      <c r="J18" s="321" t="s">
        <v>23</v>
      </c>
      <c r="K18" s="224">
        <f t="shared" si="0"/>
        <v>0.65682242990654205</v>
      </c>
      <c r="N18" s="18"/>
      <c r="O18" s="246"/>
    </row>
    <row r="19" spans="1:15">
      <c r="A19" s="321">
        <v>1</v>
      </c>
      <c r="B19" s="321" t="s">
        <v>20</v>
      </c>
      <c r="C19" s="321" t="s">
        <v>21</v>
      </c>
      <c r="D19" s="321" t="s">
        <v>16</v>
      </c>
      <c r="E19" s="321" t="s">
        <v>22</v>
      </c>
      <c r="F19" s="405">
        <v>9950</v>
      </c>
      <c r="G19" s="405">
        <v>1</v>
      </c>
      <c r="H19" s="405">
        <v>153.22999999999999</v>
      </c>
      <c r="I19" s="321" t="s">
        <v>18</v>
      </c>
      <c r="J19" s="321" t="s">
        <v>23</v>
      </c>
      <c r="K19" s="224">
        <f t="shared" si="0"/>
        <v>1.5399999999999999E-2</v>
      </c>
      <c r="N19" s="18"/>
      <c r="O19" s="246"/>
    </row>
    <row r="20" spans="1:15" ht="12.75" customHeight="1">
      <c r="A20" s="321">
        <v>223</v>
      </c>
      <c r="B20" s="321" t="s">
        <v>2841</v>
      </c>
      <c r="C20" s="321" t="s">
        <v>2863</v>
      </c>
      <c r="D20" s="321" t="s">
        <v>16</v>
      </c>
      <c r="E20" s="321" t="s">
        <v>22</v>
      </c>
      <c r="F20" s="405">
        <v>15000</v>
      </c>
      <c r="G20" s="405">
        <v>1.5</v>
      </c>
      <c r="H20" s="405">
        <v>204</v>
      </c>
      <c r="I20" s="321" t="s">
        <v>18</v>
      </c>
      <c r="J20" s="321" t="s">
        <v>19</v>
      </c>
      <c r="K20" s="224">
        <f t="shared" si="0"/>
        <v>1.3599999999999999E-2</v>
      </c>
      <c r="L20" s="215"/>
      <c r="N20" s="18"/>
      <c r="O20" s="246"/>
    </row>
    <row r="21" spans="1:15" ht="12.75" customHeight="1">
      <c r="A21" s="321">
        <v>201</v>
      </c>
      <c r="B21" s="321" t="s">
        <v>20</v>
      </c>
      <c r="C21" s="321" t="s">
        <v>21</v>
      </c>
      <c r="D21" s="321" t="s">
        <v>16</v>
      </c>
      <c r="E21" s="321" t="s">
        <v>22</v>
      </c>
      <c r="F21" s="405">
        <v>16418</v>
      </c>
      <c r="G21" s="405">
        <v>1.64</v>
      </c>
      <c r="H21" s="405">
        <v>252.84</v>
      </c>
      <c r="I21" s="321" t="s">
        <v>18</v>
      </c>
      <c r="J21" s="321" t="s">
        <v>19</v>
      </c>
      <c r="K21" s="224">
        <f t="shared" si="0"/>
        <v>1.5400170544524304E-2</v>
      </c>
      <c r="N21" s="18"/>
      <c r="O21" s="246"/>
    </row>
    <row r="22" spans="1:15" ht="12.75" customHeight="1">
      <c r="A22" s="321">
        <v>11</v>
      </c>
      <c r="B22" s="321">
        <v>4617</v>
      </c>
      <c r="C22" s="321" t="s">
        <v>36</v>
      </c>
      <c r="D22" s="321" t="s">
        <v>28</v>
      </c>
      <c r="E22" s="321" t="s">
        <v>32</v>
      </c>
      <c r="F22" s="321">
        <v>368</v>
      </c>
      <c r="G22" s="321">
        <v>10083.200000000001</v>
      </c>
      <c r="H22" s="321">
        <v>5502.85</v>
      </c>
      <c r="I22" s="321" t="s">
        <v>30</v>
      </c>
      <c r="J22" s="321" t="s">
        <v>23</v>
      </c>
      <c r="K22" s="224">
        <f t="shared" si="0"/>
        <v>14.953396739130437</v>
      </c>
      <c r="N22" s="18"/>
      <c r="O22" s="246"/>
    </row>
    <row r="23" spans="1:15" ht="12.75" customHeight="1">
      <c r="A23" s="321">
        <v>201</v>
      </c>
      <c r="B23" s="321" t="s">
        <v>37</v>
      </c>
      <c r="C23" s="321" t="s">
        <v>38</v>
      </c>
      <c r="D23" s="321" t="s">
        <v>16</v>
      </c>
      <c r="E23" s="321" t="s">
        <v>22</v>
      </c>
      <c r="F23" s="321">
        <v>26491</v>
      </c>
      <c r="G23" s="321">
        <v>2.65</v>
      </c>
      <c r="H23" s="321">
        <v>349.68</v>
      </c>
      <c r="I23" s="321" t="s">
        <v>18</v>
      </c>
      <c r="J23" s="321" t="s">
        <v>19</v>
      </c>
      <c r="K23" s="224">
        <f t="shared" si="0"/>
        <v>1.3199954701596768E-2</v>
      </c>
      <c r="L23" s="215"/>
      <c r="N23" s="18"/>
      <c r="O23" s="246"/>
    </row>
    <row r="24" spans="1:15" ht="12.75" customHeight="1">
      <c r="A24" s="321">
        <v>288</v>
      </c>
      <c r="B24" s="321" t="s">
        <v>14</v>
      </c>
      <c r="C24" s="321" t="s">
        <v>15</v>
      </c>
      <c r="D24" s="321" t="s">
        <v>16</v>
      </c>
      <c r="E24" s="321" t="s">
        <v>17</v>
      </c>
      <c r="F24" s="321">
        <v>-529</v>
      </c>
      <c r="G24" s="321">
        <v>-529</v>
      </c>
      <c r="H24" s="321">
        <v>-422.97</v>
      </c>
      <c r="I24" s="321" t="s">
        <v>18</v>
      </c>
      <c r="J24" s="321" t="s">
        <v>19</v>
      </c>
      <c r="K24" s="224">
        <f t="shared" si="0"/>
        <v>0.79956521739130437</v>
      </c>
      <c r="N24" s="18"/>
      <c r="O24" s="246"/>
    </row>
    <row r="25" spans="1:15" ht="12.75" customHeight="1">
      <c r="A25" s="321">
        <v>223</v>
      </c>
      <c r="B25" s="321" t="s">
        <v>389</v>
      </c>
      <c r="C25" s="321" t="s">
        <v>390</v>
      </c>
      <c r="D25" s="321" t="s">
        <v>16</v>
      </c>
      <c r="E25" s="321" t="s">
        <v>22</v>
      </c>
      <c r="F25" s="321">
        <v>40000</v>
      </c>
      <c r="G25" s="405">
        <v>4</v>
      </c>
      <c r="H25" s="405">
        <v>692</v>
      </c>
      <c r="I25" s="321" t="s">
        <v>18</v>
      </c>
      <c r="J25" s="321" t="s">
        <v>19</v>
      </c>
      <c r="K25" s="224">
        <f t="shared" si="0"/>
        <v>1.7299999999999999E-2</v>
      </c>
      <c r="N25" s="18"/>
      <c r="O25" s="246"/>
    </row>
    <row r="26" spans="1:15" ht="12.75" customHeight="1">
      <c r="A26" s="321">
        <v>288</v>
      </c>
      <c r="B26" s="321" t="s">
        <v>170</v>
      </c>
      <c r="C26" s="321" t="s">
        <v>2751</v>
      </c>
      <c r="D26" s="321" t="s">
        <v>43</v>
      </c>
      <c r="E26" s="321"/>
      <c r="F26" s="321">
        <v>-23322.560000000001</v>
      </c>
      <c r="G26" s="405">
        <v>-23322.54</v>
      </c>
      <c r="H26" s="405">
        <v>-14576.38</v>
      </c>
      <c r="I26" s="321" t="s">
        <v>44</v>
      </c>
      <c r="J26" s="321" t="s">
        <v>19</v>
      </c>
      <c r="K26" s="224">
        <f t="shared" si="0"/>
        <v>0.62499056707325429</v>
      </c>
      <c r="N26" s="18"/>
      <c r="O26" s="246"/>
    </row>
    <row r="27" spans="1:15">
      <c r="A27" s="321">
        <v>288</v>
      </c>
      <c r="B27" s="321" t="s">
        <v>182</v>
      </c>
      <c r="C27" s="321" t="s">
        <v>183</v>
      </c>
      <c r="D27" s="321" t="s">
        <v>34</v>
      </c>
      <c r="E27" s="321"/>
      <c r="F27" s="321">
        <v>-1014</v>
      </c>
      <c r="G27" s="405">
        <v>-8112</v>
      </c>
      <c r="H27" s="405">
        <v>-10330.450000000001</v>
      </c>
      <c r="I27" s="321" t="s">
        <v>44</v>
      </c>
      <c r="J27" s="321" t="s">
        <v>19</v>
      </c>
      <c r="K27" s="224">
        <f t="shared" si="0"/>
        <v>10.187820512820513</v>
      </c>
      <c r="N27" s="18"/>
      <c r="O27" s="246"/>
    </row>
    <row r="28" spans="1:15" ht="12.75" customHeight="1">
      <c r="A28" s="321">
        <v>1</v>
      </c>
      <c r="B28" s="321" t="s">
        <v>39</v>
      </c>
      <c r="C28" s="321" t="s">
        <v>40</v>
      </c>
      <c r="D28" s="321" t="s">
        <v>16</v>
      </c>
      <c r="E28" s="321" t="s">
        <v>22</v>
      </c>
      <c r="F28" s="321">
        <v>12241</v>
      </c>
      <c r="G28" s="321">
        <v>1.22</v>
      </c>
      <c r="H28" s="321">
        <v>164.03</v>
      </c>
      <c r="I28" s="321" t="s">
        <v>18</v>
      </c>
      <c r="J28" s="321" t="s">
        <v>23</v>
      </c>
      <c r="K28" s="224">
        <f t="shared" si="0"/>
        <v>1.3400049015603301E-2</v>
      </c>
      <c r="N28" s="18"/>
      <c r="O28" s="246"/>
    </row>
    <row r="29" spans="1:15" ht="12.75" customHeight="1">
      <c r="A29" s="321">
        <v>1</v>
      </c>
      <c r="B29" s="321" t="s">
        <v>2803</v>
      </c>
      <c r="C29" s="321" t="s">
        <v>2804</v>
      </c>
      <c r="D29" s="321" t="s">
        <v>16</v>
      </c>
      <c r="E29" s="321" t="s">
        <v>22</v>
      </c>
      <c r="F29" s="321">
        <v>8061</v>
      </c>
      <c r="G29" s="321">
        <v>0.81</v>
      </c>
      <c r="H29" s="321">
        <v>106.41</v>
      </c>
      <c r="I29" s="321" t="s">
        <v>18</v>
      </c>
      <c r="J29" s="321" t="s">
        <v>23</v>
      </c>
      <c r="K29" s="224">
        <f t="shared" si="0"/>
        <v>1.3200595459620395E-2</v>
      </c>
      <c r="N29" s="18"/>
      <c r="O29" s="246"/>
    </row>
    <row r="30" spans="1:15" ht="12.75" customHeight="1">
      <c r="A30" s="321">
        <v>201</v>
      </c>
      <c r="B30" s="321" t="s">
        <v>45</v>
      </c>
      <c r="C30" s="321" t="s">
        <v>46</v>
      </c>
      <c r="D30" s="321" t="s">
        <v>16</v>
      </c>
      <c r="E30" s="321" t="s">
        <v>22</v>
      </c>
      <c r="F30" s="321">
        <v>48183</v>
      </c>
      <c r="G30" s="321">
        <v>4.82</v>
      </c>
      <c r="H30" s="321">
        <v>318.01</v>
      </c>
      <c r="I30" s="321" t="s">
        <v>18</v>
      </c>
      <c r="J30" s="321" t="s">
        <v>19</v>
      </c>
      <c r="K30" s="224">
        <f t="shared" si="0"/>
        <v>6.600045659257414E-3</v>
      </c>
      <c r="L30" s="215"/>
      <c r="N30" s="18"/>
      <c r="O30" s="246"/>
    </row>
    <row r="31" spans="1:15" ht="12.75" customHeight="1">
      <c r="A31" s="321">
        <v>11</v>
      </c>
      <c r="B31" s="321" t="s">
        <v>57</v>
      </c>
      <c r="C31" s="321" t="s">
        <v>58</v>
      </c>
      <c r="D31" s="321" t="s">
        <v>16</v>
      </c>
      <c r="E31" s="321" t="s">
        <v>22</v>
      </c>
      <c r="F31" s="321">
        <v>50000</v>
      </c>
      <c r="G31" s="321">
        <v>5</v>
      </c>
      <c r="H31" s="321">
        <v>525</v>
      </c>
      <c r="I31" s="321" t="s">
        <v>18</v>
      </c>
      <c r="J31" s="321" t="s">
        <v>59</v>
      </c>
      <c r="K31" s="224">
        <f t="shared" si="0"/>
        <v>1.0500000000000001E-2</v>
      </c>
      <c r="L31" s="215"/>
      <c r="N31" s="18"/>
      <c r="O31" s="246"/>
    </row>
    <row r="32" spans="1:15" ht="12.75" customHeight="1">
      <c r="A32" s="321">
        <v>201</v>
      </c>
      <c r="B32" s="321" t="s">
        <v>2841</v>
      </c>
      <c r="C32" s="321" t="s">
        <v>2863</v>
      </c>
      <c r="D32" s="321" t="s">
        <v>16</v>
      </c>
      <c r="E32" s="321" t="s">
        <v>22</v>
      </c>
      <c r="F32" s="321">
        <v>45031</v>
      </c>
      <c r="G32" s="405">
        <v>4.5</v>
      </c>
      <c r="H32" s="405">
        <v>612.41999999999996</v>
      </c>
      <c r="I32" s="321" t="s">
        <v>18</v>
      </c>
      <c r="J32" s="321" t="s">
        <v>19</v>
      </c>
      <c r="K32" s="224">
        <f t="shared" si="0"/>
        <v>1.3599964468921409E-2</v>
      </c>
      <c r="N32" s="18"/>
      <c r="O32" s="246"/>
    </row>
    <row r="33" spans="1:15" ht="15" customHeight="1">
      <c r="A33" s="321">
        <v>11</v>
      </c>
      <c r="B33" s="321" t="s">
        <v>47</v>
      </c>
      <c r="C33" s="321" t="s">
        <v>48</v>
      </c>
      <c r="D33" s="321" t="s">
        <v>43</v>
      </c>
      <c r="E33" s="321"/>
      <c r="F33" s="321">
        <v>80</v>
      </c>
      <c r="G33" s="321">
        <v>80</v>
      </c>
      <c r="H33" s="321">
        <v>1055.2</v>
      </c>
      <c r="I33" s="321" t="s">
        <v>44</v>
      </c>
      <c r="J33" s="321" t="s">
        <v>23</v>
      </c>
      <c r="K33" s="224">
        <f t="shared" si="0"/>
        <v>13.190000000000001</v>
      </c>
      <c r="N33" s="18"/>
      <c r="O33" s="246"/>
    </row>
    <row r="34" spans="1:15" ht="12.75" customHeight="1">
      <c r="A34" s="321">
        <v>201</v>
      </c>
      <c r="B34" s="321" t="s">
        <v>2803</v>
      </c>
      <c r="C34" s="321" t="s">
        <v>2804</v>
      </c>
      <c r="D34" s="321" t="s">
        <v>16</v>
      </c>
      <c r="E34" s="321" t="s">
        <v>22</v>
      </c>
      <c r="F34" s="321">
        <v>26289</v>
      </c>
      <c r="G34" s="321">
        <v>2.63</v>
      </c>
      <c r="H34" s="321">
        <v>323.35000000000002</v>
      </c>
      <c r="I34" s="321" t="s">
        <v>18</v>
      </c>
      <c r="J34" s="321" t="s">
        <v>19</v>
      </c>
      <c r="K34" s="224">
        <f t="shared" si="0"/>
        <v>1.2299821217999924E-2</v>
      </c>
      <c r="N34" s="18"/>
      <c r="O34" s="246"/>
    </row>
    <row r="35" spans="1:15">
      <c r="A35" s="321">
        <v>201</v>
      </c>
      <c r="B35" s="321" t="s">
        <v>57</v>
      </c>
      <c r="C35" s="321" t="s">
        <v>58</v>
      </c>
      <c r="D35" s="321" t="s">
        <v>16</v>
      </c>
      <c r="E35" s="321" t="s">
        <v>22</v>
      </c>
      <c r="F35" s="321">
        <v>29584</v>
      </c>
      <c r="G35" s="321">
        <v>2.96</v>
      </c>
      <c r="H35" s="321">
        <v>310.63</v>
      </c>
      <c r="I35" s="321" t="s">
        <v>18</v>
      </c>
      <c r="J35" s="321" t="s">
        <v>59</v>
      </c>
      <c r="K35" s="224">
        <f t="shared" si="0"/>
        <v>1.049993239588967E-2</v>
      </c>
      <c r="N35" s="18"/>
      <c r="O35" s="246"/>
    </row>
    <row r="36" spans="1:15">
      <c r="A36" s="321">
        <v>223</v>
      </c>
      <c r="B36" s="321" t="s">
        <v>343</v>
      </c>
      <c r="C36" s="321" t="s">
        <v>344</v>
      </c>
      <c r="D36" s="321" t="s">
        <v>43</v>
      </c>
      <c r="E36" s="321"/>
      <c r="F36" s="321">
        <v>28659.8</v>
      </c>
      <c r="G36" s="405">
        <v>28659.8</v>
      </c>
      <c r="H36" s="405">
        <v>52160.84</v>
      </c>
      <c r="I36" s="321" t="s">
        <v>44</v>
      </c>
      <c r="J36" s="321" t="s">
        <v>19</v>
      </c>
      <c r="K36" s="224">
        <f t="shared" si="0"/>
        <v>1.8200001395683152</v>
      </c>
      <c r="N36" s="18"/>
      <c r="O36" s="246"/>
    </row>
    <row r="37" spans="1:15">
      <c r="A37" s="321">
        <v>88</v>
      </c>
      <c r="B37" s="321" t="s">
        <v>251</v>
      </c>
      <c r="C37" s="321" t="s">
        <v>252</v>
      </c>
      <c r="D37" s="321" t="s">
        <v>34</v>
      </c>
      <c r="E37" s="321" t="s">
        <v>146</v>
      </c>
      <c r="F37" s="321">
        <v>-890</v>
      </c>
      <c r="G37" s="321">
        <v>-7921</v>
      </c>
      <c r="H37" s="321">
        <v>-5696</v>
      </c>
      <c r="I37" s="321" t="s">
        <v>35</v>
      </c>
      <c r="J37" s="321" t="s">
        <v>23</v>
      </c>
      <c r="K37" s="224">
        <f t="shared" si="0"/>
        <v>6.4</v>
      </c>
      <c r="N37" s="18"/>
      <c r="O37" s="246"/>
    </row>
    <row r="38" spans="1:15" ht="12.75" customHeight="1">
      <c r="A38" s="321">
        <v>201</v>
      </c>
      <c r="B38" s="321" t="s">
        <v>60</v>
      </c>
      <c r="C38" s="321" t="s">
        <v>61</v>
      </c>
      <c r="D38" s="321" t="s">
        <v>16</v>
      </c>
      <c r="E38" s="321" t="s">
        <v>22</v>
      </c>
      <c r="F38" s="321">
        <v>34980</v>
      </c>
      <c r="G38" s="405">
        <v>3.5</v>
      </c>
      <c r="H38" s="405">
        <v>468.73</v>
      </c>
      <c r="I38" s="321" t="s">
        <v>18</v>
      </c>
      <c r="J38" s="321" t="s">
        <v>19</v>
      </c>
      <c r="K38" s="224">
        <f t="shared" si="0"/>
        <v>1.3399942824471127E-2</v>
      </c>
      <c r="N38" s="18"/>
      <c r="O38" s="246"/>
    </row>
    <row r="39" spans="1:15">
      <c r="A39" s="321">
        <v>11</v>
      </c>
      <c r="B39" s="321" t="s">
        <v>2803</v>
      </c>
      <c r="C39" s="321" t="s">
        <v>2804</v>
      </c>
      <c r="D39" s="321" t="s">
        <v>16</v>
      </c>
      <c r="E39" s="321" t="s">
        <v>22</v>
      </c>
      <c r="F39" s="321">
        <v>40000</v>
      </c>
      <c r="G39" s="321">
        <v>4</v>
      </c>
      <c r="H39" s="321">
        <v>528</v>
      </c>
      <c r="I39" s="321" t="s">
        <v>18</v>
      </c>
      <c r="J39" s="321" t="s">
        <v>23</v>
      </c>
      <c r="K39" s="224">
        <f t="shared" si="0"/>
        <v>1.32E-2</v>
      </c>
      <c r="N39" s="18"/>
      <c r="O39" s="246"/>
    </row>
    <row r="40" spans="1:15" ht="12.75" customHeight="1">
      <c r="A40" s="321">
        <v>11</v>
      </c>
      <c r="B40" s="321">
        <v>5142</v>
      </c>
      <c r="C40" s="321" t="s">
        <v>62</v>
      </c>
      <c r="D40" s="321" t="s">
        <v>28</v>
      </c>
      <c r="E40" s="321" t="s">
        <v>54</v>
      </c>
      <c r="F40" s="321">
        <v>226</v>
      </c>
      <c r="G40" s="405">
        <v>11480.8</v>
      </c>
      <c r="H40" s="405">
        <v>6507.76</v>
      </c>
      <c r="I40" s="321" t="s">
        <v>30</v>
      </c>
      <c r="J40" s="321" t="s">
        <v>23</v>
      </c>
      <c r="K40" s="224">
        <f t="shared" si="0"/>
        <v>28.795398230088498</v>
      </c>
      <c r="N40" s="18"/>
      <c r="O40" s="246"/>
    </row>
    <row r="41" spans="1:15" ht="12.75" customHeight="1">
      <c r="A41" s="321">
        <v>11</v>
      </c>
      <c r="B41" s="321">
        <v>5142</v>
      </c>
      <c r="C41" s="321" t="s">
        <v>62</v>
      </c>
      <c r="D41" s="321" t="s">
        <v>16</v>
      </c>
      <c r="E41" s="321" t="s">
        <v>88</v>
      </c>
      <c r="F41" s="321">
        <v>-2</v>
      </c>
      <c r="G41" s="321">
        <v>-11.32</v>
      </c>
      <c r="H41" s="321">
        <v>-6.24</v>
      </c>
      <c r="I41" s="321" t="s">
        <v>30</v>
      </c>
      <c r="J41" s="321" t="s">
        <v>23</v>
      </c>
      <c r="K41" s="224">
        <f t="shared" si="0"/>
        <v>3.12</v>
      </c>
      <c r="N41" s="18"/>
      <c r="O41" s="246"/>
    </row>
    <row r="42" spans="1:15" ht="12.75" customHeight="1">
      <c r="A42" s="321">
        <v>201</v>
      </c>
      <c r="B42" s="321" t="s">
        <v>63</v>
      </c>
      <c r="C42" s="321" t="s">
        <v>64</v>
      </c>
      <c r="D42" s="321" t="s">
        <v>16</v>
      </c>
      <c r="E42" s="321" t="s">
        <v>22</v>
      </c>
      <c r="F42" s="321">
        <v>63692</v>
      </c>
      <c r="G42" s="321">
        <v>6.37</v>
      </c>
      <c r="H42" s="321">
        <v>840.73</v>
      </c>
      <c r="I42" s="321" t="s">
        <v>18</v>
      </c>
      <c r="J42" s="321" t="s">
        <v>19</v>
      </c>
      <c r="K42" s="224">
        <f t="shared" si="0"/>
        <v>1.3199930917540665E-2</v>
      </c>
      <c r="N42" s="18"/>
      <c r="O42" s="246"/>
    </row>
    <row r="43" spans="1:15">
      <c r="A43" s="321">
        <v>201</v>
      </c>
      <c r="B43" s="321" t="s">
        <v>66</v>
      </c>
      <c r="C43" s="321" t="s">
        <v>67</v>
      </c>
      <c r="D43" s="321" t="s">
        <v>16</v>
      </c>
      <c r="E43" s="321" t="s">
        <v>22</v>
      </c>
      <c r="F43" s="321">
        <v>11185</v>
      </c>
      <c r="G43" s="321">
        <v>1.1200000000000001</v>
      </c>
      <c r="H43" s="321">
        <v>149.88</v>
      </c>
      <c r="I43" s="321" t="s">
        <v>18</v>
      </c>
      <c r="J43" s="321" t="s">
        <v>19</v>
      </c>
      <c r="K43" s="224">
        <f t="shared" si="0"/>
        <v>1.3400089405453732E-2</v>
      </c>
      <c r="N43" s="18"/>
      <c r="O43" s="246"/>
    </row>
    <row r="44" spans="1:15">
      <c r="A44" s="321">
        <v>204</v>
      </c>
      <c r="B44" s="321">
        <v>6590</v>
      </c>
      <c r="C44" s="321" t="s">
        <v>68</v>
      </c>
      <c r="D44" s="321" t="s">
        <v>28</v>
      </c>
      <c r="E44" s="321" t="s">
        <v>56</v>
      </c>
      <c r="F44" s="405">
        <v>327</v>
      </c>
      <c r="G44" s="405">
        <v>10398.6</v>
      </c>
      <c r="H44" s="405">
        <v>4368.82</v>
      </c>
      <c r="I44" s="321" t="s">
        <v>30</v>
      </c>
      <c r="J44" s="321" t="s">
        <v>19</v>
      </c>
      <c r="K44" s="224">
        <f t="shared" si="0"/>
        <v>13.360305810397552</v>
      </c>
      <c r="N44" s="18"/>
      <c r="O44" s="246"/>
    </row>
    <row r="45" spans="1:15">
      <c r="A45" s="321">
        <v>88</v>
      </c>
      <c r="B45" s="321">
        <v>9814</v>
      </c>
      <c r="C45" s="321" t="s">
        <v>393</v>
      </c>
      <c r="D45" s="321" t="s">
        <v>28</v>
      </c>
      <c r="E45" s="321" t="s">
        <v>54</v>
      </c>
      <c r="F45" s="321">
        <v>0</v>
      </c>
      <c r="G45" s="405">
        <v>0</v>
      </c>
      <c r="H45" s="405">
        <v>0</v>
      </c>
      <c r="I45" s="321" t="s">
        <v>30</v>
      </c>
      <c r="J45" s="321" t="s">
        <v>23</v>
      </c>
      <c r="K45" s="224" t="e">
        <f t="shared" si="0"/>
        <v>#DIV/0!</v>
      </c>
      <c r="N45" s="18"/>
      <c r="O45" s="246"/>
    </row>
    <row r="46" spans="1:15">
      <c r="A46" s="321">
        <v>201</v>
      </c>
      <c r="B46" s="321" t="s">
        <v>69</v>
      </c>
      <c r="C46" s="321" t="s">
        <v>70</v>
      </c>
      <c r="D46" s="321" t="s">
        <v>16</v>
      </c>
      <c r="E46" s="321" t="s">
        <v>26</v>
      </c>
      <c r="F46" s="321">
        <v>53376</v>
      </c>
      <c r="G46" s="405">
        <v>53.38</v>
      </c>
      <c r="H46" s="405">
        <v>1259.67</v>
      </c>
      <c r="I46" s="321" t="s">
        <v>18</v>
      </c>
      <c r="J46" s="321" t="s">
        <v>19</v>
      </c>
      <c r="K46" s="224">
        <f t="shared" si="0"/>
        <v>2.3599932553956836E-2</v>
      </c>
      <c r="N46" s="18"/>
      <c r="O46" s="246"/>
    </row>
    <row r="47" spans="1:15">
      <c r="A47" s="321">
        <v>1</v>
      </c>
      <c r="B47" s="321" t="s">
        <v>69</v>
      </c>
      <c r="C47" s="321" t="s">
        <v>70</v>
      </c>
      <c r="D47" s="321" t="s">
        <v>16</v>
      </c>
      <c r="E47" s="321" t="s">
        <v>26</v>
      </c>
      <c r="F47" s="321">
        <v>53818</v>
      </c>
      <c r="G47" s="405">
        <v>53.82</v>
      </c>
      <c r="H47" s="405">
        <v>1270.0999999999999</v>
      </c>
      <c r="I47" s="321" t="s">
        <v>18</v>
      </c>
      <c r="J47" s="321" t="s">
        <v>23</v>
      </c>
      <c r="K47" s="224">
        <f t="shared" si="0"/>
        <v>2.3599910810509495E-2</v>
      </c>
      <c r="N47" s="18"/>
      <c r="O47" s="246"/>
    </row>
    <row r="48" spans="1:15">
      <c r="A48" s="321">
        <v>201</v>
      </c>
      <c r="B48" s="321">
        <v>5815</v>
      </c>
      <c r="C48" s="321" t="s">
        <v>75</v>
      </c>
      <c r="D48" s="321" t="s">
        <v>28</v>
      </c>
      <c r="E48" s="321" t="s">
        <v>56</v>
      </c>
      <c r="F48" s="321">
        <v>45</v>
      </c>
      <c r="G48" s="321">
        <v>1212.75</v>
      </c>
      <c r="H48" s="321">
        <v>525.14</v>
      </c>
      <c r="I48" s="321" t="s">
        <v>30</v>
      </c>
      <c r="J48" s="321" t="s">
        <v>19</v>
      </c>
      <c r="K48" s="224">
        <f t="shared" si="0"/>
        <v>11.669777777777778</v>
      </c>
      <c r="N48" s="18"/>
      <c r="O48" s="246"/>
    </row>
    <row r="49" spans="1:15">
      <c r="A49" s="321">
        <v>11</v>
      </c>
      <c r="B49" s="321" t="s">
        <v>73</v>
      </c>
      <c r="C49" s="321" t="s">
        <v>74</v>
      </c>
      <c r="D49" s="321" t="s">
        <v>34</v>
      </c>
      <c r="E49" s="321"/>
      <c r="F49" s="321">
        <v>50760</v>
      </c>
      <c r="G49" s="321">
        <v>451764</v>
      </c>
      <c r="H49" s="321">
        <v>168467.36</v>
      </c>
      <c r="I49" s="321" t="s">
        <v>35</v>
      </c>
      <c r="J49" s="321" t="s">
        <v>23</v>
      </c>
      <c r="K49" s="224">
        <f t="shared" si="0"/>
        <v>3.3188999211977932</v>
      </c>
      <c r="N49" s="18"/>
      <c r="O49" s="246"/>
    </row>
    <row r="50" spans="1:15" ht="12.75" customHeight="1">
      <c r="A50" s="321">
        <v>11</v>
      </c>
      <c r="B50" s="321" t="s">
        <v>66</v>
      </c>
      <c r="C50" s="321" t="s">
        <v>67</v>
      </c>
      <c r="D50" s="321" t="s">
        <v>16</v>
      </c>
      <c r="E50" s="321" t="s">
        <v>22</v>
      </c>
      <c r="F50" s="321">
        <v>50000</v>
      </c>
      <c r="G50" s="321">
        <v>5</v>
      </c>
      <c r="H50" s="321">
        <v>670</v>
      </c>
      <c r="I50" s="321" t="s">
        <v>18</v>
      </c>
      <c r="J50" s="321" t="s">
        <v>23</v>
      </c>
      <c r="K50" s="224">
        <f t="shared" si="0"/>
        <v>1.34E-2</v>
      </c>
      <c r="N50" s="18"/>
      <c r="O50" s="246"/>
    </row>
    <row r="51" spans="1:15" ht="12.75" customHeight="1">
      <c r="A51" s="321">
        <v>211</v>
      </c>
      <c r="B51" s="321">
        <v>5815</v>
      </c>
      <c r="C51" s="321" t="s">
        <v>75</v>
      </c>
      <c r="D51" s="321" t="s">
        <v>28</v>
      </c>
      <c r="E51" s="321" t="s">
        <v>56</v>
      </c>
      <c r="F51" s="321">
        <v>205</v>
      </c>
      <c r="G51" s="405">
        <v>5524.75</v>
      </c>
      <c r="H51" s="321">
        <v>2392.29</v>
      </c>
      <c r="I51" s="321" t="s">
        <v>30</v>
      </c>
      <c r="J51" s="321" t="s">
        <v>19</v>
      </c>
      <c r="K51" s="224">
        <f t="shared" si="0"/>
        <v>11.66970731707317</v>
      </c>
      <c r="N51" s="18"/>
      <c r="O51" s="246"/>
    </row>
    <row r="52" spans="1:15" ht="15">
      <c r="A52" s="321">
        <v>201</v>
      </c>
      <c r="B52" s="321" t="s">
        <v>73</v>
      </c>
      <c r="C52" s="321" t="s">
        <v>74</v>
      </c>
      <c r="D52" s="321" t="s">
        <v>34</v>
      </c>
      <c r="E52" s="321"/>
      <c r="F52" s="321">
        <v>90</v>
      </c>
      <c r="G52" s="405">
        <v>801</v>
      </c>
      <c r="H52" s="405">
        <v>305.02</v>
      </c>
      <c r="I52" s="321" t="s">
        <v>35</v>
      </c>
      <c r="J52" s="321" t="s">
        <v>19</v>
      </c>
      <c r="K52" s="224">
        <f t="shared" si="0"/>
        <v>3.3891111111111107</v>
      </c>
      <c r="M52" s="215"/>
      <c r="N52" s="18"/>
      <c r="O52" s="246"/>
    </row>
    <row r="53" spans="1:15" ht="12.75" customHeight="1">
      <c r="A53" s="321">
        <v>1</v>
      </c>
      <c r="B53" s="321" t="s">
        <v>76</v>
      </c>
      <c r="C53" s="321" t="s">
        <v>77</v>
      </c>
      <c r="D53" s="321" t="s">
        <v>16</v>
      </c>
      <c r="E53" s="321" t="s">
        <v>17</v>
      </c>
      <c r="F53" s="321">
        <v>1528</v>
      </c>
      <c r="G53" s="321">
        <v>1528</v>
      </c>
      <c r="H53" s="321">
        <v>847.88</v>
      </c>
      <c r="I53" s="321" t="s">
        <v>18</v>
      </c>
      <c r="J53" s="321" t="s">
        <v>23</v>
      </c>
      <c r="K53" s="224">
        <f t="shared" si="0"/>
        <v>0.55489528795811516</v>
      </c>
      <c r="N53" s="18"/>
      <c r="O53" s="246"/>
    </row>
    <row r="54" spans="1:15">
      <c r="A54" s="321">
        <v>288</v>
      </c>
      <c r="B54" s="321" t="s">
        <v>73</v>
      </c>
      <c r="C54" s="321" t="s">
        <v>74</v>
      </c>
      <c r="D54" s="321" t="s">
        <v>34</v>
      </c>
      <c r="E54" s="321"/>
      <c r="F54" s="321">
        <v>0</v>
      </c>
      <c r="G54" s="321">
        <v>0</v>
      </c>
      <c r="H54" s="321">
        <v>0</v>
      </c>
      <c r="I54" s="321" t="s">
        <v>35</v>
      </c>
      <c r="J54" s="321" t="s">
        <v>19</v>
      </c>
      <c r="K54" s="224" t="e">
        <f t="shared" si="0"/>
        <v>#DIV/0!</v>
      </c>
      <c r="N54" s="18"/>
      <c r="O54" s="246"/>
    </row>
    <row r="55" spans="1:15" ht="12.75" customHeight="1">
      <c r="A55" s="321">
        <v>1</v>
      </c>
      <c r="B55" s="321" t="s">
        <v>66</v>
      </c>
      <c r="C55" s="321" t="s">
        <v>67</v>
      </c>
      <c r="D55" s="321" t="s">
        <v>16</v>
      </c>
      <c r="E55" s="321" t="s">
        <v>22</v>
      </c>
      <c r="F55" s="321">
        <v>9316</v>
      </c>
      <c r="G55" s="321">
        <v>0.93</v>
      </c>
      <c r="H55" s="321">
        <v>124.83</v>
      </c>
      <c r="I55" s="321" t="s">
        <v>18</v>
      </c>
      <c r="J55" s="321" t="s">
        <v>23</v>
      </c>
      <c r="K55" s="224">
        <f t="shared" si="0"/>
        <v>1.3399527694289395E-2</v>
      </c>
      <c r="L55" s="215"/>
      <c r="N55" s="18"/>
      <c r="O55" s="246"/>
    </row>
    <row r="56" spans="1:15" ht="12.75" customHeight="1">
      <c r="A56" s="321">
        <v>11</v>
      </c>
      <c r="B56" s="321" t="s">
        <v>76</v>
      </c>
      <c r="C56" s="321" t="s">
        <v>77</v>
      </c>
      <c r="D56" s="321" t="s">
        <v>16</v>
      </c>
      <c r="E56" s="321" t="s">
        <v>17</v>
      </c>
      <c r="F56" s="321">
        <v>2120</v>
      </c>
      <c r="G56" s="405">
        <v>2120</v>
      </c>
      <c r="H56" s="321">
        <v>1178.73</v>
      </c>
      <c r="I56" s="321" t="s">
        <v>18</v>
      </c>
      <c r="J56" s="321" t="s">
        <v>23</v>
      </c>
      <c r="K56" s="224">
        <f t="shared" si="0"/>
        <v>0.55600471698113207</v>
      </c>
      <c r="N56" s="18"/>
      <c r="O56" s="246"/>
    </row>
    <row r="57" spans="1:15" ht="12.75" customHeight="1">
      <c r="A57" s="321">
        <v>288</v>
      </c>
      <c r="B57" s="321">
        <v>4151</v>
      </c>
      <c r="C57" s="321" t="s">
        <v>78</v>
      </c>
      <c r="D57" s="321" t="s">
        <v>28</v>
      </c>
      <c r="E57" s="321" t="s">
        <v>29</v>
      </c>
      <c r="F57" s="321">
        <v>0</v>
      </c>
      <c r="G57" s="405">
        <v>0</v>
      </c>
      <c r="H57" s="405">
        <v>7.39</v>
      </c>
      <c r="I57" s="321" t="s">
        <v>30</v>
      </c>
      <c r="J57" s="321" t="s">
        <v>59</v>
      </c>
      <c r="K57" s="224" t="e">
        <f t="shared" si="0"/>
        <v>#DIV/0!</v>
      </c>
      <c r="L57" s="215"/>
      <c r="N57" s="18"/>
      <c r="O57" s="246"/>
    </row>
    <row r="58" spans="1:15" ht="12.75" customHeight="1">
      <c r="A58" s="321">
        <v>201</v>
      </c>
      <c r="B58" s="321" t="s">
        <v>79</v>
      </c>
      <c r="C58" s="321" t="s">
        <v>80</v>
      </c>
      <c r="D58" s="321" t="s">
        <v>16</v>
      </c>
      <c r="E58" s="321" t="s">
        <v>22</v>
      </c>
      <c r="F58" s="321">
        <v>19230</v>
      </c>
      <c r="G58" s="405">
        <v>1.92</v>
      </c>
      <c r="H58" s="321">
        <v>257.68</v>
      </c>
      <c r="I58" s="321" t="s">
        <v>18</v>
      </c>
      <c r="J58" s="321" t="s">
        <v>19</v>
      </c>
      <c r="K58" s="224">
        <f t="shared" si="0"/>
        <v>1.3399895995839834E-2</v>
      </c>
      <c r="N58" s="18"/>
      <c r="O58" s="246"/>
    </row>
    <row r="59" spans="1:15" ht="12.75" customHeight="1">
      <c r="A59" s="321">
        <v>99</v>
      </c>
      <c r="B59" s="321">
        <v>4151</v>
      </c>
      <c r="C59" s="321" t="s">
        <v>78</v>
      </c>
      <c r="D59" s="321" t="s">
        <v>28</v>
      </c>
      <c r="E59" s="321" t="s">
        <v>29</v>
      </c>
      <c r="F59" s="321">
        <v>420</v>
      </c>
      <c r="G59" s="321">
        <v>15128.4</v>
      </c>
      <c r="H59" s="321">
        <v>5789.62</v>
      </c>
      <c r="I59" s="321" t="s">
        <v>30</v>
      </c>
      <c r="J59" s="321" t="s">
        <v>59</v>
      </c>
      <c r="K59" s="224">
        <f t="shared" si="0"/>
        <v>13.784809523809523</v>
      </c>
      <c r="N59" s="18"/>
      <c r="O59" s="246"/>
    </row>
    <row r="60" spans="1:15" ht="12.75" customHeight="1">
      <c r="A60" s="321">
        <v>11</v>
      </c>
      <c r="B60" s="321" t="s">
        <v>81</v>
      </c>
      <c r="C60" s="321" t="s">
        <v>82</v>
      </c>
      <c r="D60" s="321" t="s">
        <v>16</v>
      </c>
      <c r="E60" s="321" t="s">
        <v>22</v>
      </c>
      <c r="F60" s="321">
        <v>40000</v>
      </c>
      <c r="G60" s="405">
        <v>4</v>
      </c>
      <c r="H60" s="321">
        <v>1116</v>
      </c>
      <c r="I60" s="321" t="s">
        <v>18</v>
      </c>
      <c r="J60" s="321" t="s">
        <v>59</v>
      </c>
      <c r="K60" s="224">
        <f t="shared" si="0"/>
        <v>2.7900000000000001E-2</v>
      </c>
      <c r="L60" s="215"/>
      <c r="N60" s="18"/>
      <c r="O60" s="246"/>
    </row>
    <row r="61" spans="1:15">
      <c r="A61" s="321">
        <v>201</v>
      </c>
      <c r="B61" s="321" t="s">
        <v>2823</v>
      </c>
      <c r="C61" s="321" t="s">
        <v>2824</v>
      </c>
      <c r="D61" s="321" t="s">
        <v>16</v>
      </c>
      <c r="E61" s="321"/>
      <c r="F61" s="321">
        <v>13798</v>
      </c>
      <c r="G61" s="405">
        <v>6336.04</v>
      </c>
      <c r="H61" s="405">
        <v>1814.44</v>
      </c>
      <c r="I61" s="321" t="s">
        <v>18</v>
      </c>
      <c r="J61" s="321" t="s">
        <v>19</v>
      </c>
      <c r="K61" s="224">
        <f t="shared" si="0"/>
        <v>0.1315002174228149</v>
      </c>
      <c r="N61" s="18"/>
      <c r="O61" s="246"/>
    </row>
    <row r="62" spans="1:15" ht="12.75" customHeight="1">
      <c r="A62" s="321">
        <v>11</v>
      </c>
      <c r="B62" s="321">
        <v>9456</v>
      </c>
      <c r="C62" s="321" t="s">
        <v>53</v>
      </c>
      <c r="D62" s="321" t="s">
        <v>28</v>
      </c>
      <c r="E62" s="321" t="s">
        <v>54</v>
      </c>
      <c r="F62" s="321">
        <v>473</v>
      </c>
      <c r="G62" s="405">
        <v>20830.919999999998</v>
      </c>
      <c r="H62" s="405">
        <v>12761.21</v>
      </c>
      <c r="I62" s="321" t="s">
        <v>30</v>
      </c>
      <c r="J62" s="321" t="s">
        <v>23</v>
      </c>
      <c r="K62" s="224">
        <f t="shared" si="0"/>
        <v>26.979302325581394</v>
      </c>
      <c r="N62" s="18"/>
      <c r="O62" s="246"/>
    </row>
    <row r="63" spans="1:15" ht="12.75" customHeight="1">
      <c r="A63" s="321">
        <v>201</v>
      </c>
      <c r="B63" s="321" t="s">
        <v>100</v>
      </c>
      <c r="C63" s="321" t="s">
        <v>101</v>
      </c>
      <c r="D63" s="321" t="s">
        <v>16</v>
      </c>
      <c r="E63" s="321" t="s">
        <v>22</v>
      </c>
      <c r="F63" s="321">
        <v>18505</v>
      </c>
      <c r="G63" s="405">
        <v>1.85</v>
      </c>
      <c r="H63" s="405">
        <v>247.97</v>
      </c>
      <c r="I63" s="321" t="s">
        <v>18</v>
      </c>
      <c r="J63" s="321" t="s">
        <v>19</v>
      </c>
      <c r="K63" s="224">
        <f t="shared" si="0"/>
        <v>1.3400162118346394E-2</v>
      </c>
      <c r="N63" s="18"/>
      <c r="O63" s="246"/>
    </row>
    <row r="64" spans="1:15">
      <c r="A64" s="321">
        <v>201</v>
      </c>
      <c r="B64" s="321" t="s">
        <v>83</v>
      </c>
      <c r="C64" s="321" t="s">
        <v>84</v>
      </c>
      <c r="D64" s="321" t="s">
        <v>16</v>
      </c>
      <c r="E64" s="321" t="s">
        <v>22</v>
      </c>
      <c r="F64" s="321">
        <v>43137</v>
      </c>
      <c r="G64" s="405">
        <v>4.3099999999999996</v>
      </c>
      <c r="H64" s="405">
        <v>289.02</v>
      </c>
      <c r="I64" s="321" t="s">
        <v>18</v>
      </c>
      <c r="J64" s="321" t="s">
        <v>19</v>
      </c>
      <c r="K64" s="224">
        <f t="shared" si="0"/>
        <v>6.7000486821058485E-3</v>
      </c>
      <c r="N64" s="18"/>
      <c r="O64" s="246"/>
    </row>
    <row r="65" spans="1:15">
      <c r="A65" s="321">
        <v>1</v>
      </c>
      <c r="B65" s="321" t="s">
        <v>103</v>
      </c>
      <c r="C65" s="321" t="s">
        <v>104</v>
      </c>
      <c r="D65" s="321" t="s">
        <v>16</v>
      </c>
      <c r="E65" s="321" t="s">
        <v>22</v>
      </c>
      <c r="F65" s="321">
        <v>8664</v>
      </c>
      <c r="G65" s="405">
        <v>0.87</v>
      </c>
      <c r="H65" s="405">
        <v>116.1</v>
      </c>
      <c r="I65" s="321" t="s">
        <v>18</v>
      </c>
      <c r="J65" s="321" t="s">
        <v>23</v>
      </c>
      <c r="K65" s="224">
        <f t="shared" si="0"/>
        <v>1.3400277008310249E-2</v>
      </c>
      <c r="N65" s="18"/>
      <c r="O65" s="246"/>
    </row>
    <row r="66" spans="1:15">
      <c r="A66" s="321">
        <v>11</v>
      </c>
      <c r="B66" s="321" t="s">
        <v>85</v>
      </c>
      <c r="C66" s="321" t="s">
        <v>86</v>
      </c>
      <c r="D66" s="321" t="s">
        <v>16</v>
      </c>
      <c r="E66" s="321" t="s">
        <v>22</v>
      </c>
      <c r="F66" s="321">
        <v>70000</v>
      </c>
      <c r="G66" s="405">
        <v>7</v>
      </c>
      <c r="H66" s="405">
        <v>938</v>
      </c>
      <c r="I66" s="321" t="s">
        <v>18</v>
      </c>
      <c r="J66" s="321" t="s">
        <v>23</v>
      </c>
      <c r="K66" s="224">
        <f t="shared" si="0"/>
        <v>1.34E-2</v>
      </c>
      <c r="N66" s="18"/>
      <c r="O66" s="246"/>
    </row>
    <row r="67" spans="1:15">
      <c r="A67" s="321">
        <v>201</v>
      </c>
      <c r="B67" s="321" t="s">
        <v>2842</v>
      </c>
      <c r="C67" s="321" t="s">
        <v>2864</v>
      </c>
      <c r="D67" s="321" t="s">
        <v>16</v>
      </c>
      <c r="E67" s="321" t="s">
        <v>22</v>
      </c>
      <c r="F67" s="321">
        <v>50184</v>
      </c>
      <c r="G67" s="405">
        <v>5.0199999999999996</v>
      </c>
      <c r="H67" s="405">
        <v>682.5</v>
      </c>
      <c r="I67" s="321" t="s">
        <v>18</v>
      </c>
      <c r="J67" s="321" t="s">
        <v>19</v>
      </c>
      <c r="K67" s="224">
        <f t="shared" si="0"/>
        <v>1.3599952175992348E-2</v>
      </c>
      <c r="N67" s="18"/>
      <c r="O67" s="246"/>
    </row>
    <row r="68" spans="1:15">
      <c r="A68" s="321">
        <v>288</v>
      </c>
      <c r="B68" s="321" t="s">
        <v>150</v>
      </c>
      <c r="C68" s="321" t="s">
        <v>151</v>
      </c>
      <c r="D68" s="321" t="s">
        <v>43</v>
      </c>
      <c r="E68" s="321"/>
      <c r="F68" s="321">
        <v>-476</v>
      </c>
      <c r="G68" s="405">
        <v>-476</v>
      </c>
      <c r="H68" s="405">
        <v>-368.8</v>
      </c>
      <c r="I68" s="321" t="s">
        <v>44</v>
      </c>
      <c r="J68" s="321" t="s">
        <v>19</v>
      </c>
      <c r="K68" s="224">
        <f t="shared" si="0"/>
        <v>0.77478991596638658</v>
      </c>
      <c r="N68" s="18"/>
      <c r="O68" s="246"/>
    </row>
    <row r="69" spans="1:15" ht="12.75" customHeight="1">
      <c r="A69" s="321">
        <v>601</v>
      </c>
      <c r="B69" s="321">
        <v>4161</v>
      </c>
      <c r="C69" s="321" t="s">
        <v>87</v>
      </c>
      <c r="D69" s="321" t="s">
        <v>28</v>
      </c>
      <c r="E69" s="321" t="s">
        <v>29</v>
      </c>
      <c r="F69" s="321">
        <v>480</v>
      </c>
      <c r="G69" s="321">
        <v>21120</v>
      </c>
      <c r="H69" s="321">
        <v>13440</v>
      </c>
      <c r="I69" s="321" t="s">
        <v>30</v>
      </c>
      <c r="J69" s="321" t="s">
        <v>59</v>
      </c>
      <c r="K69" s="224">
        <f t="shared" si="0"/>
        <v>28</v>
      </c>
      <c r="N69" s="18"/>
      <c r="O69" s="246"/>
    </row>
    <row r="70" spans="1:15" ht="12.75" customHeight="1">
      <c r="A70" s="321">
        <v>602</v>
      </c>
      <c r="B70" s="321">
        <v>4161</v>
      </c>
      <c r="C70" s="321" t="s">
        <v>87</v>
      </c>
      <c r="D70" s="321" t="s">
        <v>28</v>
      </c>
      <c r="E70" s="321" t="s">
        <v>29</v>
      </c>
      <c r="F70" s="321">
        <v>168</v>
      </c>
      <c r="G70" s="321">
        <v>7392</v>
      </c>
      <c r="H70" s="321">
        <v>4704</v>
      </c>
      <c r="I70" s="321" t="s">
        <v>30</v>
      </c>
      <c r="J70" s="321" t="s">
        <v>59</v>
      </c>
      <c r="K70" s="224">
        <f t="shared" si="0"/>
        <v>28</v>
      </c>
      <c r="N70" s="18"/>
      <c r="O70" s="246"/>
    </row>
    <row r="71" spans="1:15">
      <c r="A71" s="321">
        <v>602</v>
      </c>
      <c r="B71" s="321">
        <v>4151</v>
      </c>
      <c r="C71" s="321" t="s">
        <v>78</v>
      </c>
      <c r="D71" s="321" t="s">
        <v>28</v>
      </c>
      <c r="E71" s="321" t="s">
        <v>29</v>
      </c>
      <c r="F71" s="321">
        <v>24</v>
      </c>
      <c r="G71" s="405">
        <v>864.48</v>
      </c>
      <c r="H71" s="405">
        <v>329.87</v>
      </c>
      <c r="I71" s="321" t="s">
        <v>30</v>
      </c>
      <c r="J71" s="321" t="s">
        <v>59</v>
      </c>
      <c r="K71" s="224">
        <f t="shared" ref="K71:K134" si="1">H71/F71</f>
        <v>13.744583333333333</v>
      </c>
      <c r="N71" s="18"/>
      <c r="O71" s="246"/>
    </row>
    <row r="72" spans="1:15">
      <c r="A72" s="321">
        <v>603</v>
      </c>
      <c r="B72" s="321">
        <v>4161</v>
      </c>
      <c r="C72" s="321" t="s">
        <v>87</v>
      </c>
      <c r="D72" s="321" t="s">
        <v>28</v>
      </c>
      <c r="E72" s="321" t="s">
        <v>29</v>
      </c>
      <c r="F72" s="321">
        <v>144</v>
      </c>
      <c r="G72" s="405">
        <v>6336</v>
      </c>
      <c r="H72" s="405">
        <v>4032</v>
      </c>
      <c r="I72" s="321" t="s">
        <v>30</v>
      </c>
      <c r="J72" s="321" t="s">
        <v>59</v>
      </c>
      <c r="K72" s="224">
        <f t="shared" si="1"/>
        <v>28</v>
      </c>
      <c r="N72" s="18"/>
      <c r="O72" s="246"/>
    </row>
    <row r="73" spans="1:15">
      <c r="A73" s="321">
        <v>603</v>
      </c>
      <c r="B73" s="321">
        <v>4151</v>
      </c>
      <c r="C73" s="321" t="s">
        <v>78</v>
      </c>
      <c r="D73" s="321" t="s">
        <v>28</v>
      </c>
      <c r="E73" s="321" t="s">
        <v>29</v>
      </c>
      <c r="F73" s="321">
        <v>116</v>
      </c>
      <c r="G73" s="405">
        <v>4178.32</v>
      </c>
      <c r="H73" s="405">
        <v>1594.24</v>
      </c>
      <c r="I73" s="321" t="s">
        <v>30</v>
      </c>
      <c r="J73" s="321" t="s">
        <v>59</v>
      </c>
      <c r="K73" s="224">
        <f t="shared" si="1"/>
        <v>13.743448275862068</v>
      </c>
      <c r="N73" s="18"/>
      <c r="O73" s="246"/>
    </row>
    <row r="74" spans="1:15">
      <c r="A74" s="321">
        <v>201</v>
      </c>
      <c r="B74" s="321" t="s">
        <v>81</v>
      </c>
      <c r="C74" s="321" t="s">
        <v>82</v>
      </c>
      <c r="D74" s="321" t="s">
        <v>16</v>
      </c>
      <c r="E74" s="321" t="s">
        <v>22</v>
      </c>
      <c r="F74" s="321">
        <v>11567</v>
      </c>
      <c r="G74" s="405">
        <v>1.1599999999999999</v>
      </c>
      <c r="H74" s="405">
        <v>322.72000000000003</v>
      </c>
      <c r="I74" s="321" t="s">
        <v>18</v>
      </c>
      <c r="J74" s="321" t="s">
        <v>59</v>
      </c>
      <c r="K74" s="224">
        <f t="shared" si="1"/>
        <v>2.7900060516987985E-2</v>
      </c>
      <c r="N74" s="18"/>
      <c r="O74" s="246"/>
    </row>
    <row r="75" spans="1:15">
      <c r="A75" s="321">
        <v>1</v>
      </c>
      <c r="B75" s="321" t="s">
        <v>81</v>
      </c>
      <c r="C75" s="321" t="s">
        <v>82</v>
      </c>
      <c r="D75" s="321" t="s">
        <v>16</v>
      </c>
      <c r="E75" s="321" t="s">
        <v>22</v>
      </c>
      <c r="F75" s="405">
        <v>20000</v>
      </c>
      <c r="G75" s="405">
        <v>2</v>
      </c>
      <c r="H75" s="405">
        <v>558</v>
      </c>
      <c r="I75" s="321" t="s">
        <v>18</v>
      </c>
      <c r="J75" s="321" t="s">
        <v>59</v>
      </c>
      <c r="K75" s="224">
        <f t="shared" si="1"/>
        <v>2.7900000000000001E-2</v>
      </c>
      <c r="N75" s="18"/>
      <c r="O75" s="246"/>
    </row>
    <row r="76" spans="1:15" ht="12.75" customHeight="1">
      <c r="A76" s="321">
        <v>201</v>
      </c>
      <c r="B76" s="321" t="s">
        <v>90</v>
      </c>
      <c r="C76" s="321" t="s">
        <v>91</v>
      </c>
      <c r="D76" s="321" t="s">
        <v>16</v>
      </c>
      <c r="E76" s="321" t="s">
        <v>22</v>
      </c>
      <c r="F76" s="405">
        <v>18638</v>
      </c>
      <c r="G76" s="405">
        <v>1.86</v>
      </c>
      <c r="H76" s="405">
        <v>236.7</v>
      </c>
      <c r="I76" s="321" t="s">
        <v>18</v>
      </c>
      <c r="J76" s="321" t="s">
        <v>19</v>
      </c>
      <c r="K76" s="224">
        <f t="shared" si="1"/>
        <v>1.2699860500053653E-2</v>
      </c>
      <c r="L76" s="215"/>
      <c r="N76" s="18"/>
      <c r="O76" s="246"/>
    </row>
    <row r="77" spans="1:15" ht="12.75" customHeight="1">
      <c r="A77" s="321">
        <v>1</v>
      </c>
      <c r="B77" s="321" t="s">
        <v>100</v>
      </c>
      <c r="C77" s="321" t="s">
        <v>101</v>
      </c>
      <c r="D77" s="321" t="s">
        <v>16</v>
      </c>
      <c r="E77" s="321" t="s">
        <v>22</v>
      </c>
      <c r="F77" s="321">
        <v>14945</v>
      </c>
      <c r="G77" s="405">
        <v>1.49</v>
      </c>
      <c r="H77" s="405">
        <v>200.26</v>
      </c>
      <c r="I77" s="321" t="s">
        <v>18</v>
      </c>
      <c r="J77" s="321" t="s">
        <v>23</v>
      </c>
      <c r="K77" s="224">
        <f t="shared" si="1"/>
        <v>1.3399799263967881E-2</v>
      </c>
      <c r="N77" s="18"/>
      <c r="O77" s="246"/>
    </row>
    <row r="78" spans="1:15">
      <c r="A78" s="321">
        <v>201</v>
      </c>
      <c r="B78" s="321" t="s">
        <v>92</v>
      </c>
      <c r="C78" s="321" t="s">
        <v>93</v>
      </c>
      <c r="D78" s="321" t="s">
        <v>16</v>
      </c>
      <c r="E78" s="321" t="s">
        <v>94</v>
      </c>
      <c r="F78" s="405">
        <v>2055</v>
      </c>
      <c r="G78" s="405">
        <v>2055</v>
      </c>
      <c r="H78" s="405">
        <v>796.92</v>
      </c>
      <c r="I78" s="321" t="s">
        <v>18</v>
      </c>
      <c r="J78" s="321" t="s">
        <v>19</v>
      </c>
      <c r="K78" s="224">
        <f t="shared" si="1"/>
        <v>0.38779562043795618</v>
      </c>
      <c r="N78" s="18"/>
      <c r="O78" s="246"/>
    </row>
    <row r="79" spans="1:15" ht="12.75" customHeight="1">
      <c r="A79" s="321">
        <v>1</v>
      </c>
      <c r="B79" s="321" t="s">
        <v>85</v>
      </c>
      <c r="C79" s="321" t="s">
        <v>86</v>
      </c>
      <c r="D79" s="321" t="s">
        <v>16</v>
      </c>
      <c r="E79" s="321" t="s">
        <v>22</v>
      </c>
      <c r="F79" s="321">
        <v>32207</v>
      </c>
      <c r="G79" s="321">
        <v>3.22</v>
      </c>
      <c r="H79" s="321">
        <v>431.57</v>
      </c>
      <c r="I79" s="321" t="s">
        <v>18</v>
      </c>
      <c r="J79" s="321" t="s">
        <v>23</v>
      </c>
      <c r="K79" s="224">
        <f t="shared" si="1"/>
        <v>1.3399882013226939E-2</v>
      </c>
      <c r="N79" s="18"/>
      <c r="O79" s="246"/>
    </row>
    <row r="80" spans="1:15">
      <c r="A80" s="321">
        <v>223</v>
      </c>
      <c r="B80" s="321" t="s">
        <v>92</v>
      </c>
      <c r="C80" s="321" t="s">
        <v>93</v>
      </c>
      <c r="D80" s="321" t="s">
        <v>16</v>
      </c>
      <c r="E80" s="321" t="s">
        <v>94</v>
      </c>
      <c r="F80" s="321">
        <v>23490</v>
      </c>
      <c r="G80" s="405">
        <v>23490</v>
      </c>
      <c r="H80" s="405">
        <v>9111.77</v>
      </c>
      <c r="I80" s="321" t="s">
        <v>18</v>
      </c>
      <c r="J80" s="321" t="s">
        <v>19</v>
      </c>
      <c r="K80" s="224">
        <f t="shared" si="1"/>
        <v>0.3878999574286931</v>
      </c>
      <c r="N80" s="18"/>
      <c r="O80" s="246"/>
    </row>
    <row r="81" spans="1:15">
      <c r="A81" s="321">
        <v>201</v>
      </c>
      <c r="B81" s="321" t="s">
        <v>95</v>
      </c>
      <c r="C81" s="321" t="s">
        <v>96</v>
      </c>
      <c r="D81" s="321" t="s">
        <v>43</v>
      </c>
      <c r="E81" s="321"/>
      <c r="F81" s="321">
        <v>50.6</v>
      </c>
      <c r="G81" s="321">
        <v>50.6</v>
      </c>
      <c r="H81" s="321">
        <v>3415.5</v>
      </c>
      <c r="I81" s="321" t="s">
        <v>44</v>
      </c>
      <c r="J81" s="321" t="s">
        <v>19</v>
      </c>
      <c r="K81" s="224">
        <f t="shared" si="1"/>
        <v>67.5</v>
      </c>
      <c r="N81" s="18"/>
      <c r="O81" s="246"/>
    </row>
    <row r="82" spans="1:15">
      <c r="A82" s="321">
        <v>1</v>
      </c>
      <c r="B82" s="321" t="s">
        <v>92</v>
      </c>
      <c r="C82" s="321" t="s">
        <v>93</v>
      </c>
      <c r="D82" s="321" t="s">
        <v>16</v>
      </c>
      <c r="E82" s="321" t="s">
        <v>94</v>
      </c>
      <c r="F82" s="321">
        <v>2120</v>
      </c>
      <c r="G82" s="321">
        <v>2120</v>
      </c>
      <c r="H82" s="321">
        <v>742.21</v>
      </c>
      <c r="I82" s="321" t="s">
        <v>18</v>
      </c>
      <c r="J82" s="321" t="s">
        <v>23</v>
      </c>
      <c r="K82" s="224">
        <f t="shared" si="1"/>
        <v>0.35009905660377361</v>
      </c>
      <c r="N82" s="18"/>
      <c r="O82" s="246"/>
    </row>
    <row r="83" spans="1:15">
      <c r="A83" s="321">
        <v>11</v>
      </c>
      <c r="B83" s="321" t="s">
        <v>92</v>
      </c>
      <c r="C83" s="321" t="s">
        <v>93</v>
      </c>
      <c r="D83" s="321" t="s">
        <v>16</v>
      </c>
      <c r="E83" s="321" t="s">
        <v>94</v>
      </c>
      <c r="F83" s="405">
        <v>5989</v>
      </c>
      <c r="G83" s="405">
        <v>5989</v>
      </c>
      <c r="H83" s="405">
        <v>2097.35</v>
      </c>
      <c r="I83" s="321" t="s">
        <v>18</v>
      </c>
      <c r="J83" s="321" t="s">
        <v>23</v>
      </c>
      <c r="K83" s="224">
        <f t="shared" si="1"/>
        <v>0.35020036734012355</v>
      </c>
      <c r="N83" s="18"/>
      <c r="O83" s="246"/>
    </row>
    <row r="84" spans="1:15">
      <c r="A84" s="321">
        <v>11</v>
      </c>
      <c r="B84" s="321">
        <v>5314</v>
      </c>
      <c r="C84" s="321" t="s">
        <v>55</v>
      </c>
      <c r="D84" s="321" t="s">
        <v>28</v>
      </c>
      <c r="E84" s="321" t="s">
        <v>56</v>
      </c>
      <c r="F84" s="321">
        <v>627</v>
      </c>
      <c r="G84" s="405">
        <v>16070.01</v>
      </c>
      <c r="H84" s="405">
        <v>5823.58</v>
      </c>
      <c r="I84" s="321" t="s">
        <v>30</v>
      </c>
      <c r="J84" s="321" t="s">
        <v>23</v>
      </c>
      <c r="K84" s="224">
        <f t="shared" si="1"/>
        <v>9.288006379585326</v>
      </c>
      <c r="N84" s="18"/>
      <c r="O84" s="246"/>
    </row>
    <row r="85" spans="1:15" ht="12.75" customHeight="1">
      <c r="A85" s="321">
        <v>201</v>
      </c>
      <c r="B85" s="321">
        <v>4138</v>
      </c>
      <c r="C85" s="321" t="s">
        <v>2830</v>
      </c>
      <c r="D85" s="321" t="s">
        <v>28</v>
      </c>
      <c r="E85" s="321" t="s">
        <v>32</v>
      </c>
      <c r="F85" s="321">
        <v>120</v>
      </c>
      <c r="G85" s="405">
        <v>1340.4</v>
      </c>
      <c r="H85" s="321">
        <v>506.16</v>
      </c>
      <c r="I85" s="321" t="s">
        <v>30</v>
      </c>
      <c r="J85" s="321" t="s">
        <v>19</v>
      </c>
      <c r="K85" s="224">
        <f t="shared" si="1"/>
        <v>4.218</v>
      </c>
      <c r="N85" s="18"/>
      <c r="O85" s="246"/>
    </row>
    <row r="86" spans="1:15">
      <c r="A86" s="321">
        <v>223</v>
      </c>
      <c r="B86" s="321" t="s">
        <v>470</v>
      </c>
      <c r="C86" s="321" t="s">
        <v>471</v>
      </c>
      <c r="D86" s="321" t="s">
        <v>16</v>
      </c>
      <c r="E86" s="321" t="s">
        <v>22</v>
      </c>
      <c r="F86" s="321">
        <v>40000</v>
      </c>
      <c r="G86" s="405">
        <v>4</v>
      </c>
      <c r="H86" s="405">
        <v>692</v>
      </c>
      <c r="I86" s="321" t="s">
        <v>18</v>
      </c>
      <c r="J86" s="321" t="s">
        <v>19</v>
      </c>
      <c r="K86" s="224">
        <f t="shared" si="1"/>
        <v>1.7299999999999999E-2</v>
      </c>
      <c r="N86" s="18"/>
      <c r="O86" s="246"/>
    </row>
    <row r="87" spans="1:15" ht="12.75" customHeight="1">
      <c r="A87" s="321">
        <v>201</v>
      </c>
      <c r="B87" s="321" t="s">
        <v>97</v>
      </c>
      <c r="C87" s="321" t="s">
        <v>98</v>
      </c>
      <c r="D87" s="321" t="s">
        <v>16</v>
      </c>
      <c r="E87" s="321" t="s">
        <v>22</v>
      </c>
      <c r="F87" s="321">
        <v>11986</v>
      </c>
      <c r="G87" s="321">
        <v>1.2</v>
      </c>
      <c r="H87" s="321">
        <v>160.61000000000001</v>
      </c>
      <c r="I87" s="321" t="s">
        <v>18</v>
      </c>
      <c r="J87" s="321" t="s">
        <v>19</v>
      </c>
      <c r="K87" s="224">
        <f t="shared" si="1"/>
        <v>1.3399799766394127E-2</v>
      </c>
      <c r="N87" s="18"/>
      <c r="O87" s="246"/>
    </row>
    <row r="88" spans="1:15" ht="12.75" customHeight="1">
      <c r="A88" s="321">
        <v>223</v>
      </c>
      <c r="B88" s="321" t="s">
        <v>95</v>
      </c>
      <c r="C88" s="321" t="s">
        <v>96</v>
      </c>
      <c r="D88" s="321" t="s">
        <v>43</v>
      </c>
      <c r="E88" s="321"/>
      <c r="F88" s="321">
        <v>110</v>
      </c>
      <c r="G88" s="405">
        <v>110</v>
      </c>
      <c r="H88" s="405">
        <v>7425</v>
      </c>
      <c r="I88" s="321" t="s">
        <v>44</v>
      </c>
      <c r="J88" s="321" t="s">
        <v>19</v>
      </c>
      <c r="K88" s="224">
        <f t="shared" si="1"/>
        <v>67.5</v>
      </c>
    </row>
    <row r="89" spans="1:15" ht="15">
      <c r="A89" s="321">
        <v>1</v>
      </c>
      <c r="B89" s="321" t="s">
        <v>97</v>
      </c>
      <c r="C89" s="321" t="s">
        <v>98</v>
      </c>
      <c r="D89" s="321" t="s">
        <v>16</v>
      </c>
      <c r="E89" s="321" t="s">
        <v>22</v>
      </c>
      <c r="F89" s="321">
        <v>11896</v>
      </c>
      <c r="G89" s="405">
        <v>1.19</v>
      </c>
      <c r="H89" s="405">
        <v>184.39</v>
      </c>
      <c r="I89" s="321" t="s">
        <v>18</v>
      </c>
      <c r="J89" s="321" t="s">
        <v>23</v>
      </c>
      <c r="K89" s="224">
        <f t="shared" si="1"/>
        <v>1.5500168123739071E-2</v>
      </c>
      <c r="M89" s="215"/>
    </row>
    <row r="90" spans="1:15">
      <c r="A90" s="321">
        <v>211</v>
      </c>
      <c r="B90" s="321">
        <v>4138</v>
      </c>
      <c r="C90" s="321" t="s">
        <v>2830</v>
      </c>
      <c r="D90" s="321" t="s">
        <v>28</v>
      </c>
      <c r="E90" s="321" t="s">
        <v>32</v>
      </c>
      <c r="F90" s="321">
        <v>375</v>
      </c>
      <c r="G90" s="405">
        <v>4188.75</v>
      </c>
      <c r="H90" s="405">
        <v>1581.09</v>
      </c>
      <c r="I90" s="321" t="s">
        <v>30</v>
      </c>
      <c r="J90" s="321" t="s">
        <v>19</v>
      </c>
      <c r="K90" s="224">
        <f t="shared" si="1"/>
        <v>4.21624</v>
      </c>
    </row>
    <row r="91" spans="1:15" ht="12.75" customHeight="1">
      <c r="A91" s="321">
        <v>288</v>
      </c>
      <c r="B91" s="321" t="s">
        <v>92</v>
      </c>
      <c r="C91" s="321" t="s">
        <v>93</v>
      </c>
      <c r="D91" s="321" t="s">
        <v>16</v>
      </c>
      <c r="E91" s="321" t="s">
        <v>94</v>
      </c>
      <c r="F91" s="321">
        <v>0</v>
      </c>
      <c r="G91" s="405">
        <v>0</v>
      </c>
      <c r="H91" s="405">
        <v>0.01</v>
      </c>
      <c r="I91" s="321" t="s">
        <v>18</v>
      </c>
      <c r="J91" s="321" t="s">
        <v>19</v>
      </c>
      <c r="K91" s="224" t="e">
        <f t="shared" si="1"/>
        <v>#DIV/0!</v>
      </c>
    </row>
    <row r="92" spans="1:15" ht="15">
      <c r="A92" s="321">
        <v>11</v>
      </c>
      <c r="B92" s="321">
        <v>9131</v>
      </c>
      <c r="C92" s="321" t="s">
        <v>99</v>
      </c>
      <c r="D92" s="321" t="s">
        <v>28</v>
      </c>
      <c r="E92" s="321" t="s">
        <v>56</v>
      </c>
      <c r="F92" s="321">
        <v>396</v>
      </c>
      <c r="G92" s="405">
        <v>13302.83</v>
      </c>
      <c r="H92" s="405">
        <v>7241.14</v>
      </c>
      <c r="I92" s="321" t="s">
        <v>30</v>
      </c>
      <c r="J92" s="321" t="s">
        <v>23</v>
      </c>
      <c r="K92" s="224">
        <f t="shared" si="1"/>
        <v>18.285707070707073</v>
      </c>
      <c r="M92" s="215"/>
    </row>
    <row r="93" spans="1:15" ht="12.75" customHeight="1">
      <c r="A93" s="321">
        <v>11</v>
      </c>
      <c r="B93" s="321" t="s">
        <v>100</v>
      </c>
      <c r="C93" s="321" t="s">
        <v>101</v>
      </c>
      <c r="D93" s="321" t="s">
        <v>16</v>
      </c>
      <c r="E93" s="321" t="s">
        <v>22</v>
      </c>
      <c r="F93" s="321">
        <v>20000</v>
      </c>
      <c r="G93" s="405">
        <v>2</v>
      </c>
      <c r="H93" s="405">
        <v>268</v>
      </c>
      <c r="I93" s="321" t="s">
        <v>18</v>
      </c>
      <c r="J93" s="321" t="s">
        <v>23</v>
      </c>
      <c r="K93" s="224">
        <f t="shared" si="1"/>
        <v>1.34E-2</v>
      </c>
    </row>
    <row r="94" spans="1:15" ht="12.75" customHeight="1">
      <c r="A94" s="321">
        <v>288</v>
      </c>
      <c r="B94" s="321">
        <v>4138</v>
      </c>
      <c r="C94" s="321" t="s">
        <v>2830</v>
      </c>
      <c r="D94" s="321" t="s">
        <v>28</v>
      </c>
      <c r="E94" s="321" t="s">
        <v>32</v>
      </c>
      <c r="F94" s="321">
        <v>-1</v>
      </c>
      <c r="G94" s="321">
        <v>-11.17</v>
      </c>
      <c r="H94" s="321">
        <v>-4.22</v>
      </c>
      <c r="I94" s="321" t="s">
        <v>30</v>
      </c>
      <c r="J94" s="321" t="s">
        <v>19</v>
      </c>
      <c r="K94" s="224">
        <f t="shared" si="1"/>
        <v>4.22</v>
      </c>
    </row>
    <row r="95" spans="1:15">
      <c r="A95" s="321">
        <v>211</v>
      </c>
      <c r="B95" s="321">
        <v>4138</v>
      </c>
      <c r="C95" s="321" t="s">
        <v>2830</v>
      </c>
      <c r="D95" s="321" t="s">
        <v>16</v>
      </c>
      <c r="E95" s="321" t="s">
        <v>88</v>
      </c>
      <c r="F95" s="321">
        <v>-3</v>
      </c>
      <c r="G95" s="405">
        <v>-2.4500000000000002</v>
      </c>
      <c r="H95" s="405">
        <v>-1.05</v>
      </c>
      <c r="I95" s="321" t="s">
        <v>30</v>
      </c>
      <c r="J95" s="262" t="s">
        <v>19</v>
      </c>
      <c r="K95" s="224">
        <f t="shared" si="1"/>
        <v>0.35000000000000003</v>
      </c>
    </row>
    <row r="96" spans="1:15" ht="12.75" customHeight="1">
      <c r="A96" s="321">
        <v>223</v>
      </c>
      <c r="B96" s="321" t="s">
        <v>2878</v>
      </c>
      <c r="C96" s="321" t="s">
        <v>2879</v>
      </c>
      <c r="D96" s="321" t="s">
        <v>16</v>
      </c>
      <c r="E96" s="321" t="s">
        <v>17</v>
      </c>
      <c r="F96" s="405">
        <v>22000</v>
      </c>
      <c r="G96" s="405">
        <v>22000</v>
      </c>
      <c r="H96" s="405">
        <v>6969.6</v>
      </c>
      <c r="I96" s="321" t="s">
        <v>18</v>
      </c>
      <c r="J96" s="321" t="s">
        <v>2888</v>
      </c>
      <c r="K96" s="224">
        <f t="shared" si="1"/>
        <v>0.31680000000000003</v>
      </c>
    </row>
    <row r="97" spans="1:13" ht="12.75" customHeight="1">
      <c r="A97" s="321">
        <v>11</v>
      </c>
      <c r="B97" s="321">
        <v>4138</v>
      </c>
      <c r="C97" s="321" t="s">
        <v>2830</v>
      </c>
      <c r="D97" s="321" t="s">
        <v>28</v>
      </c>
      <c r="E97" s="321" t="s">
        <v>32</v>
      </c>
      <c r="F97" s="321">
        <v>299</v>
      </c>
      <c r="G97" s="405">
        <v>3339.83</v>
      </c>
      <c r="H97" s="405">
        <v>1174.17</v>
      </c>
      <c r="I97" s="321" t="s">
        <v>30</v>
      </c>
      <c r="J97" s="321" t="s">
        <v>23</v>
      </c>
      <c r="K97" s="224">
        <f t="shared" si="1"/>
        <v>3.9269899665551842</v>
      </c>
    </row>
    <row r="98" spans="1:13" ht="12.75" customHeight="1">
      <c r="A98" s="321">
        <v>201</v>
      </c>
      <c r="B98" s="321" t="s">
        <v>85</v>
      </c>
      <c r="C98" s="321" t="s">
        <v>86</v>
      </c>
      <c r="D98" s="321" t="s">
        <v>16</v>
      </c>
      <c r="E98" s="321" t="s">
        <v>22</v>
      </c>
      <c r="F98" s="321">
        <v>25259</v>
      </c>
      <c r="G98" s="405">
        <v>2.5299999999999998</v>
      </c>
      <c r="H98" s="405">
        <v>338.47</v>
      </c>
      <c r="I98" s="321" t="s">
        <v>18</v>
      </c>
      <c r="J98" s="321" t="s">
        <v>19</v>
      </c>
      <c r="K98" s="224">
        <f t="shared" si="1"/>
        <v>1.3399976246090503E-2</v>
      </c>
    </row>
    <row r="99" spans="1:13">
      <c r="A99" s="321">
        <v>223</v>
      </c>
      <c r="B99" s="321" t="s">
        <v>2842</v>
      </c>
      <c r="C99" s="321" t="s">
        <v>2864</v>
      </c>
      <c r="D99" s="321" t="s">
        <v>16</v>
      </c>
      <c r="E99" s="321" t="s">
        <v>22</v>
      </c>
      <c r="F99" s="405">
        <v>15000</v>
      </c>
      <c r="G99" s="405">
        <v>1.5</v>
      </c>
      <c r="H99" s="405">
        <v>204</v>
      </c>
      <c r="I99" s="321" t="s">
        <v>18</v>
      </c>
      <c r="J99" s="321" t="s">
        <v>19</v>
      </c>
      <c r="K99" s="224">
        <f t="shared" si="1"/>
        <v>1.3599999999999999E-2</v>
      </c>
    </row>
    <row r="100" spans="1:13" ht="12.75" customHeight="1">
      <c r="A100" s="321">
        <v>88</v>
      </c>
      <c r="B100" s="321">
        <v>7506</v>
      </c>
      <c r="C100" s="321" t="s">
        <v>102</v>
      </c>
      <c r="D100" s="321" t="s">
        <v>28</v>
      </c>
      <c r="E100" s="321" t="s">
        <v>29</v>
      </c>
      <c r="F100" s="321">
        <v>0</v>
      </c>
      <c r="G100" s="321">
        <v>0</v>
      </c>
      <c r="H100" s="321">
        <v>0</v>
      </c>
      <c r="I100" s="321" t="s">
        <v>30</v>
      </c>
      <c r="J100" s="321" t="s">
        <v>23</v>
      </c>
      <c r="K100" s="224" t="e">
        <f t="shared" si="1"/>
        <v>#DIV/0!</v>
      </c>
    </row>
    <row r="101" spans="1:13" ht="12.75" customHeight="1">
      <c r="A101" s="321">
        <v>11</v>
      </c>
      <c r="B101" s="321" t="s">
        <v>103</v>
      </c>
      <c r="C101" s="321" t="s">
        <v>104</v>
      </c>
      <c r="D101" s="321" t="s">
        <v>16</v>
      </c>
      <c r="E101" s="321" t="s">
        <v>22</v>
      </c>
      <c r="F101" s="321">
        <v>20000</v>
      </c>
      <c r="G101" s="405">
        <v>2</v>
      </c>
      <c r="H101" s="405">
        <v>268</v>
      </c>
      <c r="I101" s="321" t="s">
        <v>18</v>
      </c>
      <c r="J101" s="321" t="s">
        <v>23</v>
      </c>
      <c r="K101" s="224">
        <f t="shared" si="1"/>
        <v>1.34E-2</v>
      </c>
    </row>
    <row r="102" spans="1:13">
      <c r="A102" s="321">
        <v>11</v>
      </c>
      <c r="B102" s="321" t="s">
        <v>554</v>
      </c>
      <c r="C102" s="321" t="s">
        <v>555</v>
      </c>
      <c r="D102" s="321" t="s">
        <v>16</v>
      </c>
      <c r="E102" s="321" t="s">
        <v>22</v>
      </c>
      <c r="F102" s="405">
        <v>40000</v>
      </c>
      <c r="G102" s="405">
        <v>4</v>
      </c>
      <c r="H102" s="405">
        <v>536</v>
      </c>
      <c r="I102" s="321" t="s">
        <v>18</v>
      </c>
      <c r="J102" s="321" t="s">
        <v>23</v>
      </c>
      <c r="K102" s="224">
        <f t="shared" si="1"/>
        <v>1.34E-2</v>
      </c>
    </row>
    <row r="103" spans="1:13">
      <c r="A103" s="321">
        <v>223</v>
      </c>
      <c r="B103" s="321" t="s">
        <v>2891</v>
      </c>
      <c r="C103" s="321" t="s">
        <v>2892</v>
      </c>
      <c r="D103" s="321" t="s">
        <v>16</v>
      </c>
      <c r="E103" s="321" t="s">
        <v>17</v>
      </c>
      <c r="F103" s="321">
        <v>7425</v>
      </c>
      <c r="G103" s="321">
        <v>7425</v>
      </c>
      <c r="H103" s="321">
        <v>4521.83</v>
      </c>
      <c r="I103" s="321" t="s">
        <v>18</v>
      </c>
      <c r="J103" s="321" t="s">
        <v>19</v>
      </c>
      <c r="K103" s="224">
        <f t="shared" si="1"/>
        <v>0.60900067340067343</v>
      </c>
    </row>
    <row r="104" spans="1:13" ht="12.75" customHeight="1">
      <c r="A104" s="321">
        <v>11</v>
      </c>
      <c r="B104" s="321">
        <v>8225</v>
      </c>
      <c r="C104" s="321" t="s">
        <v>105</v>
      </c>
      <c r="D104" s="321" t="s">
        <v>28</v>
      </c>
      <c r="E104" s="321" t="s">
        <v>56</v>
      </c>
      <c r="F104" s="321">
        <v>331</v>
      </c>
      <c r="G104" s="405">
        <v>4382.4399999999996</v>
      </c>
      <c r="H104" s="405">
        <v>2197.87</v>
      </c>
      <c r="I104" s="321" t="s">
        <v>30</v>
      </c>
      <c r="J104" s="321" t="s">
        <v>23</v>
      </c>
      <c r="K104" s="224">
        <f t="shared" si="1"/>
        <v>6.640090634441087</v>
      </c>
    </row>
    <row r="105" spans="1:13">
      <c r="A105" s="321">
        <v>11</v>
      </c>
      <c r="B105" s="321" t="s">
        <v>106</v>
      </c>
      <c r="C105" s="321" t="s">
        <v>107</v>
      </c>
      <c r="D105" s="321" t="s">
        <v>16</v>
      </c>
      <c r="E105" s="321" t="s">
        <v>22</v>
      </c>
      <c r="F105" s="321">
        <v>20000</v>
      </c>
      <c r="G105" s="321">
        <v>2</v>
      </c>
      <c r="H105" s="321">
        <v>268</v>
      </c>
      <c r="I105" s="321" t="s">
        <v>18</v>
      </c>
      <c r="J105" s="321" t="s">
        <v>23</v>
      </c>
      <c r="K105" s="224">
        <f t="shared" si="1"/>
        <v>1.34E-2</v>
      </c>
    </row>
    <row r="106" spans="1:13">
      <c r="A106" s="321">
        <v>88</v>
      </c>
      <c r="B106" s="321" t="s">
        <v>210</v>
      </c>
      <c r="C106" s="321" t="s">
        <v>211</v>
      </c>
      <c r="D106" s="321" t="s">
        <v>43</v>
      </c>
      <c r="E106" s="321" t="s">
        <v>212</v>
      </c>
      <c r="F106" s="321">
        <v>0</v>
      </c>
      <c r="G106" s="405">
        <v>0</v>
      </c>
      <c r="H106" s="405">
        <v>0</v>
      </c>
      <c r="I106" s="321" t="s">
        <v>44</v>
      </c>
      <c r="J106" s="321" t="s">
        <v>23</v>
      </c>
      <c r="K106" s="224" t="e">
        <f t="shared" si="1"/>
        <v>#DIV/0!</v>
      </c>
    </row>
    <row r="107" spans="1:13" ht="12.75" customHeight="1">
      <c r="A107" s="321">
        <v>223</v>
      </c>
      <c r="B107" s="321" t="s">
        <v>217</v>
      </c>
      <c r="C107" s="321" t="s">
        <v>218</v>
      </c>
      <c r="D107" s="321" t="s">
        <v>43</v>
      </c>
      <c r="E107" s="321"/>
      <c r="F107" s="405">
        <v>66</v>
      </c>
      <c r="G107" s="405">
        <v>66</v>
      </c>
      <c r="H107" s="405">
        <v>2814.98</v>
      </c>
      <c r="I107" s="321" t="s">
        <v>44</v>
      </c>
      <c r="J107" s="321" t="s">
        <v>19</v>
      </c>
      <c r="K107" s="224">
        <f t="shared" si="1"/>
        <v>42.651212121212119</v>
      </c>
    </row>
    <row r="108" spans="1:13" ht="12.75" customHeight="1">
      <c r="A108" s="321">
        <v>211</v>
      </c>
      <c r="B108" s="321">
        <v>7515</v>
      </c>
      <c r="C108" s="321" t="s">
        <v>108</v>
      </c>
      <c r="D108" s="321" t="s">
        <v>28</v>
      </c>
      <c r="E108" s="321" t="s">
        <v>56</v>
      </c>
      <c r="F108" s="321">
        <v>154</v>
      </c>
      <c r="G108" s="321">
        <v>4312</v>
      </c>
      <c r="H108" s="321">
        <v>3091.52</v>
      </c>
      <c r="I108" s="321" t="s">
        <v>30</v>
      </c>
      <c r="J108" s="321" t="s">
        <v>19</v>
      </c>
      <c r="K108" s="224">
        <f t="shared" si="1"/>
        <v>20.074805194805194</v>
      </c>
    </row>
    <row r="109" spans="1:13" ht="12.75" customHeight="1">
      <c r="A109" s="321">
        <v>288</v>
      </c>
      <c r="B109" s="321" t="s">
        <v>325</v>
      </c>
      <c r="C109" s="321" t="s">
        <v>326</v>
      </c>
      <c r="D109" s="321" t="s">
        <v>16</v>
      </c>
      <c r="E109" s="321" t="s">
        <v>22</v>
      </c>
      <c r="F109" s="405">
        <v>-18</v>
      </c>
      <c r="G109" s="405">
        <v>0</v>
      </c>
      <c r="H109" s="405">
        <v>-0.24</v>
      </c>
      <c r="I109" s="321" t="s">
        <v>18</v>
      </c>
      <c r="J109" s="321" t="s">
        <v>19</v>
      </c>
      <c r="K109" s="224">
        <f t="shared" si="1"/>
        <v>1.3333333333333332E-2</v>
      </c>
    </row>
    <row r="110" spans="1:13" ht="12.75" customHeight="1">
      <c r="A110" s="321">
        <v>211</v>
      </c>
      <c r="B110" s="321">
        <v>4513</v>
      </c>
      <c r="C110" s="321" t="s">
        <v>111</v>
      </c>
      <c r="D110" s="321" t="s">
        <v>28</v>
      </c>
      <c r="E110" s="321" t="s">
        <v>56</v>
      </c>
      <c r="F110" s="405">
        <v>234</v>
      </c>
      <c r="G110" s="405">
        <v>6552</v>
      </c>
      <c r="H110" s="405">
        <v>2931.34</v>
      </c>
      <c r="I110" s="321" t="s">
        <v>30</v>
      </c>
      <c r="J110" s="321" t="s">
        <v>19</v>
      </c>
      <c r="K110" s="224">
        <f t="shared" si="1"/>
        <v>12.527094017094019</v>
      </c>
      <c r="L110" s="215"/>
    </row>
    <row r="111" spans="1:13" ht="12.75" customHeight="1">
      <c r="A111" s="321">
        <v>11</v>
      </c>
      <c r="B111" s="321">
        <v>8225</v>
      </c>
      <c r="C111" s="321" t="s">
        <v>105</v>
      </c>
      <c r="D111" s="321" t="s">
        <v>16</v>
      </c>
      <c r="E111" s="321" t="s">
        <v>88</v>
      </c>
      <c r="F111" s="321">
        <v>-1</v>
      </c>
      <c r="G111" s="321">
        <v>-2.2000000000000002</v>
      </c>
      <c r="H111" s="321">
        <v>-1.1100000000000001</v>
      </c>
      <c r="I111" s="321" t="s">
        <v>30</v>
      </c>
      <c r="J111" s="321" t="s">
        <v>23</v>
      </c>
      <c r="K111" s="224">
        <f t="shared" si="1"/>
        <v>1.1100000000000001</v>
      </c>
    </row>
    <row r="112" spans="1:13" ht="15">
      <c r="A112" s="321">
        <v>288</v>
      </c>
      <c r="B112" s="321">
        <v>4516</v>
      </c>
      <c r="C112" s="321" t="s">
        <v>116</v>
      </c>
      <c r="D112" s="321" t="s">
        <v>28</v>
      </c>
      <c r="E112" s="321" t="s">
        <v>56</v>
      </c>
      <c r="F112" s="321">
        <v>-4</v>
      </c>
      <c r="G112" s="405">
        <v>-55</v>
      </c>
      <c r="H112" s="405">
        <v>-41.66</v>
      </c>
      <c r="I112" s="321" t="s">
        <v>30</v>
      </c>
      <c r="J112" s="321" t="s">
        <v>19</v>
      </c>
      <c r="K112" s="224">
        <f t="shared" si="1"/>
        <v>10.414999999999999</v>
      </c>
      <c r="M112" s="215"/>
    </row>
    <row r="113" spans="1:13" ht="15">
      <c r="A113" s="321">
        <v>88</v>
      </c>
      <c r="B113" s="321" t="s">
        <v>258</v>
      </c>
      <c r="C113" s="321" t="s">
        <v>259</v>
      </c>
      <c r="D113" s="321" t="s">
        <v>34</v>
      </c>
      <c r="E113" s="321"/>
      <c r="F113" s="321">
        <v>-100</v>
      </c>
      <c r="G113" s="405">
        <v>-1113</v>
      </c>
      <c r="H113" s="405">
        <v>-1950</v>
      </c>
      <c r="I113" s="321" t="s">
        <v>44</v>
      </c>
      <c r="J113" s="321" t="s">
        <v>23</v>
      </c>
      <c r="K113" s="224">
        <f t="shared" si="1"/>
        <v>19.5</v>
      </c>
      <c r="M113" s="215"/>
    </row>
    <row r="114" spans="1:13" ht="15">
      <c r="A114" s="321">
        <v>11</v>
      </c>
      <c r="B114" s="321" t="s">
        <v>117</v>
      </c>
      <c r="C114" s="321" t="s">
        <v>118</v>
      </c>
      <c r="D114" s="321" t="s">
        <v>16</v>
      </c>
      <c r="E114" s="321" t="s">
        <v>22</v>
      </c>
      <c r="F114" s="321">
        <v>310000</v>
      </c>
      <c r="G114" s="405">
        <v>31</v>
      </c>
      <c r="H114" s="405">
        <v>3782</v>
      </c>
      <c r="I114" s="321" t="s">
        <v>18</v>
      </c>
      <c r="J114" s="321" t="s">
        <v>23</v>
      </c>
      <c r="K114" s="224">
        <f t="shared" si="1"/>
        <v>1.2200000000000001E-2</v>
      </c>
      <c r="L114" s="215"/>
      <c r="M114" s="215"/>
    </row>
    <row r="115" spans="1:13" ht="12.75" customHeight="1">
      <c r="A115" s="321">
        <v>223</v>
      </c>
      <c r="B115" s="321" t="s">
        <v>239</v>
      </c>
      <c r="C115" s="321" t="s">
        <v>240</v>
      </c>
      <c r="D115" s="321" t="s">
        <v>43</v>
      </c>
      <c r="E115" s="321"/>
      <c r="F115" s="321">
        <v>50</v>
      </c>
      <c r="G115" s="405">
        <v>50</v>
      </c>
      <c r="H115" s="405">
        <v>741.12</v>
      </c>
      <c r="I115" s="321" t="s">
        <v>44</v>
      </c>
      <c r="J115" s="321" t="s">
        <v>19</v>
      </c>
      <c r="K115" s="224">
        <f t="shared" si="1"/>
        <v>14.8224</v>
      </c>
    </row>
    <row r="116" spans="1:13">
      <c r="A116" s="321">
        <v>11</v>
      </c>
      <c r="B116" s="321" t="s">
        <v>121</v>
      </c>
      <c r="C116" s="321" t="s">
        <v>122</v>
      </c>
      <c r="D116" s="321" t="s">
        <v>43</v>
      </c>
      <c r="E116" s="321"/>
      <c r="F116" s="321">
        <v>32736</v>
      </c>
      <c r="G116" s="405">
        <v>32736</v>
      </c>
      <c r="H116" s="405">
        <v>19582.68</v>
      </c>
      <c r="I116" s="321" t="s">
        <v>44</v>
      </c>
      <c r="J116" s="321" t="s">
        <v>23</v>
      </c>
      <c r="K116" s="224">
        <f t="shared" si="1"/>
        <v>0.59820014662756604</v>
      </c>
    </row>
    <row r="117" spans="1:13" ht="12.75" customHeight="1">
      <c r="A117" s="321">
        <v>99</v>
      </c>
      <c r="B117" s="321" t="s">
        <v>486</v>
      </c>
      <c r="C117" s="321" t="s">
        <v>487</v>
      </c>
      <c r="D117" s="321" t="s">
        <v>43</v>
      </c>
      <c r="E117" s="321"/>
      <c r="F117" s="405">
        <v>-1416</v>
      </c>
      <c r="G117" s="405">
        <v>-1416</v>
      </c>
      <c r="H117" s="405">
        <v>-1699.2</v>
      </c>
      <c r="I117" s="321" t="s">
        <v>44</v>
      </c>
      <c r="J117" s="321" t="s">
        <v>23</v>
      </c>
      <c r="K117" s="224">
        <f t="shared" si="1"/>
        <v>1.2</v>
      </c>
    </row>
    <row r="118" spans="1:13" ht="12.75" customHeight="1">
      <c r="A118" s="321">
        <v>88</v>
      </c>
      <c r="B118" s="321" t="s">
        <v>135</v>
      </c>
      <c r="C118" s="321" t="s">
        <v>136</v>
      </c>
      <c r="D118" s="321" t="s">
        <v>43</v>
      </c>
      <c r="E118" s="321"/>
      <c r="F118" s="321">
        <v>-7408</v>
      </c>
      <c r="G118" s="321">
        <v>-7408</v>
      </c>
      <c r="H118" s="321">
        <v>-2894.31</v>
      </c>
      <c r="I118" s="321" t="s">
        <v>44</v>
      </c>
      <c r="J118" s="321" t="s">
        <v>23</v>
      </c>
      <c r="K118" s="224">
        <f t="shared" si="1"/>
        <v>0.3907005939524838</v>
      </c>
    </row>
    <row r="119" spans="1:13" ht="12.75" customHeight="1">
      <c r="A119" s="321">
        <v>288</v>
      </c>
      <c r="B119" s="321">
        <v>7515</v>
      </c>
      <c r="C119" s="321" t="s">
        <v>108</v>
      </c>
      <c r="D119" s="321" t="s">
        <v>28</v>
      </c>
      <c r="E119" s="321" t="s">
        <v>56</v>
      </c>
      <c r="F119" s="321">
        <v>0</v>
      </c>
      <c r="G119" s="405">
        <v>0</v>
      </c>
      <c r="H119" s="405">
        <v>-2.81</v>
      </c>
      <c r="I119" s="321" t="s">
        <v>30</v>
      </c>
      <c r="J119" s="321" t="s">
        <v>19</v>
      </c>
      <c r="K119" s="224" t="e">
        <f t="shared" si="1"/>
        <v>#DIV/0!</v>
      </c>
    </row>
    <row r="120" spans="1:13">
      <c r="A120" s="321">
        <v>223</v>
      </c>
      <c r="B120" s="321" t="s">
        <v>640</v>
      </c>
      <c r="C120" s="321" t="s">
        <v>641</v>
      </c>
      <c r="D120" s="321" t="s">
        <v>16</v>
      </c>
      <c r="E120" s="321" t="s">
        <v>22</v>
      </c>
      <c r="F120" s="405">
        <v>40000</v>
      </c>
      <c r="G120" s="405">
        <v>4</v>
      </c>
      <c r="H120" s="405">
        <v>420</v>
      </c>
      <c r="I120" s="321" t="s">
        <v>18</v>
      </c>
      <c r="J120" s="321" t="s">
        <v>59</v>
      </c>
      <c r="K120" s="224">
        <f t="shared" si="1"/>
        <v>1.0500000000000001E-2</v>
      </c>
    </row>
    <row r="121" spans="1:13" ht="15">
      <c r="A121" s="321">
        <v>11</v>
      </c>
      <c r="B121" s="321" t="s">
        <v>125</v>
      </c>
      <c r="C121" s="321" t="s">
        <v>126</v>
      </c>
      <c r="D121" s="321" t="s">
        <v>43</v>
      </c>
      <c r="E121" s="321"/>
      <c r="F121" s="321">
        <v>81200</v>
      </c>
      <c r="G121" s="321">
        <v>81200</v>
      </c>
      <c r="H121" s="321">
        <v>51034.21</v>
      </c>
      <c r="I121" s="321" t="s">
        <v>44</v>
      </c>
      <c r="J121" s="321" t="s">
        <v>23</v>
      </c>
      <c r="K121" s="224">
        <f t="shared" si="1"/>
        <v>0.62850012315270931</v>
      </c>
      <c r="M121" s="215"/>
    </row>
    <row r="122" spans="1:13" ht="12.75" customHeight="1">
      <c r="A122" s="321">
        <v>211</v>
      </c>
      <c r="B122" s="321">
        <v>4593</v>
      </c>
      <c r="C122" s="321" t="s">
        <v>127</v>
      </c>
      <c r="D122" s="321" t="s">
        <v>28</v>
      </c>
      <c r="E122" s="321" t="s">
        <v>56</v>
      </c>
      <c r="F122" s="321">
        <v>3770</v>
      </c>
      <c r="G122" s="321">
        <v>49010</v>
      </c>
      <c r="H122" s="321">
        <v>26363.98</v>
      </c>
      <c r="I122" s="321" t="s">
        <v>30</v>
      </c>
      <c r="J122" s="321" t="s">
        <v>19</v>
      </c>
      <c r="K122" s="224">
        <f t="shared" si="1"/>
        <v>6.9930981432360744</v>
      </c>
    </row>
    <row r="123" spans="1:13" ht="12.75" customHeight="1">
      <c r="A123" s="321">
        <v>88</v>
      </c>
      <c r="B123" s="321">
        <v>2753</v>
      </c>
      <c r="C123" s="321" t="s">
        <v>398</v>
      </c>
      <c r="D123" s="321" t="s">
        <v>28</v>
      </c>
      <c r="E123" s="321" t="s">
        <v>56</v>
      </c>
      <c r="F123" s="405">
        <v>0</v>
      </c>
      <c r="G123" s="405">
        <v>0</v>
      </c>
      <c r="H123" s="405">
        <v>0.01</v>
      </c>
      <c r="I123" s="321" t="s">
        <v>30</v>
      </c>
      <c r="J123" s="321" t="s">
        <v>23</v>
      </c>
      <c r="K123" s="224" t="e">
        <f t="shared" si="1"/>
        <v>#DIV/0!</v>
      </c>
    </row>
    <row r="124" spans="1:13">
      <c r="A124" s="321">
        <v>211</v>
      </c>
      <c r="B124" s="321">
        <v>5002</v>
      </c>
      <c r="C124" s="321" t="s">
        <v>130</v>
      </c>
      <c r="D124" s="321" t="s">
        <v>28</v>
      </c>
      <c r="E124" s="321" t="s">
        <v>29</v>
      </c>
      <c r="F124" s="321">
        <v>576</v>
      </c>
      <c r="G124" s="321">
        <v>20966.400000000001</v>
      </c>
      <c r="H124" s="321">
        <v>5509.21</v>
      </c>
      <c r="I124" s="321" t="s">
        <v>30</v>
      </c>
      <c r="J124" s="321" t="s">
        <v>19</v>
      </c>
      <c r="K124" s="224">
        <f t="shared" si="1"/>
        <v>9.5646006944444437</v>
      </c>
    </row>
    <row r="125" spans="1:13">
      <c r="A125" s="321">
        <v>223</v>
      </c>
      <c r="B125" s="321" t="s">
        <v>517</v>
      </c>
      <c r="C125" s="321" t="s">
        <v>518</v>
      </c>
      <c r="D125" s="321" t="s">
        <v>16</v>
      </c>
      <c r="E125" s="321" t="s">
        <v>22</v>
      </c>
      <c r="F125" s="405">
        <v>40000</v>
      </c>
      <c r="G125" s="405">
        <v>4</v>
      </c>
      <c r="H125" s="405">
        <v>536</v>
      </c>
      <c r="I125" s="321" t="s">
        <v>18</v>
      </c>
      <c r="J125" s="321" t="s">
        <v>19</v>
      </c>
      <c r="K125" s="224">
        <f t="shared" si="1"/>
        <v>1.34E-2</v>
      </c>
    </row>
    <row r="126" spans="1:13">
      <c r="A126" s="321">
        <v>223</v>
      </c>
      <c r="B126" s="321" t="s">
        <v>522</v>
      </c>
      <c r="C126" s="321" t="s">
        <v>523</v>
      </c>
      <c r="D126" s="321" t="s">
        <v>16</v>
      </c>
      <c r="E126" s="321" t="s">
        <v>22</v>
      </c>
      <c r="F126" s="321">
        <v>340000</v>
      </c>
      <c r="G126" s="405">
        <v>34</v>
      </c>
      <c r="H126" s="405">
        <v>2414</v>
      </c>
      <c r="I126" s="321" t="s">
        <v>18</v>
      </c>
      <c r="J126" s="321" t="s">
        <v>19</v>
      </c>
      <c r="K126" s="224">
        <f t="shared" si="1"/>
        <v>7.1000000000000004E-3</v>
      </c>
    </row>
    <row r="127" spans="1:13">
      <c r="A127" s="321">
        <v>201</v>
      </c>
      <c r="B127" s="321" t="s">
        <v>135</v>
      </c>
      <c r="C127" s="321" t="s">
        <v>136</v>
      </c>
      <c r="D127" s="321" t="s">
        <v>43</v>
      </c>
      <c r="E127" s="321"/>
      <c r="F127" s="321">
        <v>21899.82</v>
      </c>
      <c r="G127" s="321">
        <v>21899.83</v>
      </c>
      <c r="H127" s="321">
        <v>8628.5300000000007</v>
      </c>
      <c r="I127" s="321" t="s">
        <v>44</v>
      </c>
      <c r="J127" s="321" t="s">
        <v>19</v>
      </c>
      <c r="K127" s="224">
        <f t="shared" si="1"/>
        <v>0.39400004200947775</v>
      </c>
    </row>
    <row r="128" spans="1:13" ht="12.75" customHeight="1">
      <c r="A128" s="321">
        <v>204</v>
      </c>
      <c r="B128" s="321">
        <v>9823</v>
      </c>
      <c r="C128" s="321" t="s">
        <v>137</v>
      </c>
      <c r="D128" s="321" t="s">
        <v>28</v>
      </c>
      <c r="E128" s="321" t="s">
        <v>56</v>
      </c>
      <c r="F128" s="321">
        <v>1707</v>
      </c>
      <c r="G128" s="405">
        <v>54772.51</v>
      </c>
      <c r="H128" s="405">
        <v>27205.65</v>
      </c>
      <c r="I128" s="321" t="s">
        <v>30</v>
      </c>
      <c r="J128" s="321" t="s">
        <v>19</v>
      </c>
      <c r="K128" s="224">
        <f t="shared" si="1"/>
        <v>15.937697715289984</v>
      </c>
    </row>
    <row r="129" spans="1:13">
      <c r="A129" s="321">
        <v>1</v>
      </c>
      <c r="B129" s="321" t="s">
        <v>138</v>
      </c>
      <c r="C129" s="321" t="s">
        <v>139</v>
      </c>
      <c r="D129" s="321" t="s">
        <v>43</v>
      </c>
      <c r="E129" s="321" t="s">
        <v>140</v>
      </c>
      <c r="F129" s="405">
        <v>21439</v>
      </c>
      <c r="G129" s="405">
        <v>21439</v>
      </c>
      <c r="H129" s="321">
        <v>13277.17</v>
      </c>
      <c r="I129" s="321" t="s">
        <v>44</v>
      </c>
      <c r="J129" s="321" t="s">
        <v>23</v>
      </c>
      <c r="K129" s="224">
        <f t="shared" si="1"/>
        <v>0.61929987406129017</v>
      </c>
    </row>
    <row r="130" spans="1:13" ht="12.75" customHeight="1">
      <c r="A130" s="321">
        <v>201</v>
      </c>
      <c r="B130" s="321" t="s">
        <v>141</v>
      </c>
      <c r="C130" s="321" t="s">
        <v>142</v>
      </c>
      <c r="D130" s="321" t="s">
        <v>34</v>
      </c>
      <c r="E130" s="321" t="s">
        <v>143</v>
      </c>
      <c r="F130" s="405">
        <v>21144.29</v>
      </c>
      <c r="G130" s="405">
        <v>188184.18</v>
      </c>
      <c r="H130" s="405">
        <v>73356.38</v>
      </c>
      <c r="I130" s="321" t="s">
        <v>35</v>
      </c>
      <c r="J130" s="321" t="s">
        <v>19</v>
      </c>
      <c r="K130" s="224">
        <f t="shared" si="1"/>
        <v>3.4693233965292758</v>
      </c>
    </row>
    <row r="131" spans="1:13" ht="12.75" customHeight="1">
      <c r="A131" s="321">
        <v>88</v>
      </c>
      <c r="B131" s="321" t="s">
        <v>144</v>
      </c>
      <c r="C131" s="321" t="s">
        <v>145</v>
      </c>
      <c r="D131" s="321" t="s">
        <v>34</v>
      </c>
      <c r="E131" s="321" t="s">
        <v>146</v>
      </c>
      <c r="F131" s="321">
        <v>-6024</v>
      </c>
      <c r="G131" s="321">
        <v>-53613.599999999999</v>
      </c>
      <c r="H131" s="321">
        <v>-27064.63</v>
      </c>
      <c r="I131" s="321" t="s">
        <v>35</v>
      </c>
      <c r="J131" s="321" t="s">
        <v>23</v>
      </c>
      <c r="K131" s="224">
        <f t="shared" si="1"/>
        <v>4.4928004648074369</v>
      </c>
    </row>
    <row r="132" spans="1:13" ht="15">
      <c r="A132" s="321">
        <v>211</v>
      </c>
      <c r="B132" s="321">
        <v>7415</v>
      </c>
      <c r="C132" s="321" t="s">
        <v>147</v>
      </c>
      <c r="D132" s="321" t="s">
        <v>28</v>
      </c>
      <c r="E132" s="321" t="s">
        <v>56</v>
      </c>
      <c r="F132" s="405">
        <v>180</v>
      </c>
      <c r="G132" s="405">
        <v>5040</v>
      </c>
      <c r="H132" s="321">
        <v>3509.17</v>
      </c>
      <c r="I132" s="321" t="s">
        <v>30</v>
      </c>
      <c r="J132" s="321" t="s">
        <v>19</v>
      </c>
      <c r="K132" s="224">
        <f t="shared" si="1"/>
        <v>19.49538888888889</v>
      </c>
      <c r="M132" s="215"/>
    </row>
    <row r="133" spans="1:13" ht="15">
      <c r="A133" s="321">
        <v>1</v>
      </c>
      <c r="B133" s="321" t="s">
        <v>148</v>
      </c>
      <c r="C133" s="321" t="s">
        <v>149</v>
      </c>
      <c r="D133" s="321" t="s">
        <v>16</v>
      </c>
      <c r="E133" s="321" t="s">
        <v>22</v>
      </c>
      <c r="F133" s="405">
        <v>15000</v>
      </c>
      <c r="G133" s="405">
        <v>1.5</v>
      </c>
      <c r="H133" s="321">
        <v>235.5</v>
      </c>
      <c r="I133" s="321" t="s">
        <v>18</v>
      </c>
      <c r="J133" s="321" t="s">
        <v>23</v>
      </c>
      <c r="K133" s="224">
        <f t="shared" si="1"/>
        <v>1.5699999999999999E-2</v>
      </c>
      <c r="M133" s="215"/>
    </row>
    <row r="134" spans="1:13" ht="12.75" customHeight="1">
      <c r="A134" s="321">
        <v>205</v>
      </c>
      <c r="B134" s="321" t="s">
        <v>150</v>
      </c>
      <c r="C134" s="321" t="s">
        <v>151</v>
      </c>
      <c r="D134" s="321" t="s">
        <v>43</v>
      </c>
      <c r="E134" s="321"/>
      <c r="F134" s="321">
        <v>41252</v>
      </c>
      <c r="G134" s="321">
        <v>41252</v>
      </c>
      <c r="H134" s="321">
        <v>31962.05</v>
      </c>
      <c r="I134" s="321" t="s">
        <v>44</v>
      </c>
      <c r="J134" s="321" t="s">
        <v>19</v>
      </c>
      <c r="K134" s="224">
        <f t="shared" si="1"/>
        <v>0.77480000969649954</v>
      </c>
    </row>
    <row r="135" spans="1:13">
      <c r="A135" s="321">
        <v>288</v>
      </c>
      <c r="B135" s="321">
        <v>1335</v>
      </c>
      <c r="C135" s="321" t="s">
        <v>286</v>
      </c>
      <c r="D135" s="321" t="s">
        <v>28</v>
      </c>
      <c r="E135" s="321" t="s">
        <v>32</v>
      </c>
      <c r="F135" s="321">
        <v>192</v>
      </c>
      <c r="G135" s="321">
        <v>1728</v>
      </c>
      <c r="H135" s="321">
        <v>1187.27</v>
      </c>
      <c r="I135" s="321" t="s">
        <v>30</v>
      </c>
      <c r="J135" s="321" t="s">
        <v>19</v>
      </c>
      <c r="K135" s="224">
        <f t="shared" ref="K135:K198" si="2">H135/F135</f>
        <v>6.1836979166666666</v>
      </c>
    </row>
    <row r="136" spans="1:13" ht="12.75" customHeight="1">
      <c r="A136" s="321">
        <v>88</v>
      </c>
      <c r="B136" s="321" t="s">
        <v>154</v>
      </c>
      <c r="C136" s="321" t="s">
        <v>155</v>
      </c>
      <c r="D136" s="321" t="s">
        <v>16</v>
      </c>
      <c r="E136" s="321" t="s">
        <v>156</v>
      </c>
      <c r="F136" s="321">
        <v>181</v>
      </c>
      <c r="G136" s="321">
        <v>0.02</v>
      </c>
      <c r="H136" s="321">
        <v>30.5</v>
      </c>
      <c r="I136" s="321" t="s">
        <v>18</v>
      </c>
      <c r="J136" s="321" t="s">
        <v>23</v>
      </c>
      <c r="K136" s="224">
        <f t="shared" si="2"/>
        <v>0.16850828729281769</v>
      </c>
    </row>
    <row r="137" spans="1:13" ht="12.75" customHeight="1">
      <c r="A137" s="321">
        <v>11</v>
      </c>
      <c r="B137" s="321" t="s">
        <v>157</v>
      </c>
      <c r="C137" s="321" t="s">
        <v>158</v>
      </c>
      <c r="D137" s="321" t="s">
        <v>16</v>
      </c>
      <c r="E137" s="321" t="s">
        <v>17</v>
      </c>
      <c r="F137" s="321">
        <v>3520</v>
      </c>
      <c r="G137" s="321">
        <v>3520</v>
      </c>
      <c r="H137" s="321">
        <v>1810.69</v>
      </c>
      <c r="I137" s="321" t="s">
        <v>18</v>
      </c>
      <c r="J137" s="321" t="s">
        <v>23</v>
      </c>
      <c r="K137" s="224">
        <f t="shared" si="2"/>
        <v>0.51440056818181823</v>
      </c>
    </row>
    <row r="138" spans="1:13">
      <c r="A138" s="321">
        <v>201</v>
      </c>
      <c r="B138" s="321" t="s">
        <v>159</v>
      </c>
      <c r="C138" s="321" t="s">
        <v>160</v>
      </c>
      <c r="D138" s="321" t="s">
        <v>16</v>
      </c>
      <c r="E138" s="321" t="s">
        <v>22</v>
      </c>
      <c r="F138" s="321">
        <v>27948</v>
      </c>
      <c r="G138" s="321">
        <v>2.79</v>
      </c>
      <c r="H138" s="321">
        <v>374.5</v>
      </c>
      <c r="I138" s="321" t="s">
        <v>18</v>
      </c>
      <c r="J138" s="321" t="s">
        <v>19</v>
      </c>
      <c r="K138" s="224">
        <f t="shared" si="2"/>
        <v>1.3399885501645914E-2</v>
      </c>
    </row>
    <row r="139" spans="1:13" ht="12.75" customHeight="1">
      <c r="A139" s="321">
        <v>201</v>
      </c>
      <c r="B139" s="321" t="s">
        <v>161</v>
      </c>
      <c r="C139" s="321" t="s">
        <v>162</v>
      </c>
      <c r="D139" s="321" t="s">
        <v>16</v>
      </c>
      <c r="E139" s="321" t="s">
        <v>22</v>
      </c>
      <c r="F139" s="321">
        <v>2000</v>
      </c>
      <c r="G139" s="321">
        <v>0.2</v>
      </c>
      <c r="H139" s="321">
        <v>34.6</v>
      </c>
      <c r="I139" s="321" t="s">
        <v>18</v>
      </c>
      <c r="J139" s="321" t="s">
        <v>19</v>
      </c>
      <c r="K139" s="224">
        <f t="shared" si="2"/>
        <v>1.7299999999999999E-2</v>
      </c>
    </row>
    <row r="140" spans="1:13">
      <c r="A140" s="321">
        <v>11</v>
      </c>
      <c r="B140" s="321">
        <v>6955</v>
      </c>
      <c r="C140" s="321" t="s">
        <v>2880</v>
      </c>
      <c r="D140" s="321" t="s">
        <v>187</v>
      </c>
      <c r="E140" s="321" t="s">
        <v>188</v>
      </c>
      <c r="F140" s="321">
        <v>0</v>
      </c>
      <c r="G140" s="405">
        <v>0</v>
      </c>
      <c r="H140" s="405">
        <v>0</v>
      </c>
      <c r="I140" s="321" t="s">
        <v>30</v>
      </c>
      <c r="J140" s="321" t="s">
        <v>23</v>
      </c>
      <c r="K140" s="224" t="e">
        <f t="shared" si="2"/>
        <v>#DIV/0!</v>
      </c>
    </row>
    <row r="141" spans="1:13" ht="12.75" customHeight="1">
      <c r="A141" s="321">
        <v>288</v>
      </c>
      <c r="B141" s="321">
        <v>8554</v>
      </c>
      <c r="C141" s="321" t="s">
        <v>292</v>
      </c>
      <c r="D141" s="321" t="s">
        <v>28</v>
      </c>
      <c r="E141" s="321" t="s">
        <v>56</v>
      </c>
      <c r="F141" s="321">
        <v>0</v>
      </c>
      <c r="G141" s="321">
        <v>0</v>
      </c>
      <c r="H141" s="321">
        <v>6.37</v>
      </c>
      <c r="I141" s="321" t="s">
        <v>30</v>
      </c>
      <c r="J141" s="321" t="s">
        <v>19</v>
      </c>
      <c r="K141" s="224" t="e">
        <f t="shared" si="2"/>
        <v>#DIV/0!</v>
      </c>
    </row>
    <row r="142" spans="1:13" ht="12.75" customHeight="1">
      <c r="A142" s="321">
        <v>288</v>
      </c>
      <c r="B142" s="321">
        <v>7415</v>
      </c>
      <c r="C142" s="321" t="s">
        <v>147</v>
      </c>
      <c r="D142" s="321" t="s">
        <v>28</v>
      </c>
      <c r="E142" s="321" t="s">
        <v>56</v>
      </c>
      <c r="F142" s="321">
        <v>0</v>
      </c>
      <c r="G142" s="321">
        <v>0</v>
      </c>
      <c r="H142" s="321">
        <v>0</v>
      </c>
      <c r="I142" s="321" t="s">
        <v>30</v>
      </c>
      <c r="J142" s="321" t="s">
        <v>19</v>
      </c>
      <c r="K142" s="224" t="e">
        <f t="shared" si="2"/>
        <v>#DIV/0!</v>
      </c>
    </row>
    <row r="143" spans="1:13" ht="12.75" customHeight="1">
      <c r="A143" s="321">
        <v>204</v>
      </c>
      <c r="B143" s="321">
        <v>1701</v>
      </c>
      <c r="C143" s="321" t="s">
        <v>2911</v>
      </c>
      <c r="D143" s="321" t="s">
        <v>28</v>
      </c>
      <c r="E143" s="321" t="s">
        <v>56</v>
      </c>
      <c r="F143" s="321">
        <v>3395</v>
      </c>
      <c r="G143" s="405">
        <v>51875.6</v>
      </c>
      <c r="H143" s="405">
        <v>63392.800000000003</v>
      </c>
      <c r="I143" s="321" t="s">
        <v>30</v>
      </c>
      <c r="J143" s="321" t="s">
        <v>19</v>
      </c>
      <c r="K143" s="224">
        <f t="shared" si="2"/>
        <v>18.67240058910162</v>
      </c>
    </row>
    <row r="144" spans="1:13">
      <c r="A144" s="321">
        <v>11</v>
      </c>
      <c r="B144" s="321">
        <v>4591</v>
      </c>
      <c r="C144" s="321" t="s">
        <v>165</v>
      </c>
      <c r="D144" s="321" t="s">
        <v>28</v>
      </c>
      <c r="E144" s="321" t="s">
        <v>29</v>
      </c>
      <c r="F144" s="321">
        <v>1440</v>
      </c>
      <c r="G144" s="321">
        <v>52416</v>
      </c>
      <c r="H144" s="321">
        <v>22009.94</v>
      </c>
      <c r="I144" s="321" t="s">
        <v>30</v>
      </c>
      <c r="J144" s="321" t="s">
        <v>23</v>
      </c>
      <c r="K144" s="224">
        <f t="shared" si="2"/>
        <v>15.284680555555555</v>
      </c>
    </row>
    <row r="145" spans="1:11">
      <c r="A145" s="321">
        <v>1</v>
      </c>
      <c r="B145" s="321" t="s">
        <v>154</v>
      </c>
      <c r="C145" s="321" t="s">
        <v>155</v>
      </c>
      <c r="D145" s="321" t="s">
        <v>16</v>
      </c>
      <c r="E145" s="321" t="s">
        <v>156</v>
      </c>
      <c r="F145" s="321">
        <v>15718</v>
      </c>
      <c r="G145" s="321">
        <v>1.57</v>
      </c>
      <c r="H145" s="321">
        <v>2648.48</v>
      </c>
      <c r="I145" s="321" t="s">
        <v>18</v>
      </c>
      <c r="J145" s="321" t="s">
        <v>23</v>
      </c>
      <c r="K145" s="224">
        <f t="shared" si="2"/>
        <v>0.16849980913602239</v>
      </c>
    </row>
    <row r="146" spans="1:11" ht="12.75" customHeight="1">
      <c r="A146" s="321">
        <v>11</v>
      </c>
      <c r="B146" s="321" t="s">
        <v>166</v>
      </c>
      <c r="C146" s="321" t="s">
        <v>167</v>
      </c>
      <c r="D146" s="321" t="s">
        <v>34</v>
      </c>
      <c r="E146" s="321"/>
      <c r="F146" s="321">
        <v>32360</v>
      </c>
      <c r="G146" s="405">
        <v>288004</v>
      </c>
      <c r="H146" s="405">
        <v>128106.77</v>
      </c>
      <c r="I146" s="321" t="s">
        <v>35</v>
      </c>
      <c r="J146" s="321" t="s">
        <v>23</v>
      </c>
      <c r="K146" s="224">
        <f t="shared" si="2"/>
        <v>3.9588000618046975</v>
      </c>
    </row>
    <row r="147" spans="1:11" ht="12.75" customHeight="1">
      <c r="A147" s="321">
        <v>201</v>
      </c>
      <c r="B147" s="321" t="s">
        <v>168</v>
      </c>
      <c r="C147" s="321" t="s">
        <v>169</v>
      </c>
      <c r="D147" s="321" t="s">
        <v>16</v>
      </c>
      <c r="E147" s="321"/>
      <c r="F147" s="321">
        <v>45789</v>
      </c>
      <c r="G147" s="405">
        <v>4578.8999999999996</v>
      </c>
      <c r="H147" s="321">
        <v>4111.8599999999997</v>
      </c>
      <c r="I147" s="321" t="s">
        <v>18</v>
      </c>
      <c r="J147" s="321" t="s">
        <v>19</v>
      </c>
      <c r="K147" s="224">
        <f t="shared" si="2"/>
        <v>8.9800170346589783E-2</v>
      </c>
    </row>
    <row r="148" spans="1:11">
      <c r="A148" s="321">
        <v>1</v>
      </c>
      <c r="B148" s="321" t="s">
        <v>2820</v>
      </c>
      <c r="C148" s="321" t="s">
        <v>2821</v>
      </c>
      <c r="D148" s="321" t="s">
        <v>34</v>
      </c>
      <c r="E148" s="321"/>
      <c r="F148" s="405">
        <v>315</v>
      </c>
      <c r="G148" s="405">
        <v>2803.5</v>
      </c>
      <c r="H148" s="405">
        <v>1609.43</v>
      </c>
      <c r="I148" s="321" t="s">
        <v>35</v>
      </c>
      <c r="J148" s="321" t="s">
        <v>23</v>
      </c>
      <c r="K148" s="224">
        <f t="shared" si="2"/>
        <v>5.1093015873015872</v>
      </c>
    </row>
    <row r="149" spans="1:11">
      <c r="A149" s="321">
        <v>1</v>
      </c>
      <c r="B149" s="321" t="s">
        <v>170</v>
      </c>
      <c r="C149" s="321" t="s">
        <v>2751</v>
      </c>
      <c r="D149" s="321" t="s">
        <v>43</v>
      </c>
      <c r="E149" s="321"/>
      <c r="F149" s="405">
        <v>9218</v>
      </c>
      <c r="G149" s="405">
        <v>9218</v>
      </c>
      <c r="H149" s="405">
        <v>5352.89</v>
      </c>
      <c r="I149" s="321" t="s">
        <v>44</v>
      </c>
      <c r="J149" s="321" t="s">
        <v>23</v>
      </c>
      <c r="K149" s="224">
        <f t="shared" si="2"/>
        <v>0.58069971794315478</v>
      </c>
    </row>
    <row r="150" spans="1:11">
      <c r="A150" s="321">
        <v>201</v>
      </c>
      <c r="B150" s="321" t="s">
        <v>170</v>
      </c>
      <c r="C150" s="321" t="s">
        <v>2751</v>
      </c>
      <c r="D150" s="321" t="s">
        <v>43</v>
      </c>
      <c r="E150" s="321"/>
      <c r="F150" s="321">
        <v>47883.6</v>
      </c>
      <c r="G150" s="405">
        <v>47883.6</v>
      </c>
      <c r="H150" s="405">
        <v>29908.11</v>
      </c>
      <c r="I150" s="321" t="s">
        <v>44</v>
      </c>
      <c r="J150" s="321" t="s">
        <v>19</v>
      </c>
      <c r="K150" s="224">
        <f t="shared" si="2"/>
        <v>0.62460028068065065</v>
      </c>
    </row>
    <row r="151" spans="1:11" ht="12.75" customHeight="1">
      <c r="A151" s="321">
        <v>201</v>
      </c>
      <c r="B151" s="321">
        <v>9131</v>
      </c>
      <c r="C151" s="321" t="s">
        <v>99</v>
      </c>
      <c r="D151" s="321" t="s">
        <v>28</v>
      </c>
      <c r="E151" s="321" t="s">
        <v>56</v>
      </c>
      <c r="F151" s="321">
        <v>1200</v>
      </c>
      <c r="G151" s="405">
        <v>40311.599999999999</v>
      </c>
      <c r="H151" s="405">
        <v>21867.599999999999</v>
      </c>
      <c r="I151" s="321" t="s">
        <v>30</v>
      </c>
      <c r="J151" s="321" t="s">
        <v>19</v>
      </c>
      <c r="K151" s="224">
        <f t="shared" si="2"/>
        <v>18.222999999999999</v>
      </c>
    </row>
    <row r="152" spans="1:11" ht="12.75" customHeight="1">
      <c r="A152" s="321">
        <v>204</v>
      </c>
      <c r="B152" s="321">
        <v>7542</v>
      </c>
      <c r="C152" s="321" t="s">
        <v>172</v>
      </c>
      <c r="D152" s="321" t="s">
        <v>28</v>
      </c>
      <c r="E152" s="321" t="s">
        <v>56</v>
      </c>
      <c r="F152" s="321">
        <v>1953</v>
      </c>
      <c r="G152" s="321">
        <v>50778</v>
      </c>
      <c r="H152" s="321">
        <v>39443.370000000003</v>
      </c>
      <c r="I152" s="321" t="s">
        <v>30</v>
      </c>
      <c r="J152" s="321" t="s">
        <v>19</v>
      </c>
      <c r="K152" s="224">
        <f t="shared" si="2"/>
        <v>20.196298003072197</v>
      </c>
    </row>
    <row r="153" spans="1:11">
      <c r="A153" s="321">
        <v>201</v>
      </c>
      <c r="B153" s="321" t="s">
        <v>173</v>
      </c>
      <c r="C153" s="321" t="s">
        <v>174</v>
      </c>
      <c r="D153" s="321" t="s">
        <v>34</v>
      </c>
      <c r="E153" s="321"/>
      <c r="F153" s="321">
        <v>3779</v>
      </c>
      <c r="G153" s="405">
        <v>33633.1</v>
      </c>
      <c r="H153" s="405">
        <v>13291.88</v>
      </c>
      <c r="I153" s="321" t="s">
        <v>35</v>
      </c>
      <c r="J153" s="321" t="s">
        <v>19</v>
      </c>
      <c r="K153" s="224">
        <f t="shared" si="2"/>
        <v>3.5173008732468904</v>
      </c>
    </row>
    <row r="154" spans="1:11" ht="12.75" customHeight="1">
      <c r="A154" s="321">
        <v>201</v>
      </c>
      <c r="B154" s="321" t="s">
        <v>148</v>
      </c>
      <c r="C154" s="321" t="s">
        <v>149</v>
      </c>
      <c r="D154" s="321" t="s">
        <v>16</v>
      </c>
      <c r="E154" s="321" t="s">
        <v>22</v>
      </c>
      <c r="F154" s="321">
        <v>6622</v>
      </c>
      <c r="G154" s="405">
        <v>0.66</v>
      </c>
      <c r="H154" s="405">
        <v>101.32</v>
      </c>
      <c r="I154" s="321" t="s">
        <v>18</v>
      </c>
      <c r="J154" s="321" t="s">
        <v>19</v>
      </c>
      <c r="K154" s="224">
        <f t="shared" si="2"/>
        <v>1.5300513440048322E-2</v>
      </c>
    </row>
    <row r="155" spans="1:11">
      <c r="A155" s="321">
        <v>11</v>
      </c>
      <c r="B155" s="321" t="s">
        <v>486</v>
      </c>
      <c r="C155" s="321" t="s">
        <v>487</v>
      </c>
      <c r="D155" s="321" t="s">
        <v>43</v>
      </c>
      <c r="E155" s="321"/>
      <c r="F155" s="321">
        <v>1888</v>
      </c>
      <c r="G155" s="321">
        <v>1888</v>
      </c>
      <c r="H155" s="321">
        <v>2265.6</v>
      </c>
      <c r="I155" s="321" t="s">
        <v>44</v>
      </c>
      <c r="J155" s="321" t="s">
        <v>23</v>
      </c>
      <c r="K155" s="224">
        <f t="shared" si="2"/>
        <v>1.2</v>
      </c>
    </row>
    <row r="156" spans="1:11">
      <c r="A156" s="321">
        <v>201</v>
      </c>
      <c r="B156" s="321" t="s">
        <v>154</v>
      </c>
      <c r="C156" s="321" t="s">
        <v>155</v>
      </c>
      <c r="D156" s="321" t="s">
        <v>16</v>
      </c>
      <c r="E156" s="321" t="s">
        <v>156</v>
      </c>
      <c r="F156" s="321">
        <v>126300</v>
      </c>
      <c r="G156" s="321">
        <v>12.63</v>
      </c>
      <c r="H156" s="321">
        <v>21281.55</v>
      </c>
      <c r="I156" s="321" t="s">
        <v>18</v>
      </c>
      <c r="J156" s="321" t="s">
        <v>19</v>
      </c>
      <c r="K156" s="224">
        <f t="shared" si="2"/>
        <v>0.16849999999999998</v>
      </c>
    </row>
    <row r="157" spans="1:11" ht="12.75" customHeight="1">
      <c r="A157" s="321">
        <v>288</v>
      </c>
      <c r="B157" s="321" t="s">
        <v>255</v>
      </c>
      <c r="C157" s="321" t="s">
        <v>256</v>
      </c>
      <c r="D157" s="321" t="s">
        <v>16</v>
      </c>
      <c r="E157" s="321" t="s">
        <v>257</v>
      </c>
      <c r="F157" s="321">
        <v>-2</v>
      </c>
      <c r="G157" s="321">
        <v>-1</v>
      </c>
      <c r="H157" s="321">
        <v>-99.58</v>
      </c>
      <c r="I157" s="321" t="s">
        <v>18</v>
      </c>
      <c r="J157" s="321" t="s">
        <v>19</v>
      </c>
      <c r="K157" s="224">
        <f t="shared" si="2"/>
        <v>49.79</v>
      </c>
    </row>
    <row r="158" spans="1:11">
      <c r="A158" s="321">
        <v>201</v>
      </c>
      <c r="B158" s="321" t="s">
        <v>2869</v>
      </c>
      <c r="C158" s="321" t="s">
        <v>2870</v>
      </c>
      <c r="D158" s="321" t="s">
        <v>43</v>
      </c>
      <c r="E158" s="321" t="s">
        <v>2871</v>
      </c>
      <c r="F158" s="321">
        <v>481</v>
      </c>
      <c r="G158" s="405">
        <v>481</v>
      </c>
      <c r="H158" s="405">
        <v>252.53</v>
      </c>
      <c r="I158" s="321" t="s">
        <v>44</v>
      </c>
      <c r="J158" s="321" t="s">
        <v>19</v>
      </c>
      <c r="K158" s="224">
        <f t="shared" si="2"/>
        <v>0.52501039501039504</v>
      </c>
    </row>
    <row r="159" spans="1:11" ht="12.75" customHeight="1">
      <c r="A159" s="321">
        <v>201</v>
      </c>
      <c r="B159" s="321" t="s">
        <v>2831</v>
      </c>
      <c r="C159" s="321" t="s">
        <v>2832</v>
      </c>
      <c r="D159" s="321" t="s">
        <v>16</v>
      </c>
      <c r="E159" s="321" t="s">
        <v>2833</v>
      </c>
      <c r="F159" s="405">
        <v>1859</v>
      </c>
      <c r="G159" s="405">
        <v>1859</v>
      </c>
      <c r="H159" s="405">
        <v>661.62</v>
      </c>
      <c r="I159" s="321" t="s">
        <v>18</v>
      </c>
      <c r="J159" s="321" t="s">
        <v>19</v>
      </c>
      <c r="K159" s="224">
        <f t="shared" si="2"/>
        <v>0.35590102205486823</v>
      </c>
    </row>
    <row r="160" spans="1:11" ht="12.75" customHeight="1">
      <c r="A160" s="321">
        <v>204</v>
      </c>
      <c r="B160" s="321">
        <v>9820</v>
      </c>
      <c r="C160" s="321" t="s">
        <v>179</v>
      </c>
      <c r="D160" s="321" t="s">
        <v>28</v>
      </c>
      <c r="E160" s="321" t="s">
        <v>56</v>
      </c>
      <c r="F160" s="405">
        <v>1592</v>
      </c>
      <c r="G160" s="405">
        <v>50944</v>
      </c>
      <c r="H160" s="405">
        <v>21878.54</v>
      </c>
      <c r="I160" s="321" t="s">
        <v>30</v>
      </c>
      <c r="J160" s="321" t="s">
        <v>19</v>
      </c>
      <c r="K160" s="224">
        <f t="shared" si="2"/>
        <v>13.742801507537688</v>
      </c>
    </row>
    <row r="161" spans="1:11" ht="12.75" customHeight="1">
      <c r="A161" s="321">
        <v>201</v>
      </c>
      <c r="B161" s="321" t="s">
        <v>180</v>
      </c>
      <c r="C161" s="321" t="s">
        <v>181</v>
      </c>
      <c r="D161" s="321" t="s">
        <v>16</v>
      </c>
      <c r="E161" s="321" t="s">
        <v>22</v>
      </c>
      <c r="F161" s="321">
        <v>8947</v>
      </c>
      <c r="G161" s="405">
        <v>0.89</v>
      </c>
      <c r="H161" s="405">
        <v>144.94</v>
      </c>
      <c r="I161" s="321" t="s">
        <v>18</v>
      </c>
      <c r="J161" s="321" t="s">
        <v>19</v>
      </c>
      <c r="K161" s="224">
        <f t="shared" si="2"/>
        <v>1.6199843522968594E-2</v>
      </c>
    </row>
    <row r="162" spans="1:11" ht="12.75" customHeight="1">
      <c r="A162" s="321">
        <v>205</v>
      </c>
      <c r="B162" s="321" t="s">
        <v>182</v>
      </c>
      <c r="C162" s="321" t="s">
        <v>183</v>
      </c>
      <c r="D162" s="321" t="s">
        <v>34</v>
      </c>
      <c r="E162" s="321"/>
      <c r="F162" s="321">
        <v>1200</v>
      </c>
      <c r="G162" s="321">
        <v>9600</v>
      </c>
      <c r="H162" s="321">
        <v>12367.08</v>
      </c>
      <c r="I162" s="321" t="s">
        <v>44</v>
      </c>
      <c r="J162" s="321" t="s">
        <v>19</v>
      </c>
      <c r="K162" s="224">
        <f t="shared" si="2"/>
        <v>10.305899999999999</v>
      </c>
    </row>
    <row r="163" spans="1:11" ht="12.75" customHeight="1">
      <c r="A163" s="321">
        <v>11</v>
      </c>
      <c r="B163" s="321" t="s">
        <v>184</v>
      </c>
      <c r="C163" s="321" t="s">
        <v>185</v>
      </c>
      <c r="D163" s="321" t="s">
        <v>16</v>
      </c>
      <c r="E163" s="321" t="s">
        <v>22</v>
      </c>
      <c r="F163" s="321">
        <v>20000</v>
      </c>
      <c r="G163" s="405">
        <v>2</v>
      </c>
      <c r="H163" s="405">
        <v>268</v>
      </c>
      <c r="I163" s="321" t="s">
        <v>18</v>
      </c>
      <c r="J163" s="321" t="s">
        <v>23</v>
      </c>
      <c r="K163" s="224">
        <f t="shared" si="2"/>
        <v>1.34E-2</v>
      </c>
    </row>
    <row r="164" spans="1:11" ht="12.75" customHeight="1">
      <c r="A164" s="321">
        <v>201</v>
      </c>
      <c r="B164" s="321" t="s">
        <v>189</v>
      </c>
      <c r="C164" s="321" t="s">
        <v>190</v>
      </c>
      <c r="D164" s="321" t="s">
        <v>43</v>
      </c>
      <c r="E164" s="321"/>
      <c r="F164" s="321">
        <v>53</v>
      </c>
      <c r="G164" s="405">
        <v>53</v>
      </c>
      <c r="H164" s="405">
        <v>1806.39</v>
      </c>
      <c r="I164" s="321" t="s">
        <v>44</v>
      </c>
      <c r="J164" s="321" t="s">
        <v>19</v>
      </c>
      <c r="K164" s="224">
        <f t="shared" si="2"/>
        <v>34.082830188679246</v>
      </c>
    </row>
    <row r="165" spans="1:11">
      <c r="A165" s="321">
        <v>204</v>
      </c>
      <c r="B165" s="321" t="s">
        <v>128</v>
      </c>
      <c r="C165" s="321" t="s">
        <v>129</v>
      </c>
      <c r="D165" s="321" t="s">
        <v>34</v>
      </c>
      <c r="E165" s="321"/>
      <c r="F165" s="321">
        <v>1025</v>
      </c>
      <c r="G165" s="405">
        <v>9390.9500000000007</v>
      </c>
      <c r="H165" s="321">
        <v>5128.08</v>
      </c>
      <c r="I165" s="321" t="s">
        <v>35</v>
      </c>
      <c r="J165" s="321" t="s">
        <v>19</v>
      </c>
      <c r="K165" s="224">
        <f t="shared" si="2"/>
        <v>5.0030048780487801</v>
      </c>
    </row>
    <row r="166" spans="1:11">
      <c r="A166" s="321">
        <v>11</v>
      </c>
      <c r="B166" s="321" t="s">
        <v>138</v>
      </c>
      <c r="C166" s="321" t="s">
        <v>139</v>
      </c>
      <c r="D166" s="321" t="s">
        <v>43</v>
      </c>
      <c r="E166" s="321" t="s">
        <v>140</v>
      </c>
      <c r="F166" s="321">
        <v>193396.4</v>
      </c>
      <c r="G166" s="405">
        <v>193396.4</v>
      </c>
      <c r="H166" s="405">
        <v>119751.05</v>
      </c>
      <c r="I166" s="321" t="s">
        <v>44</v>
      </c>
      <c r="J166" s="321" t="s">
        <v>23</v>
      </c>
      <c r="K166" s="224">
        <f t="shared" si="2"/>
        <v>0.61919999544976023</v>
      </c>
    </row>
    <row r="167" spans="1:11" ht="12.75" customHeight="1">
      <c r="A167" s="321">
        <v>1</v>
      </c>
      <c r="B167" s="321" t="s">
        <v>191</v>
      </c>
      <c r="C167" s="321" t="s">
        <v>192</v>
      </c>
      <c r="D167" s="321" t="s">
        <v>43</v>
      </c>
      <c r="E167" s="321"/>
      <c r="F167" s="321">
        <v>39</v>
      </c>
      <c r="G167" s="405">
        <v>39</v>
      </c>
      <c r="H167" s="321">
        <v>671.06</v>
      </c>
      <c r="I167" s="321" t="s">
        <v>44</v>
      </c>
      <c r="J167" s="321" t="s">
        <v>23</v>
      </c>
      <c r="K167" s="224">
        <f t="shared" si="2"/>
        <v>17.206666666666667</v>
      </c>
    </row>
    <row r="168" spans="1:11" ht="12.75" customHeight="1">
      <c r="A168" s="321">
        <v>201</v>
      </c>
      <c r="B168" s="321">
        <v>5806</v>
      </c>
      <c r="C168" s="321" t="s">
        <v>262</v>
      </c>
      <c r="D168" s="321" t="s">
        <v>28</v>
      </c>
      <c r="E168" s="321" t="s">
        <v>29</v>
      </c>
      <c r="F168" s="321">
        <v>7318</v>
      </c>
      <c r="G168" s="405">
        <v>266375.2</v>
      </c>
      <c r="H168" s="405">
        <v>107042.58</v>
      </c>
      <c r="I168" s="321" t="s">
        <v>30</v>
      </c>
      <c r="J168" s="321" t="s">
        <v>19</v>
      </c>
      <c r="K168" s="224">
        <f t="shared" si="2"/>
        <v>14.6272998086909</v>
      </c>
    </row>
    <row r="169" spans="1:11" ht="12.75" customHeight="1">
      <c r="A169" s="321">
        <v>204</v>
      </c>
      <c r="B169" s="321">
        <v>4225</v>
      </c>
      <c r="C169" s="321" t="s">
        <v>193</v>
      </c>
      <c r="D169" s="321" t="s">
        <v>28</v>
      </c>
      <c r="E169" s="321" t="s">
        <v>56</v>
      </c>
      <c r="F169" s="321">
        <v>1339</v>
      </c>
      <c r="G169" s="321">
        <v>17507.43</v>
      </c>
      <c r="H169" s="321">
        <v>9064.36</v>
      </c>
      <c r="I169" s="321" t="s">
        <v>30</v>
      </c>
      <c r="J169" s="321" t="s">
        <v>19</v>
      </c>
      <c r="K169" s="224">
        <f t="shared" si="2"/>
        <v>6.769499626587006</v>
      </c>
    </row>
    <row r="170" spans="1:11" ht="12.75" customHeight="1">
      <c r="A170" s="321">
        <v>11</v>
      </c>
      <c r="B170" s="321">
        <v>7591</v>
      </c>
      <c r="C170" s="321" t="s">
        <v>235</v>
      </c>
      <c r="D170" s="321" t="s">
        <v>16</v>
      </c>
      <c r="E170" s="321" t="s">
        <v>88</v>
      </c>
      <c r="F170" s="321">
        <v>-3</v>
      </c>
      <c r="G170" s="321">
        <v>-27.3</v>
      </c>
      <c r="H170" s="321">
        <v>-18.22</v>
      </c>
      <c r="I170" s="321" t="s">
        <v>30</v>
      </c>
      <c r="J170" s="321" t="s">
        <v>23</v>
      </c>
      <c r="K170" s="224">
        <f t="shared" si="2"/>
        <v>6.0733333333333333</v>
      </c>
    </row>
    <row r="171" spans="1:11" ht="12.75" customHeight="1">
      <c r="A171" s="321">
        <v>11</v>
      </c>
      <c r="B171" s="321" t="s">
        <v>24</v>
      </c>
      <c r="C171" s="321" t="s">
        <v>25</v>
      </c>
      <c r="D171" s="321" t="s">
        <v>16</v>
      </c>
      <c r="E171" s="321" t="s">
        <v>26</v>
      </c>
      <c r="F171" s="321">
        <v>225000</v>
      </c>
      <c r="G171" s="405">
        <v>225</v>
      </c>
      <c r="H171" s="321">
        <v>5310</v>
      </c>
      <c r="I171" s="321" t="s">
        <v>18</v>
      </c>
      <c r="J171" s="321" t="s">
        <v>23</v>
      </c>
      <c r="K171" s="224">
        <f t="shared" si="2"/>
        <v>2.3599999999999999E-2</v>
      </c>
    </row>
    <row r="172" spans="1:11">
      <c r="A172" s="321">
        <v>201</v>
      </c>
      <c r="B172" s="321" t="s">
        <v>138</v>
      </c>
      <c r="C172" s="321" t="s">
        <v>139</v>
      </c>
      <c r="D172" s="321" t="s">
        <v>43</v>
      </c>
      <c r="E172" s="321" t="s">
        <v>140</v>
      </c>
      <c r="F172" s="321">
        <v>156978.78</v>
      </c>
      <c r="G172" s="321">
        <v>156978.78</v>
      </c>
      <c r="H172" s="321">
        <v>90984.98</v>
      </c>
      <c r="I172" s="321" t="s">
        <v>44</v>
      </c>
      <c r="J172" s="321" t="s">
        <v>19</v>
      </c>
      <c r="K172" s="224">
        <f t="shared" si="2"/>
        <v>0.57960050396620488</v>
      </c>
    </row>
    <row r="173" spans="1:11">
      <c r="A173" s="321">
        <v>205</v>
      </c>
      <c r="B173" s="321" t="s">
        <v>173</v>
      </c>
      <c r="C173" s="321" t="s">
        <v>174</v>
      </c>
      <c r="D173" s="321" t="s">
        <v>34</v>
      </c>
      <c r="E173" s="321"/>
      <c r="F173" s="321">
        <v>92483.44</v>
      </c>
      <c r="G173" s="321">
        <v>823102.62</v>
      </c>
      <c r="H173" s="321">
        <v>319816.98</v>
      </c>
      <c r="I173" s="321" t="s">
        <v>35</v>
      </c>
      <c r="J173" s="321" t="s">
        <v>19</v>
      </c>
      <c r="K173" s="224">
        <f t="shared" si="2"/>
        <v>3.4580999582195471</v>
      </c>
    </row>
    <row r="174" spans="1:11" ht="12.75" customHeight="1">
      <c r="A174" s="321">
        <v>1</v>
      </c>
      <c r="B174" s="321">
        <v>4800</v>
      </c>
      <c r="C174" s="321" t="s">
        <v>194</v>
      </c>
      <c r="D174" s="321" t="s">
        <v>43</v>
      </c>
      <c r="E174" s="321" t="s">
        <v>195</v>
      </c>
      <c r="F174" s="321">
        <v>1500.39</v>
      </c>
      <c r="G174" s="405">
        <v>1500.39</v>
      </c>
      <c r="H174" s="405">
        <v>280.72000000000003</v>
      </c>
      <c r="I174" s="321" t="s">
        <v>30</v>
      </c>
      <c r="J174" s="321" t="s">
        <v>23</v>
      </c>
      <c r="K174" s="224">
        <f>H174/F174</f>
        <v>0.18709802118115956</v>
      </c>
    </row>
    <row r="175" spans="1:11">
      <c r="A175" s="321">
        <v>205</v>
      </c>
      <c r="B175" s="321" t="s">
        <v>196</v>
      </c>
      <c r="C175" s="321" t="s">
        <v>197</v>
      </c>
      <c r="D175" s="321" t="s">
        <v>34</v>
      </c>
      <c r="E175" s="321" t="s">
        <v>198</v>
      </c>
      <c r="F175" s="321">
        <v>9855</v>
      </c>
      <c r="G175" s="321">
        <v>87709.5</v>
      </c>
      <c r="H175" s="321">
        <v>36747.32</v>
      </c>
      <c r="I175" s="321" t="s">
        <v>35</v>
      </c>
      <c r="J175" s="321" t="s">
        <v>19</v>
      </c>
      <c r="K175" s="224">
        <f>H175/F175</f>
        <v>3.7287995941146628</v>
      </c>
    </row>
    <row r="176" spans="1:11" ht="15" customHeight="1">
      <c r="A176" s="321">
        <v>205</v>
      </c>
      <c r="B176" s="321" t="s">
        <v>114</v>
      </c>
      <c r="C176" s="321" t="s">
        <v>115</v>
      </c>
      <c r="D176" s="321" t="s">
        <v>43</v>
      </c>
      <c r="E176" s="321"/>
      <c r="F176" s="405">
        <v>18761.099999999999</v>
      </c>
      <c r="G176" s="405">
        <v>18761.099999999999</v>
      </c>
      <c r="H176" s="405">
        <v>34225.870000000003</v>
      </c>
      <c r="I176" s="321" t="s">
        <v>44</v>
      </c>
      <c r="J176" s="321" t="s">
        <v>19</v>
      </c>
      <c r="K176" s="224">
        <f>H176/F176</f>
        <v>1.8242997478825871</v>
      </c>
    </row>
    <row r="177" spans="1:13">
      <c r="A177" s="321">
        <v>11</v>
      </c>
      <c r="B177" s="321" t="s">
        <v>199</v>
      </c>
      <c r="C177" s="321" t="s">
        <v>200</v>
      </c>
      <c r="D177" s="321" t="s">
        <v>43</v>
      </c>
      <c r="E177" s="321" t="s">
        <v>201</v>
      </c>
      <c r="F177" s="321">
        <v>46200</v>
      </c>
      <c r="G177" s="321">
        <v>46200</v>
      </c>
      <c r="H177" s="321">
        <v>30954</v>
      </c>
      <c r="I177" s="321" t="s">
        <v>44</v>
      </c>
      <c r="J177" s="321" t="s">
        <v>23</v>
      </c>
      <c r="K177" s="224">
        <f>H177/F177</f>
        <v>0.67</v>
      </c>
    </row>
    <row r="178" spans="1:13" ht="12.75" customHeight="1">
      <c r="A178" s="321">
        <v>11</v>
      </c>
      <c r="B178" s="321" t="s">
        <v>202</v>
      </c>
      <c r="C178" s="321" t="s">
        <v>203</v>
      </c>
      <c r="D178" s="321" t="s">
        <v>43</v>
      </c>
      <c r="E178" s="321"/>
      <c r="F178" s="321">
        <v>778.97</v>
      </c>
      <c r="G178" s="405">
        <v>778.97</v>
      </c>
      <c r="H178" s="405">
        <v>5319.51</v>
      </c>
      <c r="I178" s="321" t="s">
        <v>44</v>
      </c>
      <c r="J178" s="321" t="s">
        <v>23</v>
      </c>
      <c r="K178" s="224">
        <f>H178/F178</f>
        <v>6.8289022683800402</v>
      </c>
    </row>
    <row r="179" spans="1:13" ht="15" customHeight="1">
      <c r="A179" s="321">
        <v>205</v>
      </c>
      <c r="B179" s="321" t="s">
        <v>208</v>
      </c>
      <c r="C179" s="321" t="s">
        <v>209</v>
      </c>
      <c r="D179" s="321" t="s">
        <v>34</v>
      </c>
      <c r="E179" s="321"/>
      <c r="F179" s="321">
        <v>55</v>
      </c>
      <c r="G179" s="405">
        <v>55</v>
      </c>
      <c r="H179" s="405">
        <v>3987.5</v>
      </c>
      <c r="I179" s="321" t="s">
        <v>44</v>
      </c>
      <c r="J179" s="321" t="s">
        <v>19</v>
      </c>
      <c r="K179" s="224">
        <f>H179/F179</f>
        <v>72.5</v>
      </c>
    </row>
    <row r="180" spans="1:13" ht="12.75" customHeight="1">
      <c r="A180" s="321">
        <v>205</v>
      </c>
      <c r="B180" s="321" t="s">
        <v>351</v>
      </c>
      <c r="C180" s="321" t="s">
        <v>352</v>
      </c>
      <c r="D180" s="321" t="s">
        <v>34</v>
      </c>
      <c r="E180" s="321"/>
      <c r="F180" s="405">
        <v>35</v>
      </c>
      <c r="G180" s="405">
        <v>384.2</v>
      </c>
      <c r="H180" s="405">
        <v>3115</v>
      </c>
      <c r="I180" s="321" t="s">
        <v>44</v>
      </c>
      <c r="J180" s="321" t="s">
        <v>19</v>
      </c>
      <c r="K180" s="224">
        <f>H180/F180</f>
        <v>89</v>
      </c>
    </row>
    <row r="181" spans="1:13">
      <c r="A181" s="321">
        <v>201</v>
      </c>
      <c r="B181" s="321" t="s">
        <v>144</v>
      </c>
      <c r="C181" s="321" t="s">
        <v>145</v>
      </c>
      <c r="D181" s="321" t="s">
        <v>34</v>
      </c>
      <c r="E181" s="321" t="s">
        <v>146</v>
      </c>
      <c r="F181" s="321">
        <v>16775</v>
      </c>
      <c r="G181" s="321">
        <v>149297.5</v>
      </c>
      <c r="H181" s="321">
        <v>77086.17</v>
      </c>
      <c r="I181" s="321" t="s">
        <v>35</v>
      </c>
      <c r="J181" s="321" t="s">
        <v>19</v>
      </c>
      <c r="K181" s="224">
        <f>H181/F181</f>
        <v>4.5953007451564831</v>
      </c>
    </row>
    <row r="182" spans="1:13">
      <c r="A182" s="321">
        <v>205</v>
      </c>
      <c r="B182" s="321" t="s">
        <v>112</v>
      </c>
      <c r="C182" s="321" t="s">
        <v>113</v>
      </c>
      <c r="D182" s="321" t="s">
        <v>34</v>
      </c>
      <c r="E182" s="321"/>
      <c r="F182" s="321">
        <v>5220</v>
      </c>
      <c r="G182" s="405">
        <v>46458</v>
      </c>
      <c r="H182" s="405">
        <v>20609.080000000002</v>
      </c>
      <c r="I182" s="321" t="s">
        <v>35</v>
      </c>
      <c r="J182" s="321" t="s">
        <v>19</v>
      </c>
      <c r="K182" s="224">
        <f>H182/F182</f>
        <v>3.9480996168582378</v>
      </c>
    </row>
    <row r="183" spans="1:13" ht="15">
      <c r="A183" s="321">
        <v>205</v>
      </c>
      <c r="B183" s="321" t="s">
        <v>537</v>
      </c>
      <c r="C183" s="321" t="s">
        <v>2758</v>
      </c>
      <c r="D183" s="321" t="s">
        <v>34</v>
      </c>
      <c r="E183" s="321" t="s">
        <v>198</v>
      </c>
      <c r="F183" s="405">
        <v>5415</v>
      </c>
      <c r="G183" s="405">
        <v>48193.5</v>
      </c>
      <c r="H183" s="405">
        <v>21275.54</v>
      </c>
      <c r="I183" s="321" t="s">
        <v>35</v>
      </c>
      <c r="J183" s="321" t="s">
        <v>19</v>
      </c>
      <c r="K183" s="224">
        <f>H183/F183</f>
        <v>3.9290009233610341</v>
      </c>
      <c r="M183" s="215"/>
    </row>
    <row r="184" spans="1:13" ht="15" customHeight="1">
      <c r="A184" s="321">
        <v>1</v>
      </c>
      <c r="B184" s="321" t="s">
        <v>204</v>
      </c>
      <c r="C184" s="321" t="s">
        <v>205</v>
      </c>
      <c r="D184" s="321" t="s">
        <v>16</v>
      </c>
      <c r="E184" s="321" t="s">
        <v>22</v>
      </c>
      <c r="F184" s="321">
        <v>10000</v>
      </c>
      <c r="G184" s="321">
        <v>1</v>
      </c>
      <c r="H184" s="321">
        <v>98</v>
      </c>
      <c r="I184" s="321" t="s">
        <v>18</v>
      </c>
      <c r="J184" s="321" t="s">
        <v>23</v>
      </c>
      <c r="K184" s="224">
        <f>H184/F184</f>
        <v>9.7999999999999997E-3</v>
      </c>
    </row>
    <row r="185" spans="1:13">
      <c r="A185" s="321">
        <v>1</v>
      </c>
      <c r="B185" s="321" t="s">
        <v>206</v>
      </c>
      <c r="C185" s="321" t="s">
        <v>207</v>
      </c>
      <c r="D185" s="321" t="s">
        <v>16</v>
      </c>
      <c r="E185" s="321" t="s">
        <v>22</v>
      </c>
      <c r="F185" s="321">
        <v>11307</v>
      </c>
      <c r="G185" s="405">
        <v>1.1299999999999999</v>
      </c>
      <c r="H185" s="405">
        <v>128.9</v>
      </c>
      <c r="I185" s="321" t="s">
        <v>18</v>
      </c>
      <c r="J185" s="321" t="s">
        <v>23</v>
      </c>
      <c r="K185" s="224">
        <f>H185/F185</f>
        <v>1.1400017688157779E-2</v>
      </c>
    </row>
    <row r="186" spans="1:13" ht="12.75" customHeight="1">
      <c r="A186" s="321">
        <v>201</v>
      </c>
      <c r="B186" s="321" t="s">
        <v>208</v>
      </c>
      <c r="C186" s="321" t="s">
        <v>209</v>
      </c>
      <c r="D186" s="321" t="s">
        <v>34</v>
      </c>
      <c r="E186" s="321"/>
      <c r="F186" s="321">
        <v>10</v>
      </c>
      <c r="G186" s="405">
        <v>10</v>
      </c>
      <c r="H186" s="405">
        <v>725.01</v>
      </c>
      <c r="I186" s="321" t="s">
        <v>44</v>
      </c>
      <c r="J186" s="321" t="s">
        <v>19</v>
      </c>
      <c r="K186" s="224">
        <f>H186/F186</f>
        <v>72.501000000000005</v>
      </c>
    </row>
    <row r="187" spans="1:13" ht="12.75" customHeight="1">
      <c r="A187" s="321">
        <v>201</v>
      </c>
      <c r="B187" s="321" t="s">
        <v>210</v>
      </c>
      <c r="C187" s="321" t="s">
        <v>211</v>
      </c>
      <c r="D187" s="321" t="s">
        <v>43</v>
      </c>
      <c r="E187" s="321" t="s">
        <v>212</v>
      </c>
      <c r="F187" s="321">
        <v>507.7</v>
      </c>
      <c r="G187" s="405">
        <v>507.7</v>
      </c>
      <c r="H187" s="405">
        <v>674.33</v>
      </c>
      <c r="I187" s="321" t="s">
        <v>44</v>
      </c>
      <c r="J187" s="321" t="s">
        <v>19</v>
      </c>
      <c r="K187" s="224">
        <f>H187/F187</f>
        <v>1.3282056332479812</v>
      </c>
    </row>
    <row r="188" spans="1:13" ht="12.75" customHeight="1">
      <c r="A188" s="321">
        <v>1</v>
      </c>
      <c r="B188" s="321" t="s">
        <v>213</v>
      </c>
      <c r="C188" s="321" t="s">
        <v>214</v>
      </c>
      <c r="D188" s="321" t="s">
        <v>43</v>
      </c>
      <c r="E188" s="321"/>
      <c r="F188" s="321">
        <v>57.8</v>
      </c>
      <c r="G188" s="321">
        <v>57.8</v>
      </c>
      <c r="H188" s="321">
        <v>404.52</v>
      </c>
      <c r="I188" s="321" t="s">
        <v>44</v>
      </c>
      <c r="J188" s="321" t="s">
        <v>23</v>
      </c>
      <c r="K188" s="224">
        <f>H188/F188</f>
        <v>6.9986159169550177</v>
      </c>
    </row>
    <row r="189" spans="1:13">
      <c r="A189" s="321">
        <v>88</v>
      </c>
      <c r="B189" s="321">
        <v>4800</v>
      </c>
      <c r="C189" s="321" t="s">
        <v>194</v>
      </c>
      <c r="D189" s="321" t="s">
        <v>43</v>
      </c>
      <c r="E189" s="321" t="s">
        <v>195</v>
      </c>
      <c r="F189" s="405">
        <v>-14.02</v>
      </c>
      <c r="G189" s="321">
        <v>-14.02</v>
      </c>
      <c r="H189" s="321">
        <v>-2.42</v>
      </c>
      <c r="I189" s="321" t="s">
        <v>30</v>
      </c>
      <c r="J189" s="321" t="s">
        <v>23</v>
      </c>
      <c r="K189" s="224">
        <f>H189/F189</f>
        <v>0.17261055634807418</v>
      </c>
    </row>
    <row r="190" spans="1:13">
      <c r="A190" s="321">
        <v>201</v>
      </c>
      <c r="B190" s="321" t="s">
        <v>215</v>
      </c>
      <c r="C190" s="321" t="s">
        <v>216</v>
      </c>
      <c r="D190" s="321" t="s">
        <v>43</v>
      </c>
      <c r="E190" s="321"/>
      <c r="F190" s="321">
        <v>263</v>
      </c>
      <c r="G190" s="405">
        <v>263</v>
      </c>
      <c r="H190" s="405">
        <v>239.33</v>
      </c>
      <c r="I190" s="321" t="s">
        <v>44</v>
      </c>
      <c r="J190" s="321" t="s">
        <v>19</v>
      </c>
      <c r="K190" s="224">
        <f>H190/F190</f>
        <v>0.91</v>
      </c>
    </row>
    <row r="191" spans="1:13" ht="12.75" customHeight="1">
      <c r="A191" s="321">
        <v>1</v>
      </c>
      <c r="B191" s="321" t="s">
        <v>217</v>
      </c>
      <c r="C191" s="321" t="s">
        <v>218</v>
      </c>
      <c r="D191" s="321" t="s">
        <v>43</v>
      </c>
      <c r="E191" s="321"/>
      <c r="F191" s="405">
        <v>9</v>
      </c>
      <c r="G191" s="405">
        <v>9</v>
      </c>
      <c r="H191" s="405">
        <v>378.45</v>
      </c>
      <c r="I191" s="321" t="s">
        <v>44</v>
      </c>
      <c r="J191" s="321" t="s">
        <v>23</v>
      </c>
      <c r="K191" s="224">
        <f>H191/F191</f>
        <v>42.05</v>
      </c>
    </row>
    <row r="192" spans="1:13" ht="12.75" customHeight="1">
      <c r="A192" s="321">
        <v>88</v>
      </c>
      <c r="B192" s="321" t="s">
        <v>219</v>
      </c>
      <c r="C192" s="321" t="s">
        <v>220</v>
      </c>
      <c r="D192" s="321" t="s">
        <v>16</v>
      </c>
      <c r="E192" s="321" t="s">
        <v>221</v>
      </c>
      <c r="F192" s="321">
        <v>1041</v>
      </c>
      <c r="G192" s="321">
        <v>520.5</v>
      </c>
      <c r="H192" s="321">
        <v>935.75</v>
      </c>
      <c r="I192" s="321" t="s">
        <v>18</v>
      </c>
      <c r="J192" s="321" t="s">
        <v>23</v>
      </c>
      <c r="K192" s="224">
        <f>H192/F192</f>
        <v>0.89889529298751203</v>
      </c>
    </row>
    <row r="193" spans="1:13" ht="12.75" customHeight="1">
      <c r="A193" s="321">
        <v>201</v>
      </c>
      <c r="B193" s="321" t="s">
        <v>222</v>
      </c>
      <c r="C193" s="321" t="s">
        <v>223</v>
      </c>
      <c r="D193" s="321" t="s">
        <v>16</v>
      </c>
      <c r="E193" s="321" t="s">
        <v>22</v>
      </c>
      <c r="F193" s="321">
        <v>39000</v>
      </c>
      <c r="G193" s="405">
        <v>3.9</v>
      </c>
      <c r="H193" s="405">
        <v>514.79999999999995</v>
      </c>
      <c r="I193" s="321" t="s">
        <v>18</v>
      </c>
      <c r="J193" s="321" t="s">
        <v>19</v>
      </c>
      <c r="K193" s="224">
        <f>H193/F193</f>
        <v>1.3199999999999998E-2</v>
      </c>
    </row>
    <row r="194" spans="1:13">
      <c r="A194" s="321">
        <v>1</v>
      </c>
      <c r="B194" s="321" t="s">
        <v>224</v>
      </c>
      <c r="C194" s="321" t="s">
        <v>225</v>
      </c>
      <c r="D194" s="321" t="s">
        <v>16</v>
      </c>
      <c r="E194" s="321" t="s">
        <v>22</v>
      </c>
      <c r="F194" s="405">
        <v>17177</v>
      </c>
      <c r="G194" s="405">
        <v>1.72</v>
      </c>
      <c r="H194" s="405">
        <v>298.88</v>
      </c>
      <c r="I194" s="321" t="s">
        <v>18</v>
      </c>
      <c r="J194" s="321" t="s">
        <v>23</v>
      </c>
      <c r="K194" s="224">
        <f>H194/F194</f>
        <v>1.7400011643476741E-2</v>
      </c>
    </row>
    <row r="195" spans="1:13" ht="12.75" customHeight="1">
      <c r="A195" s="321">
        <v>205</v>
      </c>
      <c r="B195" s="321" t="s">
        <v>226</v>
      </c>
      <c r="C195" s="321" t="s">
        <v>227</v>
      </c>
      <c r="D195" s="321" t="s">
        <v>16</v>
      </c>
      <c r="E195" s="321" t="s">
        <v>228</v>
      </c>
      <c r="F195" s="321">
        <v>3669</v>
      </c>
      <c r="G195" s="321">
        <v>161436</v>
      </c>
      <c r="H195" s="321">
        <v>102732</v>
      </c>
      <c r="I195" s="321" t="s">
        <v>35</v>
      </c>
      <c r="J195" s="321" t="s">
        <v>19</v>
      </c>
      <c r="K195" s="224">
        <f>H195/F195</f>
        <v>28</v>
      </c>
    </row>
    <row r="196" spans="1:13">
      <c r="A196" s="321">
        <v>11</v>
      </c>
      <c r="B196" s="321" t="s">
        <v>2912</v>
      </c>
      <c r="C196" s="321" t="s">
        <v>2913</v>
      </c>
      <c r="D196" s="321" t="s">
        <v>16</v>
      </c>
      <c r="E196" s="321" t="s">
        <v>22</v>
      </c>
      <c r="F196" s="321">
        <v>40000</v>
      </c>
      <c r="G196" s="321">
        <v>4</v>
      </c>
      <c r="H196" s="321">
        <v>536</v>
      </c>
      <c r="I196" s="321" t="s">
        <v>18</v>
      </c>
      <c r="J196" s="321" t="s">
        <v>23</v>
      </c>
      <c r="K196" s="224">
        <f>H196/F196</f>
        <v>1.34E-2</v>
      </c>
    </row>
    <row r="197" spans="1:13" ht="15">
      <c r="A197" s="321">
        <v>205</v>
      </c>
      <c r="B197" s="321" t="s">
        <v>202</v>
      </c>
      <c r="C197" s="321" t="s">
        <v>203</v>
      </c>
      <c r="D197" s="321" t="s">
        <v>43</v>
      </c>
      <c r="E197" s="321"/>
      <c r="F197" s="321">
        <v>1220</v>
      </c>
      <c r="G197" s="321">
        <v>1220</v>
      </c>
      <c r="H197" s="321">
        <v>6696.82</v>
      </c>
      <c r="I197" s="321" t="s">
        <v>44</v>
      </c>
      <c r="J197" s="321" t="s">
        <v>19</v>
      </c>
      <c r="K197" s="224">
        <f>H197/F197</f>
        <v>5.4891967213114752</v>
      </c>
      <c r="M197" s="215"/>
    </row>
    <row r="198" spans="1:13" ht="15" customHeight="1">
      <c r="A198" s="321">
        <v>201</v>
      </c>
      <c r="B198" s="321">
        <v>7506</v>
      </c>
      <c r="C198" s="321" t="s">
        <v>102</v>
      </c>
      <c r="D198" s="321" t="s">
        <v>28</v>
      </c>
      <c r="E198" s="321" t="s">
        <v>29</v>
      </c>
      <c r="F198" s="405">
        <v>2</v>
      </c>
      <c r="G198" s="405">
        <v>72.8</v>
      </c>
      <c r="H198" s="405">
        <v>46.84</v>
      </c>
      <c r="I198" s="321" t="s">
        <v>30</v>
      </c>
      <c r="J198" s="321" t="s">
        <v>19</v>
      </c>
      <c r="K198" s="224">
        <f>H198/F198</f>
        <v>23.42</v>
      </c>
    </row>
    <row r="199" spans="1:13" ht="12.75" customHeight="1">
      <c r="A199" s="321">
        <v>1</v>
      </c>
      <c r="B199" s="321" t="s">
        <v>2814</v>
      </c>
      <c r="C199" s="321" t="s">
        <v>2815</v>
      </c>
      <c r="D199" s="321" t="s">
        <v>43</v>
      </c>
      <c r="E199" s="321"/>
      <c r="F199" s="321">
        <v>-120524</v>
      </c>
      <c r="G199" s="405">
        <v>-120524</v>
      </c>
      <c r="H199" s="405">
        <v>-15668.12</v>
      </c>
      <c r="I199" s="321" t="s">
        <v>2782</v>
      </c>
      <c r="J199" s="321" t="s">
        <v>23</v>
      </c>
      <c r="K199" s="224">
        <f>H199/F199</f>
        <v>0.13</v>
      </c>
    </row>
    <row r="200" spans="1:13" ht="12.75" customHeight="1">
      <c r="A200" s="321">
        <v>201</v>
      </c>
      <c r="B200" s="321" t="s">
        <v>229</v>
      </c>
      <c r="C200" s="321" t="s">
        <v>230</v>
      </c>
      <c r="D200" s="321" t="s">
        <v>43</v>
      </c>
      <c r="E200" s="321"/>
      <c r="F200" s="405">
        <v>88</v>
      </c>
      <c r="G200" s="405">
        <v>88</v>
      </c>
      <c r="H200" s="405">
        <v>368.72</v>
      </c>
      <c r="I200" s="321" t="s">
        <v>44</v>
      </c>
      <c r="J200" s="321" t="s">
        <v>19</v>
      </c>
      <c r="K200" s="224">
        <f>H200/F200</f>
        <v>4.1900000000000004</v>
      </c>
    </row>
    <row r="201" spans="1:13" ht="12.75" customHeight="1">
      <c r="A201" s="321">
        <v>201</v>
      </c>
      <c r="B201" s="321" t="s">
        <v>217</v>
      </c>
      <c r="C201" s="321" t="s">
        <v>218</v>
      </c>
      <c r="D201" s="321" t="s">
        <v>43</v>
      </c>
      <c r="E201" s="321"/>
      <c r="F201" s="321">
        <v>22</v>
      </c>
      <c r="G201" s="321">
        <v>22</v>
      </c>
      <c r="H201" s="321">
        <v>925.01</v>
      </c>
      <c r="I201" s="321" t="s">
        <v>44</v>
      </c>
      <c r="J201" s="321" t="s">
        <v>19</v>
      </c>
      <c r="K201" s="224">
        <f>H201/F201</f>
        <v>42.045909090909092</v>
      </c>
    </row>
    <row r="202" spans="1:13" ht="15">
      <c r="A202" s="321">
        <v>1</v>
      </c>
      <c r="B202" s="321" t="s">
        <v>239</v>
      </c>
      <c r="C202" s="321" t="s">
        <v>240</v>
      </c>
      <c r="D202" s="321" t="s">
        <v>43</v>
      </c>
      <c r="E202" s="321"/>
      <c r="F202" s="321">
        <v>510</v>
      </c>
      <c r="G202" s="321">
        <v>510</v>
      </c>
      <c r="H202" s="321">
        <v>7558.4</v>
      </c>
      <c r="I202" s="321" t="s">
        <v>44</v>
      </c>
      <c r="J202" s="321" t="s">
        <v>23</v>
      </c>
      <c r="K202" s="224">
        <f>H202/F202</f>
        <v>14.820392156862745</v>
      </c>
      <c r="M202" s="215"/>
    </row>
    <row r="203" spans="1:13" ht="12.75" customHeight="1">
      <c r="A203" s="321">
        <v>1</v>
      </c>
      <c r="B203" s="321" t="s">
        <v>233</v>
      </c>
      <c r="C203" s="321" t="s">
        <v>234</v>
      </c>
      <c r="D203" s="321" t="s">
        <v>16</v>
      </c>
      <c r="E203" s="321" t="s">
        <v>22</v>
      </c>
      <c r="F203" s="321">
        <v>16425</v>
      </c>
      <c r="G203" s="405">
        <v>1.64</v>
      </c>
      <c r="H203" s="405">
        <v>252.95</v>
      </c>
      <c r="I203" s="321" t="s">
        <v>18</v>
      </c>
      <c r="J203" s="321" t="s">
        <v>23</v>
      </c>
      <c r="K203" s="224">
        <f>H203/F203</f>
        <v>1.5400304414003044E-2</v>
      </c>
    </row>
    <row r="204" spans="1:13" ht="15" customHeight="1">
      <c r="A204" s="321">
        <v>11</v>
      </c>
      <c r="B204" s="321">
        <v>7591</v>
      </c>
      <c r="C204" s="321" t="s">
        <v>235</v>
      </c>
      <c r="D204" s="321" t="s">
        <v>28</v>
      </c>
      <c r="E204" s="321" t="s">
        <v>29</v>
      </c>
      <c r="F204" s="321">
        <v>1548</v>
      </c>
      <c r="G204" s="321">
        <v>56347.199999999997</v>
      </c>
      <c r="H204" s="321">
        <v>37614.39</v>
      </c>
      <c r="I204" s="321" t="s">
        <v>30</v>
      </c>
      <c r="J204" s="321" t="s">
        <v>23</v>
      </c>
      <c r="K204" s="224">
        <f>H204/F204</f>
        <v>24.298701550387598</v>
      </c>
    </row>
    <row r="205" spans="1:13" ht="12.75" customHeight="1">
      <c r="A205" s="321">
        <v>11</v>
      </c>
      <c r="B205" s="321" t="s">
        <v>41</v>
      </c>
      <c r="C205" s="321" t="s">
        <v>42</v>
      </c>
      <c r="D205" s="321" t="s">
        <v>43</v>
      </c>
      <c r="E205" s="321"/>
      <c r="F205" s="321">
        <v>550</v>
      </c>
      <c r="G205" s="405">
        <v>550</v>
      </c>
      <c r="H205" s="405">
        <v>764.5</v>
      </c>
      <c r="I205" s="321" t="s">
        <v>44</v>
      </c>
      <c r="J205" s="321" t="s">
        <v>23</v>
      </c>
      <c r="K205" s="224">
        <f>H205/F205</f>
        <v>1.39</v>
      </c>
    </row>
    <row r="206" spans="1:13">
      <c r="A206" s="321">
        <v>211</v>
      </c>
      <c r="B206" s="321">
        <v>7416</v>
      </c>
      <c r="C206" s="321" t="s">
        <v>236</v>
      </c>
      <c r="D206" s="321" t="s">
        <v>28</v>
      </c>
      <c r="E206" s="321" t="s">
        <v>56</v>
      </c>
      <c r="F206" s="405">
        <v>481</v>
      </c>
      <c r="G206" s="405">
        <v>6734</v>
      </c>
      <c r="H206" s="405">
        <v>5239.1899999999996</v>
      </c>
      <c r="I206" s="321" t="s">
        <v>30</v>
      </c>
      <c r="J206" s="321" t="s">
        <v>19</v>
      </c>
      <c r="K206" s="224">
        <f>H206/F206</f>
        <v>10.892286902286902</v>
      </c>
    </row>
    <row r="207" spans="1:13">
      <c r="A207" s="321">
        <v>204</v>
      </c>
      <c r="B207" s="321">
        <v>9166</v>
      </c>
      <c r="C207" s="321" t="s">
        <v>237</v>
      </c>
      <c r="D207" s="321" t="s">
        <v>28</v>
      </c>
      <c r="E207" s="321" t="s">
        <v>56</v>
      </c>
      <c r="F207" s="321">
        <v>7228</v>
      </c>
      <c r="G207" s="321">
        <v>222991.03</v>
      </c>
      <c r="H207" s="321">
        <v>115349.44</v>
      </c>
      <c r="I207" s="321" t="s">
        <v>30</v>
      </c>
      <c r="J207" s="321" t="s">
        <v>19</v>
      </c>
      <c r="K207" s="224">
        <f>H207/F207</f>
        <v>15.958693967902601</v>
      </c>
    </row>
    <row r="208" spans="1:13">
      <c r="A208" s="321">
        <v>11</v>
      </c>
      <c r="B208" s="321">
        <v>4945</v>
      </c>
      <c r="C208" s="321" t="s">
        <v>2805</v>
      </c>
      <c r="D208" s="321" t="s">
        <v>187</v>
      </c>
      <c r="E208" s="321" t="s">
        <v>188</v>
      </c>
      <c r="F208" s="405">
        <v>31</v>
      </c>
      <c r="G208" s="405">
        <v>74755.88</v>
      </c>
      <c r="H208" s="405">
        <v>33164.99</v>
      </c>
      <c r="I208" s="321" t="s">
        <v>30</v>
      </c>
      <c r="J208" s="321" t="s">
        <v>23</v>
      </c>
      <c r="K208" s="224">
        <f>H208/F208</f>
        <v>1069.8383870967741</v>
      </c>
    </row>
    <row r="209" spans="1:11" ht="15" customHeight="1">
      <c r="A209" s="321">
        <v>201</v>
      </c>
      <c r="B209" s="321">
        <v>9123</v>
      </c>
      <c r="C209" s="321" t="s">
        <v>238</v>
      </c>
      <c r="D209" s="321" t="s">
        <v>28</v>
      </c>
      <c r="E209" s="321" t="s">
        <v>29</v>
      </c>
      <c r="F209" s="321">
        <v>0</v>
      </c>
      <c r="G209" s="321">
        <v>0</v>
      </c>
      <c r="H209" s="321">
        <v>0.01</v>
      </c>
      <c r="I209" s="321" t="s">
        <v>30</v>
      </c>
      <c r="J209" s="321" t="s">
        <v>19</v>
      </c>
      <c r="K209" s="224" t="e">
        <f>H209/F209</f>
        <v>#DIV/0!</v>
      </c>
    </row>
    <row r="210" spans="1:11" ht="12.75" customHeight="1">
      <c r="A210" s="321">
        <v>1</v>
      </c>
      <c r="B210" s="321" t="s">
        <v>215</v>
      </c>
      <c r="C210" s="321" t="s">
        <v>216</v>
      </c>
      <c r="D210" s="321" t="s">
        <v>43</v>
      </c>
      <c r="E210" s="321"/>
      <c r="F210" s="321">
        <v>6</v>
      </c>
      <c r="G210" s="405">
        <v>6</v>
      </c>
      <c r="H210" s="405">
        <v>5.46</v>
      </c>
      <c r="I210" s="321" t="s">
        <v>44</v>
      </c>
      <c r="J210" s="321" t="s">
        <v>23</v>
      </c>
      <c r="K210" s="224">
        <f>H210/F210</f>
        <v>0.91</v>
      </c>
    </row>
    <row r="211" spans="1:11" ht="15" customHeight="1">
      <c r="A211" s="321">
        <v>1</v>
      </c>
      <c r="B211" s="321" t="s">
        <v>144</v>
      </c>
      <c r="C211" s="321" t="s">
        <v>145</v>
      </c>
      <c r="D211" s="321" t="s">
        <v>34</v>
      </c>
      <c r="E211" s="321" t="s">
        <v>146</v>
      </c>
      <c r="F211" s="321">
        <v>24</v>
      </c>
      <c r="G211" s="405">
        <v>213.6</v>
      </c>
      <c r="H211" s="405">
        <v>107.83</v>
      </c>
      <c r="I211" s="321" t="s">
        <v>35</v>
      </c>
      <c r="J211" s="321" t="s">
        <v>23</v>
      </c>
      <c r="K211" s="224">
        <f>H211/F211</f>
        <v>4.4929166666666669</v>
      </c>
    </row>
    <row r="212" spans="1:11">
      <c r="A212" s="321">
        <v>11</v>
      </c>
      <c r="B212" s="321" t="s">
        <v>69</v>
      </c>
      <c r="C212" s="321" t="s">
        <v>70</v>
      </c>
      <c r="D212" s="321" t="s">
        <v>16</v>
      </c>
      <c r="E212" s="321" t="s">
        <v>26</v>
      </c>
      <c r="F212" s="321">
        <v>115000</v>
      </c>
      <c r="G212" s="405">
        <v>115</v>
      </c>
      <c r="H212" s="405">
        <v>2725.5</v>
      </c>
      <c r="I212" s="321" t="s">
        <v>18</v>
      </c>
      <c r="J212" s="321" t="s">
        <v>23</v>
      </c>
      <c r="K212" s="224">
        <f>H212/F212</f>
        <v>2.3699999999999999E-2</v>
      </c>
    </row>
    <row r="213" spans="1:11">
      <c r="A213" s="321">
        <v>288</v>
      </c>
      <c r="B213" s="321">
        <v>7416</v>
      </c>
      <c r="C213" s="321" t="s">
        <v>236</v>
      </c>
      <c r="D213" s="321" t="s">
        <v>28</v>
      </c>
      <c r="E213" s="321" t="s">
        <v>56</v>
      </c>
      <c r="F213" s="321">
        <v>-1</v>
      </c>
      <c r="G213" s="321">
        <v>-14</v>
      </c>
      <c r="H213" s="321">
        <v>-10.01</v>
      </c>
      <c r="I213" s="321" t="s">
        <v>30</v>
      </c>
      <c r="J213" s="321" t="s">
        <v>19</v>
      </c>
      <c r="K213" s="224">
        <f>H213/F213</f>
        <v>10.01</v>
      </c>
    </row>
    <row r="214" spans="1:11" ht="12.75" customHeight="1">
      <c r="A214" s="321">
        <v>201</v>
      </c>
      <c r="B214" s="321" t="s">
        <v>239</v>
      </c>
      <c r="C214" s="321" t="s">
        <v>240</v>
      </c>
      <c r="D214" s="321" t="s">
        <v>43</v>
      </c>
      <c r="E214" s="321"/>
      <c r="F214" s="405">
        <v>938.4</v>
      </c>
      <c r="G214" s="405">
        <v>938.4</v>
      </c>
      <c r="H214" s="405">
        <v>13908.4</v>
      </c>
      <c r="I214" s="321" t="s">
        <v>44</v>
      </c>
      <c r="J214" s="321" t="s">
        <v>19</v>
      </c>
      <c r="K214" s="224">
        <f>H214/F214</f>
        <v>14.821398124467178</v>
      </c>
    </row>
    <row r="215" spans="1:11">
      <c r="A215" s="321">
        <v>11</v>
      </c>
      <c r="B215" s="321" t="s">
        <v>224</v>
      </c>
      <c r="C215" s="321" t="s">
        <v>225</v>
      </c>
      <c r="D215" s="321" t="s">
        <v>16</v>
      </c>
      <c r="E215" s="321" t="s">
        <v>22</v>
      </c>
      <c r="F215" s="321">
        <v>50000</v>
      </c>
      <c r="G215" s="321">
        <v>5</v>
      </c>
      <c r="H215" s="321">
        <v>870</v>
      </c>
      <c r="I215" s="321" t="s">
        <v>18</v>
      </c>
      <c r="J215" s="321" t="s">
        <v>23</v>
      </c>
      <c r="K215" s="224">
        <f>H215/F215</f>
        <v>1.7399999999999999E-2</v>
      </c>
    </row>
    <row r="216" spans="1:11">
      <c r="A216" s="321">
        <v>1</v>
      </c>
      <c r="B216" s="321" t="s">
        <v>242</v>
      </c>
      <c r="C216" s="321" t="s">
        <v>243</v>
      </c>
      <c r="D216" s="321" t="s">
        <v>16</v>
      </c>
      <c r="E216" s="321" t="s">
        <v>22</v>
      </c>
      <c r="F216" s="321">
        <v>13631</v>
      </c>
      <c r="G216" s="405">
        <v>1.36</v>
      </c>
      <c r="H216" s="405">
        <v>179.93</v>
      </c>
      <c r="I216" s="321" t="s">
        <v>18</v>
      </c>
      <c r="J216" s="321" t="s">
        <v>23</v>
      </c>
      <c r="K216" s="224">
        <f>H216/F216</f>
        <v>1.3200058689751302E-2</v>
      </c>
    </row>
    <row r="217" spans="1:11">
      <c r="A217" s="321">
        <v>88</v>
      </c>
      <c r="B217" s="321" t="s">
        <v>244</v>
      </c>
      <c r="C217" s="321" t="s">
        <v>245</v>
      </c>
      <c r="D217" s="321" t="s">
        <v>34</v>
      </c>
      <c r="E217" s="321"/>
      <c r="F217" s="321">
        <v>0</v>
      </c>
      <c r="G217" s="321">
        <v>0</v>
      </c>
      <c r="H217" s="321">
        <v>0.01</v>
      </c>
      <c r="I217" s="321" t="s">
        <v>35</v>
      </c>
      <c r="J217" s="321" t="s">
        <v>23</v>
      </c>
      <c r="K217" s="224" t="e">
        <f>H217/F217</f>
        <v>#DIV/0!</v>
      </c>
    </row>
    <row r="218" spans="1:11">
      <c r="A218" s="321">
        <v>289</v>
      </c>
      <c r="B218" s="321" t="s">
        <v>168</v>
      </c>
      <c r="C218" s="321" t="s">
        <v>169</v>
      </c>
      <c r="D218" s="321" t="s">
        <v>16</v>
      </c>
      <c r="E218" s="321"/>
      <c r="F218" s="321">
        <v>10131</v>
      </c>
      <c r="G218" s="321">
        <v>1013.1</v>
      </c>
      <c r="H218" s="321">
        <v>962.45</v>
      </c>
      <c r="I218" s="321" t="s">
        <v>18</v>
      </c>
      <c r="J218" s="321" t="s">
        <v>19</v>
      </c>
      <c r="K218" s="224">
        <f>H218/F218</f>
        <v>9.5000493534695488E-2</v>
      </c>
    </row>
    <row r="219" spans="1:11" ht="12.75" customHeight="1">
      <c r="A219" s="321">
        <v>205</v>
      </c>
      <c r="B219" s="321" t="s">
        <v>2752</v>
      </c>
      <c r="C219" s="321" t="s">
        <v>2753</v>
      </c>
      <c r="D219" s="321" t="s">
        <v>43</v>
      </c>
      <c r="E219" s="321" t="s">
        <v>201</v>
      </c>
      <c r="F219" s="405">
        <v>26964</v>
      </c>
      <c r="G219" s="405">
        <v>26964</v>
      </c>
      <c r="H219" s="405">
        <v>12538.26</v>
      </c>
      <c r="I219" s="321" t="s">
        <v>44</v>
      </c>
      <c r="J219" s="321" t="s">
        <v>19</v>
      </c>
      <c r="K219" s="224">
        <f>H219/F219</f>
        <v>0.46500000000000002</v>
      </c>
    </row>
    <row r="220" spans="1:11" ht="12.75" customHeight="1">
      <c r="A220" s="321">
        <v>201</v>
      </c>
      <c r="B220" s="321" t="s">
        <v>247</v>
      </c>
      <c r="C220" s="321" t="s">
        <v>248</v>
      </c>
      <c r="D220" s="321" t="s">
        <v>43</v>
      </c>
      <c r="E220" s="321"/>
      <c r="F220" s="321">
        <v>10225</v>
      </c>
      <c r="G220" s="321">
        <v>10225</v>
      </c>
      <c r="H220" s="321">
        <v>5672.83</v>
      </c>
      <c r="I220" s="321" t="s">
        <v>44</v>
      </c>
      <c r="J220" s="321" t="s">
        <v>19</v>
      </c>
      <c r="K220" s="224">
        <f>H220/F220</f>
        <v>0.55479999999999996</v>
      </c>
    </row>
    <row r="221" spans="1:11">
      <c r="A221">
        <v>11</v>
      </c>
      <c r="B221" s="239">
        <v>4800</v>
      </c>
      <c r="C221" s="230" t="s">
        <v>194</v>
      </c>
      <c r="D221" t="s">
        <v>43</v>
      </c>
      <c r="E221" t="s">
        <v>195</v>
      </c>
      <c r="F221" s="230">
        <v>28455</v>
      </c>
      <c r="G221" s="224">
        <v>28455</v>
      </c>
      <c r="H221" s="230">
        <v>5443.44</v>
      </c>
      <c r="I221" t="s">
        <v>30</v>
      </c>
      <c r="J221" t="s">
        <v>23</v>
      </c>
      <c r="K221" s="224">
        <f>H221/F221</f>
        <v>0.19129994728518712</v>
      </c>
    </row>
    <row r="222" spans="1:11" ht="12.75" customHeight="1">
      <c r="A222" s="321">
        <v>1</v>
      </c>
      <c r="B222" s="321" t="s">
        <v>249</v>
      </c>
      <c r="C222" s="321" t="s">
        <v>250</v>
      </c>
      <c r="D222" s="321" t="s">
        <v>16</v>
      </c>
      <c r="E222" s="321" t="s">
        <v>228</v>
      </c>
      <c r="F222" s="321">
        <v>12349</v>
      </c>
      <c r="G222" s="405">
        <v>370470</v>
      </c>
      <c r="H222" s="405">
        <v>345772</v>
      </c>
      <c r="I222" s="321" t="s">
        <v>35</v>
      </c>
      <c r="J222" s="321" t="s">
        <v>23</v>
      </c>
      <c r="K222" s="224">
        <f>H222/F222</f>
        <v>28</v>
      </c>
    </row>
    <row r="223" spans="1:11">
      <c r="A223" s="321">
        <v>201</v>
      </c>
      <c r="B223" s="321" t="s">
        <v>369</v>
      </c>
      <c r="C223" s="321" t="s">
        <v>370</v>
      </c>
      <c r="D223" s="321" t="s">
        <v>28</v>
      </c>
      <c r="E223" s="321" t="s">
        <v>54</v>
      </c>
      <c r="F223" s="321">
        <v>2075</v>
      </c>
      <c r="G223" s="321">
        <v>105410</v>
      </c>
      <c r="H223" s="321">
        <v>60079.34</v>
      </c>
      <c r="I223" s="321" t="s">
        <v>30</v>
      </c>
      <c r="J223" s="321" t="s">
        <v>19</v>
      </c>
      <c r="K223" s="224">
        <f>H223/F223</f>
        <v>28.95389879518072</v>
      </c>
    </row>
    <row r="224" spans="1:11">
      <c r="A224" s="321">
        <v>11</v>
      </c>
      <c r="B224" s="321" t="s">
        <v>233</v>
      </c>
      <c r="C224" s="321" t="s">
        <v>234</v>
      </c>
      <c r="D224" s="321" t="s">
        <v>16</v>
      </c>
      <c r="E224" s="321" t="s">
        <v>22</v>
      </c>
      <c r="F224" s="321">
        <v>20000</v>
      </c>
      <c r="G224" s="405">
        <v>2</v>
      </c>
      <c r="H224" s="405">
        <v>308</v>
      </c>
      <c r="I224" s="321" t="s">
        <v>18</v>
      </c>
      <c r="J224" s="321" t="s">
        <v>23</v>
      </c>
      <c r="K224" s="224">
        <f>H224/F224</f>
        <v>1.54E-2</v>
      </c>
    </row>
    <row r="225" spans="1:11">
      <c r="A225" s="321">
        <v>11</v>
      </c>
      <c r="B225" s="321" t="s">
        <v>131</v>
      </c>
      <c r="C225" s="321" t="s">
        <v>132</v>
      </c>
      <c r="D225" s="321" t="s">
        <v>43</v>
      </c>
      <c r="E225" s="321"/>
      <c r="F225" s="321">
        <v>100</v>
      </c>
      <c r="G225" s="405">
        <v>100</v>
      </c>
      <c r="H225" s="405">
        <v>202</v>
      </c>
      <c r="I225" s="321" t="s">
        <v>44</v>
      </c>
      <c r="J225" s="321" t="s">
        <v>23</v>
      </c>
      <c r="K225" s="224">
        <f>H225/F225</f>
        <v>2.02</v>
      </c>
    </row>
    <row r="226" spans="1:11">
      <c r="A226" s="321">
        <v>1</v>
      </c>
      <c r="B226" s="321" t="s">
        <v>157</v>
      </c>
      <c r="C226" s="321" t="s">
        <v>158</v>
      </c>
      <c r="D226" s="321" t="s">
        <v>16</v>
      </c>
      <c r="E226" s="321" t="s">
        <v>17</v>
      </c>
      <c r="F226" s="321">
        <v>1275</v>
      </c>
      <c r="G226" s="405">
        <v>1275</v>
      </c>
      <c r="H226" s="405">
        <v>655.98</v>
      </c>
      <c r="I226" s="321" t="s">
        <v>18</v>
      </c>
      <c r="J226" s="321" t="s">
        <v>23</v>
      </c>
      <c r="K226" s="224">
        <f>H226/F226</f>
        <v>0.51449411764705888</v>
      </c>
    </row>
    <row r="227" spans="1:11" ht="12.75" customHeight="1">
      <c r="A227" s="321">
        <v>88</v>
      </c>
      <c r="B227" s="321">
        <v>4945</v>
      </c>
      <c r="C227" s="321" t="s">
        <v>2805</v>
      </c>
      <c r="D227" s="321" t="s">
        <v>187</v>
      </c>
      <c r="E227" s="321" t="s">
        <v>188</v>
      </c>
      <c r="F227" s="321">
        <v>1</v>
      </c>
      <c r="G227" s="321">
        <v>2411.48</v>
      </c>
      <c r="H227" s="321">
        <v>1060.04</v>
      </c>
      <c r="I227" s="321" t="s">
        <v>30</v>
      </c>
      <c r="J227" s="321" t="s">
        <v>23</v>
      </c>
      <c r="K227" s="224">
        <f>H227/F227</f>
        <v>1060.04</v>
      </c>
    </row>
    <row r="228" spans="1:11">
      <c r="A228" s="321">
        <v>201</v>
      </c>
      <c r="B228" s="321" t="s">
        <v>258</v>
      </c>
      <c r="C228" s="321" t="s">
        <v>259</v>
      </c>
      <c r="D228" s="321" t="s">
        <v>34</v>
      </c>
      <c r="E228" s="321"/>
      <c r="F228" s="321">
        <v>270</v>
      </c>
      <c r="G228" s="321">
        <v>3005.1</v>
      </c>
      <c r="H228" s="321">
        <v>5351.05</v>
      </c>
      <c r="I228" s="321" t="s">
        <v>44</v>
      </c>
      <c r="J228" s="321" t="s">
        <v>19</v>
      </c>
      <c r="K228" s="224">
        <f>H228/F228</f>
        <v>19.818703703703704</v>
      </c>
    </row>
    <row r="229" spans="1:11">
      <c r="A229" s="321">
        <v>1</v>
      </c>
      <c r="B229" s="321" t="s">
        <v>41</v>
      </c>
      <c r="C229" s="321" t="s">
        <v>42</v>
      </c>
      <c r="D229" s="321" t="s">
        <v>43</v>
      </c>
      <c r="E229" s="321"/>
      <c r="F229" s="405">
        <v>28</v>
      </c>
      <c r="G229" s="405">
        <v>28</v>
      </c>
      <c r="H229" s="405">
        <v>38.92</v>
      </c>
      <c r="I229" s="321" t="s">
        <v>44</v>
      </c>
      <c r="J229" s="321" t="s">
        <v>23</v>
      </c>
      <c r="K229" s="224">
        <f>H229/F229</f>
        <v>1.3900000000000001</v>
      </c>
    </row>
    <row r="230" spans="1:11" ht="12.75" customHeight="1">
      <c r="A230" s="321">
        <v>1</v>
      </c>
      <c r="B230" s="321" t="s">
        <v>260</v>
      </c>
      <c r="C230" s="321" t="s">
        <v>261</v>
      </c>
      <c r="D230" s="321" t="s">
        <v>43</v>
      </c>
      <c r="E230" s="321"/>
      <c r="F230" s="321">
        <v>979</v>
      </c>
      <c r="G230" s="405">
        <v>979</v>
      </c>
      <c r="H230" s="405">
        <v>493.51</v>
      </c>
      <c r="I230" s="321" t="s">
        <v>44</v>
      </c>
      <c r="J230" s="321" t="s">
        <v>23</v>
      </c>
      <c r="K230" s="224">
        <f>H230/F230</f>
        <v>0.50409601634320733</v>
      </c>
    </row>
    <row r="231" spans="1:11">
      <c r="A231" s="321">
        <v>11</v>
      </c>
      <c r="B231" s="321">
        <v>5806</v>
      </c>
      <c r="C231" s="321" t="s">
        <v>262</v>
      </c>
      <c r="D231" s="321" t="s">
        <v>28</v>
      </c>
      <c r="E231" s="321" t="s">
        <v>29</v>
      </c>
      <c r="F231" s="321">
        <v>1241</v>
      </c>
      <c r="G231" s="321">
        <v>45172.4</v>
      </c>
      <c r="H231" s="321">
        <v>19162.849999999999</v>
      </c>
      <c r="I231" s="321" t="s">
        <v>30</v>
      </c>
      <c r="J231" s="321" t="s">
        <v>23</v>
      </c>
      <c r="K231" s="224">
        <f>H231/F231</f>
        <v>15.441458501208702</v>
      </c>
    </row>
    <row r="232" spans="1:11">
      <c r="A232" s="321">
        <v>11</v>
      </c>
      <c r="B232" s="321" t="s">
        <v>51</v>
      </c>
      <c r="C232" s="321" t="s">
        <v>52</v>
      </c>
      <c r="D232" s="321" t="s">
        <v>43</v>
      </c>
      <c r="E232" s="321"/>
      <c r="F232" s="405">
        <v>8640</v>
      </c>
      <c r="G232" s="405">
        <v>8640</v>
      </c>
      <c r="H232" s="405">
        <v>2706.05</v>
      </c>
      <c r="I232" s="321" t="s">
        <v>44</v>
      </c>
      <c r="J232" s="321" t="s">
        <v>23</v>
      </c>
      <c r="K232" s="224">
        <f>H232/F232</f>
        <v>0.31320023148148152</v>
      </c>
    </row>
    <row r="233" spans="1:11">
      <c r="A233" s="321">
        <v>201</v>
      </c>
      <c r="B233" s="321">
        <v>7416</v>
      </c>
      <c r="C233" s="321" t="s">
        <v>236</v>
      </c>
      <c r="D233" s="321" t="s">
        <v>28</v>
      </c>
      <c r="E233" s="321" t="s">
        <v>56</v>
      </c>
      <c r="F233" s="321">
        <v>89</v>
      </c>
      <c r="G233" s="321">
        <v>1246</v>
      </c>
      <c r="H233" s="321">
        <v>969.4</v>
      </c>
      <c r="I233" s="321" t="s">
        <v>30</v>
      </c>
      <c r="J233" s="321" t="s">
        <v>19</v>
      </c>
      <c r="K233" s="224">
        <f>H233/F233</f>
        <v>10.892134831460673</v>
      </c>
    </row>
    <row r="234" spans="1:11">
      <c r="A234" s="321">
        <v>201</v>
      </c>
      <c r="B234" s="321">
        <v>1335</v>
      </c>
      <c r="C234" s="321" t="s">
        <v>286</v>
      </c>
      <c r="D234" s="321" t="s">
        <v>28</v>
      </c>
      <c r="E234" s="321" t="s">
        <v>32</v>
      </c>
      <c r="F234" s="321">
        <v>0</v>
      </c>
      <c r="G234" s="405">
        <v>0</v>
      </c>
      <c r="H234" s="405">
        <v>0.1</v>
      </c>
      <c r="I234" s="321" t="s">
        <v>30</v>
      </c>
      <c r="J234" s="321" t="s">
        <v>19</v>
      </c>
      <c r="K234" s="224" t="e">
        <f>H234/F234</f>
        <v>#DIV/0!</v>
      </c>
    </row>
    <row r="235" spans="1:11" ht="12.75" customHeight="1">
      <c r="A235" s="321">
        <v>11</v>
      </c>
      <c r="B235" s="321" t="s">
        <v>263</v>
      </c>
      <c r="C235" s="321" t="s">
        <v>264</v>
      </c>
      <c r="D235" s="321" t="s">
        <v>43</v>
      </c>
      <c r="E235" s="321"/>
      <c r="F235" s="321">
        <v>440</v>
      </c>
      <c r="G235" s="321">
        <v>440</v>
      </c>
      <c r="H235" s="321">
        <v>2776.4</v>
      </c>
      <c r="I235" s="321" t="s">
        <v>44</v>
      </c>
      <c r="J235" s="321" t="s">
        <v>23</v>
      </c>
      <c r="K235" s="224">
        <f>H235/F235</f>
        <v>6.3100000000000005</v>
      </c>
    </row>
    <row r="236" spans="1:11">
      <c r="A236" s="321">
        <v>205</v>
      </c>
      <c r="B236" s="321" t="s">
        <v>125</v>
      </c>
      <c r="C236" s="321" t="s">
        <v>126</v>
      </c>
      <c r="D236" s="321" t="s">
        <v>43</v>
      </c>
      <c r="E236" s="321"/>
      <c r="F236" s="321">
        <v>32387.32</v>
      </c>
      <c r="G236" s="405">
        <v>32387.32</v>
      </c>
      <c r="H236" s="405">
        <v>23270.29</v>
      </c>
      <c r="I236" s="321" t="s">
        <v>44</v>
      </c>
      <c r="J236" s="321" t="s">
        <v>19</v>
      </c>
      <c r="K236" s="224">
        <f>H236/F236</f>
        <v>0.71850001790824314</v>
      </c>
    </row>
    <row r="237" spans="1:11">
      <c r="A237" s="321">
        <v>201</v>
      </c>
      <c r="B237" s="321">
        <v>9910</v>
      </c>
      <c r="C237" s="321" t="s">
        <v>346</v>
      </c>
      <c r="D237" s="321" t="s">
        <v>28</v>
      </c>
      <c r="E237" s="321" t="s">
        <v>56</v>
      </c>
      <c r="F237" s="321">
        <v>3</v>
      </c>
      <c r="G237" s="321">
        <v>65.819999999999993</v>
      </c>
      <c r="H237" s="321">
        <v>34.36</v>
      </c>
      <c r="I237" s="321" t="s">
        <v>30</v>
      </c>
      <c r="J237" s="321" t="s">
        <v>19</v>
      </c>
      <c r="K237" s="224">
        <f>H237/F237</f>
        <v>11.453333333333333</v>
      </c>
    </row>
    <row r="238" spans="1:11">
      <c r="A238" s="321">
        <v>201</v>
      </c>
      <c r="B238" s="321" t="s">
        <v>271</v>
      </c>
      <c r="C238" s="321" t="s">
        <v>272</v>
      </c>
      <c r="D238" s="321" t="s">
        <v>16</v>
      </c>
      <c r="E238" s="321" t="s">
        <v>22</v>
      </c>
      <c r="F238" s="321">
        <v>25075</v>
      </c>
      <c r="G238" s="405">
        <v>2.5099999999999998</v>
      </c>
      <c r="H238" s="405">
        <v>336.01</v>
      </c>
      <c r="I238" s="321" t="s">
        <v>18</v>
      </c>
      <c r="J238" s="321" t="s">
        <v>19</v>
      </c>
      <c r="K238" s="224">
        <f>H238/F238</f>
        <v>1.3400199401794616E-2</v>
      </c>
    </row>
    <row r="239" spans="1:11" ht="12.75" customHeight="1">
      <c r="A239" s="321">
        <v>288</v>
      </c>
      <c r="B239" s="321" t="s">
        <v>2869</v>
      </c>
      <c r="C239" s="321" t="s">
        <v>2870</v>
      </c>
      <c r="D239" s="321" t="s">
        <v>43</v>
      </c>
      <c r="E239" s="321" t="s">
        <v>2871</v>
      </c>
      <c r="F239" s="321">
        <v>-481</v>
      </c>
      <c r="G239" s="405">
        <v>-481</v>
      </c>
      <c r="H239" s="405">
        <v>-252.53</v>
      </c>
      <c r="I239" s="321" t="s">
        <v>44</v>
      </c>
      <c r="J239" s="321" t="s">
        <v>19</v>
      </c>
      <c r="K239" s="224">
        <f>H239/F239</f>
        <v>0.52501039501039504</v>
      </c>
    </row>
    <row r="240" spans="1:11">
      <c r="A240" s="321">
        <v>11</v>
      </c>
      <c r="B240" s="321" t="s">
        <v>159</v>
      </c>
      <c r="C240" s="321" t="s">
        <v>160</v>
      </c>
      <c r="D240" s="321" t="s">
        <v>16</v>
      </c>
      <c r="E240" s="321" t="s">
        <v>22</v>
      </c>
      <c r="F240" s="321">
        <v>20000</v>
      </c>
      <c r="G240" s="405">
        <v>2</v>
      </c>
      <c r="H240" s="405">
        <v>268</v>
      </c>
      <c r="I240" s="321" t="s">
        <v>18</v>
      </c>
      <c r="J240" s="321" t="s">
        <v>23</v>
      </c>
      <c r="K240" s="224">
        <f>H240/F240</f>
        <v>1.34E-2</v>
      </c>
    </row>
    <row r="241" spans="1:11">
      <c r="A241" s="321">
        <v>205</v>
      </c>
      <c r="B241" s="321" t="s">
        <v>2768</v>
      </c>
      <c r="C241" s="321" t="s">
        <v>2769</v>
      </c>
      <c r="D241" s="321" t="s">
        <v>43</v>
      </c>
      <c r="E241" s="321" t="s">
        <v>2770</v>
      </c>
      <c r="F241" s="405">
        <v>200</v>
      </c>
      <c r="G241" s="405">
        <v>200</v>
      </c>
      <c r="H241" s="405">
        <v>6551.96</v>
      </c>
      <c r="I241" s="321" t="s">
        <v>44</v>
      </c>
      <c r="J241" s="321" t="s">
        <v>19</v>
      </c>
      <c r="K241" s="224">
        <f>H241/F241</f>
        <v>32.759799999999998</v>
      </c>
    </row>
    <row r="242" spans="1:11">
      <c r="A242" s="321">
        <v>204</v>
      </c>
      <c r="B242" s="321">
        <v>9660</v>
      </c>
      <c r="C242" s="321" t="s">
        <v>275</v>
      </c>
      <c r="D242" s="321" t="s">
        <v>28</v>
      </c>
      <c r="E242" s="321" t="s">
        <v>56</v>
      </c>
      <c r="F242" s="405">
        <v>1058</v>
      </c>
      <c r="G242" s="405">
        <v>32798</v>
      </c>
      <c r="H242" s="405">
        <v>16959.63</v>
      </c>
      <c r="I242" s="321" t="s">
        <v>30</v>
      </c>
      <c r="J242" s="321" t="s">
        <v>19</v>
      </c>
      <c r="K242" s="224">
        <f>H242/F242</f>
        <v>16.029896030245748</v>
      </c>
    </row>
    <row r="243" spans="1:11" ht="12.75" customHeight="1">
      <c r="A243" s="321">
        <v>204</v>
      </c>
      <c r="B243" s="321">
        <v>4202</v>
      </c>
      <c r="C243" s="321" t="s">
        <v>276</v>
      </c>
      <c r="D243" s="321" t="s">
        <v>28</v>
      </c>
      <c r="E243" s="321" t="s">
        <v>56</v>
      </c>
      <c r="F243" s="405">
        <v>3485</v>
      </c>
      <c r="G243" s="405">
        <v>90610</v>
      </c>
      <c r="H243" s="405">
        <v>42418.37</v>
      </c>
      <c r="I243" s="321" t="s">
        <v>30</v>
      </c>
      <c r="J243" s="321" t="s">
        <v>19</v>
      </c>
      <c r="K243" s="224">
        <f>H243/F243</f>
        <v>12.171698708751794</v>
      </c>
    </row>
    <row r="244" spans="1:11">
      <c r="A244" s="321">
        <v>201</v>
      </c>
      <c r="B244" s="321" t="s">
        <v>191</v>
      </c>
      <c r="C244" s="321" t="s">
        <v>192</v>
      </c>
      <c r="D244" s="321" t="s">
        <v>43</v>
      </c>
      <c r="E244" s="321"/>
      <c r="F244" s="405">
        <v>106.7</v>
      </c>
      <c r="G244" s="405">
        <v>106.7</v>
      </c>
      <c r="H244" s="405">
        <v>1834.44</v>
      </c>
      <c r="I244" s="321" t="s">
        <v>44</v>
      </c>
      <c r="J244" s="321" t="s">
        <v>19</v>
      </c>
      <c r="K244" s="224">
        <f>H244/F244</f>
        <v>17.192502343017807</v>
      </c>
    </row>
    <row r="245" spans="1:11" ht="12.75" customHeight="1">
      <c r="A245" s="321">
        <v>11</v>
      </c>
      <c r="B245" s="321" t="s">
        <v>277</v>
      </c>
      <c r="C245" s="321" t="s">
        <v>278</v>
      </c>
      <c r="D245" s="321" t="s">
        <v>43</v>
      </c>
      <c r="E245" s="321"/>
      <c r="F245" s="405">
        <v>25</v>
      </c>
      <c r="G245" s="405">
        <v>25</v>
      </c>
      <c r="H245" s="405">
        <v>135.47</v>
      </c>
      <c r="I245" s="321" t="s">
        <v>44</v>
      </c>
      <c r="J245" s="321" t="s">
        <v>23</v>
      </c>
      <c r="K245" s="224">
        <f>H245/F245</f>
        <v>5.4188000000000001</v>
      </c>
    </row>
    <row r="246" spans="1:11">
      <c r="A246" s="321">
        <v>1</v>
      </c>
      <c r="B246" s="321">
        <v>7416</v>
      </c>
      <c r="C246" s="321" t="s">
        <v>236</v>
      </c>
      <c r="D246" s="321" t="s">
        <v>28</v>
      </c>
      <c r="E246" s="321" t="s">
        <v>56</v>
      </c>
      <c r="F246" s="321">
        <v>300</v>
      </c>
      <c r="G246" s="405">
        <v>4200</v>
      </c>
      <c r="H246" s="405">
        <v>2859.24</v>
      </c>
      <c r="I246" s="321" t="s">
        <v>30</v>
      </c>
      <c r="J246" s="321" t="s">
        <v>23</v>
      </c>
      <c r="K246" s="224">
        <f>H246/F246</f>
        <v>9.5307999999999993</v>
      </c>
    </row>
    <row r="247" spans="1:11">
      <c r="A247" s="321">
        <v>1</v>
      </c>
      <c r="B247" s="321" t="s">
        <v>196</v>
      </c>
      <c r="C247" s="321" t="s">
        <v>197</v>
      </c>
      <c r="D247" s="321" t="s">
        <v>34</v>
      </c>
      <c r="E247" s="321" t="s">
        <v>198</v>
      </c>
      <c r="F247" s="321">
        <v>45</v>
      </c>
      <c r="G247" s="321">
        <v>400.5</v>
      </c>
      <c r="H247" s="321">
        <v>182.05</v>
      </c>
      <c r="I247" s="321" t="s">
        <v>35</v>
      </c>
      <c r="J247" s="321" t="s">
        <v>23</v>
      </c>
      <c r="K247" s="224">
        <f>H247/F247</f>
        <v>4.0455555555555556</v>
      </c>
    </row>
    <row r="248" spans="1:11" ht="12.75" customHeight="1">
      <c r="A248" s="321">
        <v>11</v>
      </c>
      <c r="B248" s="321" t="s">
        <v>316</v>
      </c>
      <c r="C248" s="321" t="s">
        <v>317</v>
      </c>
      <c r="D248" s="321" t="s">
        <v>34</v>
      </c>
      <c r="E248" s="321" t="s">
        <v>143</v>
      </c>
      <c r="F248" s="405">
        <v>18620</v>
      </c>
      <c r="G248" s="405">
        <v>165718</v>
      </c>
      <c r="H248" s="405">
        <v>107809.8</v>
      </c>
      <c r="I248" s="321" t="s">
        <v>35</v>
      </c>
      <c r="J248" s="321" t="s">
        <v>23</v>
      </c>
      <c r="K248" s="224">
        <f>H248/F248</f>
        <v>5.79</v>
      </c>
    </row>
    <row r="249" spans="1:11" ht="12.75" customHeight="1">
      <c r="A249" s="321">
        <v>1</v>
      </c>
      <c r="B249" s="321" t="s">
        <v>1022</v>
      </c>
      <c r="C249" s="321" t="s">
        <v>2744</v>
      </c>
      <c r="D249" s="321" t="s">
        <v>34</v>
      </c>
      <c r="E249" s="321"/>
      <c r="F249" s="321">
        <v>0</v>
      </c>
      <c r="G249" s="321">
        <v>0</v>
      </c>
      <c r="H249" s="321">
        <v>0</v>
      </c>
      <c r="I249" s="321" t="s">
        <v>35</v>
      </c>
      <c r="J249" s="321" t="s">
        <v>23</v>
      </c>
      <c r="K249" s="224" t="e">
        <f>H249/F249</f>
        <v>#DIV/0!</v>
      </c>
    </row>
    <row r="250" spans="1:11">
      <c r="A250" s="321">
        <v>1</v>
      </c>
      <c r="B250" s="321" t="s">
        <v>279</v>
      </c>
      <c r="C250" s="321" t="s">
        <v>280</v>
      </c>
      <c r="D250" s="321" t="s">
        <v>16</v>
      </c>
      <c r="E250" s="321" t="s">
        <v>17</v>
      </c>
      <c r="F250" s="321">
        <v>2069</v>
      </c>
      <c r="G250" s="405">
        <v>2069</v>
      </c>
      <c r="H250" s="405">
        <v>1054.1600000000001</v>
      </c>
      <c r="I250" s="321" t="s">
        <v>18</v>
      </c>
      <c r="J250" s="321" t="s">
        <v>23</v>
      </c>
      <c r="K250" s="224">
        <f>H250/F250</f>
        <v>0.50950217496375061</v>
      </c>
    </row>
    <row r="251" spans="1:11">
      <c r="A251" s="321">
        <v>88</v>
      </c>
      <c r="B251" s="321" t="s">
        <v>2820</v>
      </c>
      <c r="C251" s="321" t="s">
        <v>2821</v>
      </c>
      <c r="D251" s="321" t="s">
        <v>34</v>
      </c>
      <c r="E251" s="321"/>
      <c r="F251" s="321">
        <v>0</v>
      </c>
      <c r="G251" s="405">
        <v>0</v>
      </c>
      <c r="H251" s="405">
        <v>0</v>
      </c>
      <c r="I251" s="321" t="s">
        <v>35</v>
      </c>
      <c r="J251" s="321" t="s">
        <v>23</v>
      </c>
      <c r="K251" s="224" t="e">
        <f>H251/F251</f>
        <v>#DIV/0!</v>
      </c>
    </row>
    <row r="252" spans="1:11">
      <c r="A252" s="321">
        <v>201</v>
      </c>
      <c r="B252" s="321">
        <v>5314</v>
      </c>
      <c r="C252" s="321" t="s">
        <v>55</v>
      </c>
      <c r="D252" s="321" t="s">
        <v>28</v>
      </c>
      <c r="E252" s="321" t="s">
        <v>56</v>
      </c>
      <c r="F252" s="321">
        <v>1</v>
      </c>
      <c r="G252" s="321">
        <v>25.63</v>
      </c>
      <c r="H252" s="321">
        <v>8.73</v>
      </c>
      <c r="I252" s="321" t="s">
        <v>30</v>
      </c>
      <c r="J252" s="321" t="s">
        <v>19</v>
      </c>
      <c r="K252" s="224">
        <f>H252/F252</f>
        <v>8.73</v>
      </c>
    </row>
    <row r="253" spans="1:11">
      <c r="A253" s="321">
        <v>201</v>
      </c>
      <c r="B253" s="321">
        <v>8554</v>
      </c>
      <c r="C253" s="321" t="s">
        <v>292</v>
      </c>
      <c r="D253" s="321" t="s">
        <v>28</v>
      </c>
      <c r="E253" s="321" t="s">
        <v>56</v>
      </c>
      <c r="F253" s="405">
        <v>24</v>
      </c>
      <c r="G253" s="405">
        <v>672</v>
      </c>
      <c r="H253" s="321">
        <v>309.44</v>
      </c>
      <c r="I253" s="321" t="s">
        <v>30</v>
      </c>
      <c r="J253" s="321" t="s">
        <v>19</v>
      </c>
      <c r="K253" s="224">
        <f>H253/F253</f>
        <v>12.893333333333333</v>
      </c>
    </row>
    <row r="254" spans="1:11" ht="12.75" customHeight="1">
      <c r="A254" s="321">
        <v>201</v>
      </c>
      <c r="B254" s="321" t="s">
        <v>281</v>
      </c>
      <c r="C254" s="321" t="s">
        <v>282</v>
      </c>
      <c r="D254" s="321" t="s">
        <v>43</v>
      </c>
      <c r="E254" s="321" t="s">
        <v>283</v>
      </c>
      <c r="F254" s="321">
        <v>193.68</v>
      </c>
      <c r="G254" s="321">
        <v>193.68</v>
      </c>
      <c r="H254" s="321">
        <v>2711.52</v>
      </c>
      <c r="I254" s="321" t="s">
        <v>44</v>
      </c>
      <c r="J254" s="321" t="s">
        <v>19</v>
      </c>
      <c r="K254" s="224">
        <f>H254/F254</f>
        <v>14</v>
      </c>
    </row>
    <row r="255" spans="1:11" ht="12.75" customHeight="1">
      <c r="A255" s="321">
        <v>211</v>
      </c>
      <c r="B255" s="321">
        <v>1335</v>
      </c>
      <c r="C255" s="321" t="s">
        <v>286</v>
      </c>
      <c r="D255" s="321" t="s">
        <v>28</v>
      </c>
      <c r="E255" s="321" t="s">
        <v>32</v>
      </c>
      <c r="F255" s="321">
        <v>49152</v>
      </c>
      <c r="G255" s="405">
        <v>442368</v>
      </c>
      <c r="H255" s="321">
        <v>292449.48</v>
      </c>
      <c r="I255" s="321" t="s">
        <v>30</v>
      </c>
      <c r="J255" s="321" t="s">
        <v>19</v>
      </c>
      <c r="K255" s="224">
        <f>H255/F255</f>
        <v>5.9498999023437493</v>
      </c>
    </row>
    <row r="256" spans="1:11" ht="12.75" customHeight="1">
      <c r="A256" s="321">
        <v>11</v>
      </c>
      <c r="B256" s="321" t="s">
        <v>279</v>
      </c>
      <c r="C256" s="321" t="s">
        <v>280</v>
      </c>
      <c r="D256" s="321" t="s">
        <v>16</v>
      </c>
      <c r="E256" s="321" t="s">
        <v>17</v>
      </c>
      <c r="F256" s="321">
        <v>4625</v>
      </c>
      <c r="G256" s="321">
        <v>4625</v>
      </c>
      <c r="H256" s="321">
        <v>2356.9</v>
      </c>
      <c r="I256" s="321" t="s">
        <v>18</v>
      </c>
      <c r="J256" s="321" t="s">
        <v>23</v>
      </c>
      <c r="K256" s="224">
        <f>H256/F256</f>
        <v>0.50960000000000005</v>
      </c>
    </row>
    <row r="257" spans="1:11">
      <c r="A257" s="321">
        <v>211</v>
      </c>
      <c r="B257" s="321" t="s">
        <v>168</v>
      </c>
      <c r="C257" s="321" t="s">
        <v>169</v>
      </c>
      <c r="D257" s="321" t="s">
        <v>16</v>
      </c>
      <c r="E257" s="321"/>
      <c r="F257" s="321">
        <v>17941</v>
      </c>
      <c r="G257" s="321">
        <v>1794.1</v>
      </c>
      <c r="H257" s="321">
        <v>1756.42</v>
      </c>
      <c r="I257" s="321" t="s">
        <v>18</v>
      </c>
      <c r="J257" s="321" t="s">
        <v>19</v>
      </c>
      <c r="K257" s="224">
        <f>H257/F257</f>
        <v>9.789978262081267E-2</v>
      </c>
    </row>
    <row r="258" spans="1:11" ht="12.75" customHeight="1">
      <c r="A258" s="321">
        <v>201</v>
      </c>
      <c r="B258" s="321" t="s">
        <v>290</v>
      </c>
      <c r="C258" s="321" t="s">
        <v>291</v>
      </c>
      <c r="D258" s="321" t="s">
        <v>16</v>
      </c>
      <c r="E258" s="321" t="s">
        <v>22</v>
      </c>
      <c r="F258" s="405">
        <v>18600</v>
      </c>
      <c r="G258" s="405">
        <v>1.86</v>
      </c>
      <c r="H258" s="405">
        <v>249.24</v>
      </c>
      <c r="I258" s="321" t="s">
        <v>18</v>
      </c>
      <c r="J258" s="321" t="s">
        <v>19</v>
      </c>
      <c r="K258" s="224">
        <f>H258/F258</f>
        <v>1.34E-2</v>
      </c>
    </row>
    <row r="259" spans="1:11" ht="12.75" customHeight="1">
      <c r="A259" s="321">
        <v>201</v>
      </c>
      <c r="B259" s="321" t="s">
        <v>2771</v>
      </c>
      <c r="C259" s="321" t="s">
        <v>2772</v>
      </c>
      <c r="D259" s="321" t="s">
        <v>16</v>
      </c>
      <c r="E259" s="321" t="s">
        <v>22</v>
      </c>
      <c r="F259" s="321">
        <v>22594</v>
      </c>
      <c r="G259" s="405">
        <v>2.2599999999999998</v>
      </c>
      <c r="H259" s="405">
        <v>302.76</v>
      </c>
      <c r="I259" s="321" t="s">
        <v>18</v>
      </c>
      <c r="J259" s="321" t="s">
        <v>19</v>
      </c>
      <c r="K259" s="224">
        <f>H259/F259</f>
        <v>1.3400017703815171E-2</v>
      </c>
    </row>
    <row r="260" spans="1:11" ht="12.75" customHeight="1">
      <c r="A260" s="321">
        <v>288</v>
      </c>
      <c r="B260" s="321">
        <v>9314</v>
      </c>
      <c r="C260" s="321" t="s">
        <v>636</v>
      </c>
      <c r="D260" s="321" t="s">
        <v>28</v>
      </c>
      <c r="E260" s="321" t="s">
        <v>56</v>
      </c>
      <c r="F260" s="321">
        <v>-1</v>
      </c>
      <c r="G260" s="321">
        <v>-27.5</v>
      </c>
      <c r="H260" s="321">
        <v>79.92</v>
      </c>
      <c r="I260" s="321" t="s">
        <v>30</v>
      </c>
      <c r="J260" s="321" t="s">
        <v>19</v>
      </c>
      <c r="K260" s="224">
        <f>H260/F260</f>
        <v>-79.92</v>
      </c>
    </row>
    <row r="261" spans="1:11" ht="12.75" customHeight="1">
      <c r="A261" s="321">
        <v>211</v>
      </c>
      <c r="B261" s="321">
        <v>8554</v>
      </c>
      <c r="C261" s="321" t="s">
        <v>292</v>
      </c>
      <c r="D261" s="321" t="s">
        <v>28</v>
      </c>
      <c r="E261" s="321" t="s">
        <v>56</v>
      </c>
      <c r="F261" s="321">
        <v>126</v>
      </c>
      <c r="G261" s="405">
        <v>3528</v>
      </c>
      <c r="H261" s="405">
        <v>1624.58</v>
      </c>
      <c r="I261" s="321" t="s">
        <v>30</v>
      </c>
      <c r="J261" s="321" t="s">
        <v>19</v>
      </c>
      <c r="K261" s="224">
        <f>H261/F261</f>
        <v>12.893492063492063</v>
      </c>
    </row>
    <row r="262" spans="1:11" ht="12.75" customHeight="1">
      <c r="A262" s="321">
        <v>201</v>
      </c>
      <c r="B262" s="321">
        <v>7415</v>
      </c>
      <c r="C262" s="321" t="s">
        <v>147</v>
      </c>
      <c r="D262" s="321" t="s">
        <v>28</v>
      </c>
      <c r="E262" s="321" t="s">
        <v>56</v>
      </c>
      <c r="F262" s="321">
        <v>106</v>
      </c>
      <c r="G262" s="405">
        <v>2968</v>
      </c>
      <c r="H262" s="405">
        <v>2066.5100000000002</v>
      </c>
      <c r="I262" s="321" t="s">
        <v>30</v>
      </c>
      <c r="J262" s="321" t="s">
        <v>19</v>
      </c>
      <c r="K262" s="224">
        <f>H262/F262</f>
        <v>19.495377358490568</v>
      </c>
    </row>
    <row r="263" spans="1:11">
      <c r="A263" s="321">
        <v>211</v>
      </c>
      <c r="B263" s="321">
        <v>1701</v>
      </c>
      <c r="C263" s="321" t="s">
        <v>2911</v>
      </c>
      <c r="D263" s="321" t="s">
        <v>28</v>
      </c>
      <c r="E263" s="321" t="s">
        <v>56</v>
      </c>
      <c r="F263" s="321">
        <v>240</v>
      </c>
      <c r="G263" s="321">
        <v>3667.2</v>
      </c>
      <c r="H263" s="321">
        <v>4481.38</v>
      </c>
      <c r="I263" s="321" t="s">
        <v>30</v>
      </c>
      <c r="J263" s="321" t="s">
        <v>19</v>
      </c>
      <c r="K263" s="224">
        <f>H263/F263</f>
        <v>18.672416666666667</v>
      </c>
    </row>
    <row r="264" spans="1:11" ht="12.75" customHeight="1">
      <c r="A264" s="321">
        <v>11</v>
      </c>
      <c r="B264" s="321" t="s">
        <v>210</v>
      </c>
      <c r="C264" s="321" t="s">
        <v>211</v>
      </c>
      <c r="D264" s="321" t="s">
        <v>43</v>
      </c>
      <c r="E264" s="321" t="s">
        <v>212</v>
      </c>
      <c r="F264" s="321">
        <v>3900</v>
      </c>
      <c r="G264" s="405">
        <v>3900</v>
      </c>
      <c r="H264" s="405">
        <v>5148</v>
      </c>
      <c r="I264" s="321" t="s">
        <v>44</v>
      </c>
      <c r="J264" s="321" t="s">
        <v>23</v>
      </c>
      <c r="K264" s="224">
        <f>H264/F264</f>
        <v>1.32</v>
      </c>
    </row>
    <row r="265" spans="1:11" ht="15" customHeight="1">
      <c r="A265" s="321">
        <v>205</v>
      </c>
      <c r="B265" s="321" t="s">
        <v>303</v>
      </c>
      <c r="C265" s="321" t="s">
        <v>304</v>
      </c>
      <c r="D265" s="321" t="s">
        <v>34</v>
      </c>
      <c r="E265" s="321"/>
      <c r="F265" s="321">
        <v>50</v>
      </c>
      <c r="G265" s="321">
        <v>600</v>
      </c>
      <c r="H265" s="321">
        <v>557</v>
      </c>
      <c r="I265" s="321" t="s">
        <v>44</v>
      </c>
      <c r="J265" s="321" t="s">
        <v>19</v>
      </c>
      <c r="K265" s="224">
        <f>H265/F265</f>
        <v>11.14</v>
      </c>
    </row>
    <row r="266" spans="1:11" ht="12.75" customHeight="1">
      <c r="A266" s="321">
        <v>205</v>
      </c>
      <c r="B266" s="321" t="s">
        <v>293</v>
      </c>
      <c r="C266" s="321" t="s">
        <v>294</v>
      </c>
      <c r="D266" s="321" t="s">
        <v>34</v>
      </c>
      <c r="E266" s="321"/>
      <c r="F266" s="321">
        <v>18432</v>
      </c>
      <c r="G266" s="405">
        <v>161455.1</v>
      </c>
      <c r="H266" s="405">
        <v>32908.49</v>
      </c>
      <c r="I266" s="321" t="s">
        <v>35</v>
      </c>
      <c r="J266" s="321" t="s">
        <v>19</v>
      </c>
      <c r="K266" s="224">
        <f>H266/F266</f>
        <v>1.7853998480902777</v>
      </c>
    </row>
    <row r="267" spans="1:11">
      <c r="A267" s="321">
        <v>205</v>
      </c>
      <c r="B267" s="321" t="s">
        <v>73</v>
      </c>
      <c r="C267" s="321" t="s">
        <v>74</v>
      </c>
      <c r="D267" s="321" t="s">
        <v>34</v>
      </c>
      <c r="E267" s="321"/>
      <c r="F267" s="321">
        <v>22848</v>
      </c>
      <c r="G267" s="405">
        <v>203347.20000000001</v>
      </c>
      <c r="H267" s="321">
        <v>77434.16</v>
      </c>
      <c r="I267" s="321" t="s">
        <v>35</v>
      </c>
      <c r="J267" s="321" t="s">
        <v>19</v>
      </c>
      <c r="K267" s="224">
        <f>H267/F267</f>
        <v>3.3891001400560228</v>
      </c>
    </row>
    <row r="268" spans="1:11">
      <c r="A268" s="321">
        <v>1</v>
      </c>
      <c r="B268" s="321" t="s">
        <v>159</v>
      </c>
      <c r="C268" s="321" t="s">
        <v>160</v>
      </c>
      <c r="D268" s="321" t="s">
        <v>16</v>
      </c>
      <c r="E268" s="321" t="s">
        <v>22</v>
      </c>
      <c r="F268" s="321">
        <v>2635</v>
      </c>
      <c r="G268" s="321">
        <v>0.26</v>
      </c>
      <c r="H268" s="321">
        <v>35.31</v>
      </c>
      <c r="I268" s="321" t="s">
        <v>18</v>
      </c>
      <c r="J268" s="321" t="s">
        <v>23</v>
      </c>
      <c r="K268" s="224">
        <f>H268/F268</f>
        <v>1.3400379506641366E-2</v>
      </c>
    </row>
    <row r="269" spans="1:11" ht="12.75" customHeight="1">
      <c r="A269" s="321">
        <v>201</v>
      </c>
      <c r="B269" s="321">
        <v>4113</v>
      </c>
      <c r="C269" s="321" t="s">
        <v>381</v>
      </c>
      <c r="D269" s="321" t="s">
        <v>28</v>
      </c>
      <c r="E269" s="321" t="s">
        <v>32</v>
      </c>
      <c r="F269" s="321">
        <v>2</v>
      </c>
      <c r="G269" s="405">
        <v>58</v>
      </c>
      <c r="H269" s="405">
        <v>59.52</v>
      </c>
      <c r="I269" s="321" t="s">
        <v>30</v>
      </c>
      <c r="J269" s="321" t="s">
        <v>59</v>
      </c>
      <c r="K269" s="224">
        <f>H269/F269</f>
        <v>29.76</v>
      </c>
    </row>
    <row r="270" spans="1:11" ht="12.75" customHeight="1">
      <c r="A270" s="321">
        <v>288</v>
      </c>
      <c r="B270" s="321">
        <v>4101</v>
      </c>
      <c r="C270" s="321" t="s">
        <v>329</v>
      </c>
      <c r="D270" s="321" t="s">
        <v>28</v>
      </c>
      <c r="E270" s="321" t="s">
        <v>29</v>
      </c>
      <c r="F270" s="321">
        <v>-6</v>
      </c>
      <c r="G270" s="405">
        <v>-228</v>
      </c>
      <c r="H270" s="405">
        <v>-216</v>
      </c>
      <c r="I270" s="321" t="s">
        <v>30</v>
      </c>
      <c r="J270" s="321" t="s">
        <v>59</v>
      </c>
      <c r="K270" s="224">
        <f>H270/F270</f>
        <v>36</v>
      </c>
    </row>
    <row r="271" spans="1:11">
      <c r="A271" s="321">
        <v>11</v>
      </c>
      <c r="B271" s="321" t="s">
        <v>295</v>
      </c>
      <c r="C271" s="321" t="s">
        <v>296</v>
      </c>
      <c r="D271" s="321" t="s">
        <v>16</v>
      </c>
      <c r="E271" s="321" t="s">
        <v>22</v>
      </c>
      <c r="F271" s="321">
        <v>10000</v>
      </c>
      <c r="G271" s="405">
        <v>1</v>
      </c>
      <c r="H271" s="405">
        <v>134</v>
      </c>
      <c r="I271" s="321" t="s">
        <v>18</v>
      </c>
      <c r="J271" s="321" t="s">
        <v>23</v>
      </c>
      <c r="K271" s="224">
        <f>H271/F271</f>
        <v>1.34E-2</v>
      </c>
    </row>
    <row r="272" spans="1:11" ht="12.75" customHeight="1">
      <c r="A272" s="321">
        <v>11</v>
      </c>
      <c r="B272" s="321">
        <v>4106</v>
      </c>
      <c r="C272" s="321" t="s">
        <v>2827</v>
      </c>
      <c r="D272" s="321" t="s">
        <v>28</v>
      </c>
      <c r="E272" s="321" t="s">
        <v>32</v>
      </c>
      <c r="F272" s="321">
        <v>659</v>
      </c>
      <c r="G272" s="405">
        <v>7367.62</v>
      </c>
      <c r="H272" s="405">
        <v>5998.15</v>
      </c>
      <c r="I272" s="321" t="s">
        <v>30</v>
      </c>
      <c r="J272" s="321" t="s">
        <v>23</v>
      </c>
      <c r="K272" s="224">
        <f>H272/F272</f>
        <v>9.1018968133535658</v>
      </c>
    </row>
    <row r="273" spans="1:13">
      <c r="A273" s="321">
        <v>201</v>
      </c>
      <c r="B273" s="321" t="s">
        <v>150</v>
      </c>
      <c r="C273" s="321" t="s">
        <v>151</v>
      </c>
      <c r="D273" s="321" t="s">
        <v>43</v>
      </c>
      <c r="E273" s="321"/>
      <c r="F273" s="321">
        <v>476</v>
      </c>
      <c r="G273" s="405">
        <v>476</v>
      </c>
      <c r="H273" s="405">
        <v>368.8</v>
      </c>
      <c r="I273" s="321" t="s">
        <v>44</v>
      </c>
      <c r="J273" s="321" t="s">
        <v>19</v>
      </c>
      <c r="K273" s="224">
        <f>H273/F273</f>
        <v>0.77478991596638658</v>
      </c>
    </row>
    <row r="274" spans="1:13">
      <c r="A274" s="321">
        <v>201</v>
      </c>
      <c r="B274" s="321" t="s">
        <v>41</v>
      </c>
      <c r="C274" s="321" t="s">
        <v>42</v>
      </c>
      <c r="D274" s="321" t="s">
        <v>43</v>
      </c>
      <c r="E274" s="321"/>
      <c r="F274" s="405">
        <v>143.80000000000001</v>
      </c>
      <c r="G274" s="405">
        <v>143.80000000000001</v>
      </c>
      <c r="H274" s="405">
        <v>136.63999999999999</v>
      </c>
      <c r="I274" s="321" t="s">
        <v>44</v>
      </c>
      <c r="J274" s="321" t="s">
        <v>19</v>
      </c>
      <c r="K274" s="224">
        <f>H274/F274</f>
        <v>0.95020862308762155</v>
      </c>
    </row>
    <row r="275" spans="1:13">
      <c r="A275" s="321">
        <v>1</v>
      </c>
      <c r="B275" s="321" t="s">
        <v>253</v>
      </c>
      <c r="C275" s="321" t="s">
        <v>254</v>
      </c>
      <c r="D275" s="321" t="s">
        <v>16</v>
      </c>
      <c r="E275" s="321" t="s">
        <v>22</v>
      </c>
      <c r="F275" s="321">
        <v>9949</v>
      </c>
      <c r="G275" s="321">
        <v>0.99</v>
      </c>
      <c r="H275" s="321">
        <v>125.36</v>
      </c>
      <c r="I275" s="321" t="s">
        <v>18</v>
      </c>
      <c r="J275" s="321" t="s">
        <v>23</v>
      </c>
      <c r="K275" s="224">
        <f>H275/F275</f>
        <v>1.2600261332797265E-2</v>
      </c>
    </row>
    <row r="276" spans="1:13">
      <c r="A276" s="321">
        <v>201</v>
      </c>
      <c r="B276" s="321" t="s">
        <v>260</v>
      </c>
      <c r="C276" s="321" t="s">
        <v>261</v>
      </c>
      <c r="D276" s="321" t="s">
        <v>43</v>
      </c>
      <c r="E276" s="321"/>
      <c r="F276" s="321">
        <v>1612</v>
      </c>
      <c r="G276" s="321">
        <v>1612</v>
      </c>
      <c r="H276" s="321">
        <v>812.13</v>
      </c>
      <c r="I276" s="321" t="s">
        <v>44</v>
      </c>
      <c r="J276" s="321" t="s">
        <v>19</v>
      </c>
      <c r="K276" s="224">
        <f>H276/F276</f>
        <v>0.503802729528536</v>
      </c>
    </row>
    <row r="277" spans="1:13" ht="12.75" customHeight="1">
      <c r="A277" s="321">
        <v>1</v>
      </c>
      <c r="B277" s="321" t="s">
        <v>267</v>
      </c>
      <c r="C277" s="321" t="s">
        <v>268</v>
      </c>
      <c r="D277" s="321" t="s">
        <v>16</v>
      </c>
      <c r="E277" s="321" t="s">
        <v>22</v>
      </c>
      <c r="F277" s="321">
        <v>17554</v>
      </c>
      <c r="G277" s="405">
        <v>1.76</v>
      </c>
      <c r="H277" s="405">
        <v>235.22</v>
      </c>
      <c r="I277" s="321" t="s">
        <v>18</v>
      </c>
      <c r="J277" s="321" t="s">
        <v>23</v>
      </c>
      <c r="K277" s="224">
        <f>H277/F277</f>
        <v>1.3399794918537086E-2</v>
      </c>
    </row>
    <row r="278" spans="1:13" ht="12.75" customHeight="1">
      <c r="A278" s="321">
        <v>205</v>
      </c>
      <c r="B278" s="321" t="s">
        <v>121</v>
      </c>
      <c r="C278" s="321" t="s">
        <v>122</v>
      </c>
      <c r="D278" s="321" t="s">
        <v>43</v>
      </c>
      <c r="E278" s="321"/>
      <c r="F278" s="321">
        <v>141576</v>
      </c>
      <c r="G278" s="321">
        <v>141576</v>
      </c>
      <c r="H278" s="321">
        <v>86488.78</v>
      </c>
      <c r="I278" s="321" t="s">
        <v>44</v>
      </c>
      <c r="J278" s="321" t="s">
        <v>19</v>
      </c>
      <c r="K278" s="224">
        <f>H278/F278</f>
        <v>0.61090001130135052</v>
      </c>
    </row>
    <row r="279" spans="1:13" ht="12.75" customHeight="1">
      <c r="A279" s="321">
        <v>205</v>
      </c>
      <c r="B279" s="321" t="s">
        <v>297</v>
      </c>
      <c r="C279" s="321" t="s">
        <v>298</v>
      </c>
      <c r="D279" s="321" t="s">
        <v>34</v>
      </c>
      <c r="E279" s="321" t="s">
        <v>299</v>
      </c>
      <c r="F279" s="321">
        <v>6285</v>
      </c>
      <c r="G279" s="321">
        <v>66181.05</v>
      </c>
      <c r="H279" s="321">
        <v>85856.87</v>
      </c>
      <c r="I279" s="321" t="s">
        <v>44</v>
      </c>
      <c r="J279" s="321" t="s">
        <v>19</v>
      </c>
      <c r="K279" s="224">
        <f>H279/F279</f>
        <v>13.66059984089101</v>
      </c>
    </row>
    <row r="280" spans="1:13" ht="12.75" customHeight="1">
      <c r="A280" s="321">
        <v>205</v>
      </c>
      <c r="B280" s="321" t="s">
        <v>166</v>
      </c>
      <c r="C280" s="321" t="s">
        <v>167</v>
      </c>
      <c r="D280" s="321" t="s">
        <v>34</v>
      </c>
      <c r="E280" s="321"/>
      <c r="F280" s="405">
        <v>5400</v>
      </c>
      <c r="G280" s="405">
        <v>48060</v>
      </c>
      <c r="H280" s="405">
        <v>17939.34</v>
      </c>
      <c r="I280" s="321" t="s">
        <v>35</v>
      </c>
      <c r="J280" s="321" t="s">
        <v>19</v>
      </c>
      <c r="K280" s="224">
        <f>H280/F280</f>
        <v>3.3220999999999998</v>
      </c>
      <c r="L280" s="215"/>
    </row>
    <row r="281" spans="1:13" ht="12.75" customHeight="1">
      <c r="A281" s="321">
        <v>99</v>
      </c>
      <c r="B281" s="321">
        <v>4106</v>
      </c>
      <c r="C281" s="321" t="s">
        <v>2827</v>
      </c>
      <c r="D281" s="321" t="s">
        <v>28</v>
      </c>
      <c r="E281" s="321" t="s">
        <v>32</v>
      </c>
      <c r="F281" s="405">
        <v>7</v>
      </c>
      <c r="G281" s="405">
        <v>78.260000000000005</v>
      </c>
      <c r="H281" s="405">
        <v>66.319999999999993</v>
      </c>
      <c r="I281" s="321" t="s">
        <v>30</v>
      </c>
      <c r="J281" s="321" t="s">
        <v>23</v>
      </c>
      <c r="K281" s="224">
        <f>H281/F281</f>
        <v>9.4742857142857133</v>
      </c>
    </row>
    <row r="282" spans="1:13" ht="12.75" customHeight="1">
      <c r="A282" s="321">
        <v>11</v>
      </c>
      <c r="B282" s="321" t="s">
        <v>305</v>
      </c>
      <c r="C282" s="321" t="s">
        <v>306</v>
      </c>
      <c r="D282" s="321" t="s">
        <v>43</v>
      </c>
      <c r="E282" s="321"/>
      <c r="F282" s="321">
        <v>1212.0999999999999</v>
      </c>
      <c r="G282" s="405">
        <v>1212.0999999999999</v>
      </c>
      <c r="H282" s="405">
        <v>3889.63</v>
      </c>
      <c r="I282" s="321" t="s">
        <v>44</v>
      </c>
      <c r="J282" s="321" t="s">
        <v>23</v>
      </c>
      <c r="K282" s="224">
        <f>H282/F282</f>
        <v>3.2090009075158821</v>
      </c>
    </row>
    <row r="283" spans="1:13" ht="12.75" customHeight="1">
      <c r="A283" s="321">
        <v>88</v>
      </c>
      <c r="B283" s="321">
        <v>7416</v>
      </c>
      <c r="C283" s="321" t="s">
        <v>236</v>
      </c>
      <c r="D283" s="321" t="s">
        <v>28</v>
      </c>
      <c r="E283" s="321" t="s">
        <v>56</v>
      </c>
      <c r="F283" s="321">
        <v>10</v>
      </c>
      <c r="G283" s="405">
        <v>140</v>
      </c>
      <c r="H283" s="405">
        <v>98.4</v>
      </c>
      <c r="I283" s="321" t="s">
        <v>30</v>
      </c>
      <c r="J283" s="321" t="s">
        <v>23</v>
      </c>
      <c r="K283" s="224">
        <f>H283/F283</f>
        <v>9.84</v>
      </c>
    </row>
    <row r="284" spans="1:13">
      <c r="A284" s="321">
        <v>205</v>
      </c>
      <c r="B284" s="321" t="s">
        <v>307</v>
      </c>
      <c r="C284" s="321" t="s">
        <v>308</v>
      </c>
      <c r="D284" s="321" t="s">
        <v>34</v>
      </c>
      <c r="E284" s="321"/>
      <c r="F284" s="405">
        <v>9855</v>
      </c>
      <c r="G284" s="405">
        <v>87709.5</v>
      </c>
      <c r="H284" s="405">
        <v>40537.56</v>
      </c>
      <c r="I284" s="321" t="s">
        <v>35</v>
      </c>
      <c r="J284" s="321" t="s">
        <v>19</v>
      </c>
      <c r="K284" s="224">
        <f>H284/F284</f>
        <v>4.1134003044140028</v>
      </c>
    </row>
    <row r="285" spans="1:13" ht="15">
      <c r="A285" s="321">
        <v>288</v>
      </c>
      <c r="B285" s="321" t="s">
        <v>316</v>
      </c>
      <c r="C285" s="321" t="s">
        <v>317</v>
      </c>
      <c r="D285" s="321" t="s">
        <v>34</v>
      </c>
      <c r="E285" s="321" t="s">
        <v>143</v>
      </c>
      <c r="F285" s="321">
        <v>0</v>
      </c>
      <c r="G285" s="405">
        <v>0</v>
      </c>
      <c r="H285" s="405">
        <v>2.98</v>
      </c>
      <c r="I285" s="321" t="s">
        <v>35</v>
      </c>
      <c r="J285" s="321" t="s">
        <v>19</v>
      </c>
      <c r="K285" s="224" t="e">
        <f>H285/F285</f>
        <v>#DIV/0!</v>
      </c>
      <c r="M285" s="215"/>
    </row>
    <row r="286" spans="1:13" ht="15">
      <c r="A286" s="321">
        <v>205</v>
      </c>
      <c r="B286" s="321" t="s">
        <v>258</v>
      </c>
      <c r="C286" s="321" t="s">
        <v>259</v>
      </c>
      <c r="D286" s="321" t="s">
        <v>34</v>
      </c>
      <c r="E286" s="321"/>
      <c r="F286" s="405">
        <v>1500</v>
      </c>
      <c r="G286" s="405">
        <v>16695</v>
      </c>
      <c r="H286" s="405">
        <v>29250</v>
      </c>
      <c r="I286" s="321" t="s">
        <v>44</v>
      </c>
      <c r="J286" s="321" t="s">
        <v>19</v>
      </c>
      <c r="K286" s="224">
        <f>H286/F286</f>
        <v>19.5</v>
      </c>
      <c r="M286" s="215"/>
    </row>
    <row r="287" spans="1:13" ht="15">
      <c r="A287" s="321">
        <v>11</v>
      </c>
      <c r="B287" s="321">
        <v>9166</v>
      </c>
      <c r="C287" s="321" t="s">
        <v>237</v>
      </c>
      <c r="D287" s="321" t="s">
        <v>28</v>
      </c>
      <c r="E287" s="321" t="s">
        <v>56</v>
      </c>
      <c r="F287" s="321">
        <v>2956</v>
      </c>
      <c r="G287" s="405">
        <v>91195.56</v>
      </c>
      <c r="H287" s="405">
        <v>46252.24</v>
      </c>
      <c r="I287" s="321" t="s">
        <v>30</v>
      </c>
      <c r="J287" s="321" t="s">
        <v>23</v>
      </c>
      <c r="K287" s="224">
        <f>H287/F287</f>
        <v>15.646901217861975</v>
      </c>
      <c r="M287" s="215"/>
    </row>
    <row r="288" spans="1:13" ht="12.75" customHeight="1">
      <c r="A288" s="321">
        <v>223</v>
      </c>
      <c r="B288" s="321" t="s">
        <v>309</v>
      </c>
      <c r="C288" s="321" t="s">
        <v>310</v>
      </c>
      <c r="D288" s="321" t="s">
        <v>16</v>
      </c>
      <c r="E288" s="321" t="s">
        <v>311</v>
      </c>
      <c r="F288" s="321">
        <v>81000</v>
      </c>
      <c r="G288" s="405">
        <v>81000</v>
      </c>
      <c r="H288" s="405">
        <v>23473.8</v>
      </c>
      <c r="I288" s="321" t="s">
        <v>18</v>
      </c>
      <c r="J288" s="321" t="s">
        <v>19</v>
      </c>
      <c r="K288" s="224">
        <f>H288/F288</f>
        <v>0.2898</v>
      </c>
    </row>
    <row r="289" spans="1:13">
      <c r="A289" s="321">
        <v>223</v>
      </c>
      <c r="B289" s="321" t="s">
        <v>2837</v>
      </c>
      <c r="C289" s="321" t="s">
        <v>2859</v>
      </c>
      <c r="D289" s="321" t="s">
        <v>16</v>
      </c>
      <c r="E289" s="321" t="s">
        <v>22</v>
      </c>
      <c r="F289" s="321">
        <v>5000</v>
      </c>
      <c r="G289" s="405">
        <v>0.5</v>
      </c>
      <c r="H289" s="405">
        <v>68</v>
      </c>
      <c r="I289" s="321" t="s">
        <v>18</v>
      </c>
      <c r="J289" s="321" t="s">
        <v>19</v>
      </c>
      <c r="K289" s="224">
        <f>H289/F289</f>
        <v>1.3599999999999999E-2</v>
      </c>
    </row>
    <row r="290" spans="1:13" ht="12.75" customHeight="1">
      <c r="A290" s="321">
        <v>204</v>
      </c>
      <c r="B290" s="321" t="s">
        <v>312</v>
      </c>
      <c r="C290" s="321" t="s">
        <v>313</v>
      </c>
      <c r="D290" s="321" t="s">
        <v>28</v>
      </c>
      <c r="E290" s="321" t="s">
        <v>29</v>
      </c>
      <c r="F290" s="321">
        <v>2482</v>
      </c>
      <c r="G290" s="405">
        <v>85733.24</v>
      </c>
      <c r="H290" s="405">
        <v>38542.730000000003</v>
      </c>
      <c r="I290" s="321" t="s">
        <v>30</v>
      </c>
      <c r="J290" s="321" t="s">
        <v>19</v>
      </c>
      <c r="K290" s="224">
        <f>H290/F290</f>
        <v>15.528900080580179</v>
      </c>
    </row>
    <row r="291" spans="1:13" ht="15">
      <c r="A291" s="321">
        <v>201</v>
      </c>
      <c r="B291" s="321" t="s">
        <v>219</v>
      </c>
      <c r="C291" s="321" t="s">
        <v>220</v>
      </c>
      <c r="D291" s="321" t="s">
        <v>16</v>
      </c>
      <c r="E291" s="321" t="s">
        <v>221</v>
      </c>
      <c r="F291" s="405">
        <v>1124</v>
      </c>
      <c r="G291" s="405">
        <v>562</v>
      </c>
      <c r="H291" s="405">
        <v>836.48</v>
      </c>
      <c r="I291" s="321" t="s">
        <v>18</v>
      </c>
      <c r="J291" s="321" t="s">
        <v>19</v>
      </c>
      <c r="K291" s="224">
        <f>H291/F291</f>
        <v>0.74419928825622772</v>
      </c>
      <c r="M291" s="215"/>
    </row>
    <row r="292" spans="1:13" ht="12.75" customHeight="1">
      <c r="A292" s="321">
        <v>88</v>
      </c>
      <c r="B292" s="321" t="s">
        <v>314</v>
      </c>
      <c r="C292" s="321" t="s">
        <v>315</v>
      </c>
      <c r="D292" s="321" t="s">
        <v>16</v>
      </c>
      <c r="E292" s="321" t="s">
        <v>156</v>
      </c>
      <c r="F292" s="405">
        <v>461</v>
      </c>
      <c r="G292" s="405">
        <v>0.05</v>
      </c>
      <c r="H292" s="405">
        <v>14.1</v>
      </c>
      <c r="I292" s="321" t="s">
        <v>18</v>
      </c>
      <c r="J292" s="321" t="s">
        <v>23</v>
      </c>
      <c r="K292" s="224">
        <f>H292/F292</f>
        <v>3.0585683297180043E-2</v>
      </c>
    </row>
    <row r="293" spans="1:13" ht="12.75" customHeight="1">
      <c r="A293" s="321">
        <v>205</v>
      </c>
      <c r="B293" s="321" t="s">
        <v>316</v>
      </c>
      <c r="C293" s="321" t="s">
        <v>317</v>
      </c>
      <c r="D293" s="321" t="s">
        <v>34</v>
      </c>
      <c r="E293" s="321" t="s">
        <v>143</v>
      </c>
      <c r="F293" s="405">
        <v>69957.56</v>
      </c>
      <c r="G293" s="405">
        <v>622622.28</v>
      </c>
      <c r="H293" s="405">
        <v>406733.25</v>
      </c>
      <c r="I293" s="321" t="s">
        <v>35</v>
      </c>
      <c r="J293" s="321" t="s">
        <v>19</v>
      </c>
      <c r="K293" s="224">
        <f>H293/F293</f>
        <v>5.8139999451095781</v>
      </c>
      <c r="L293" s="215"/>
    </row>
    <row r="294" spans="1:13" ht="12.75" customHeight="1">
      <c r="A294" s="321">
        <v>205</v>
      </c>
      <c r="B294" s="321" t="s">
        <v>123</v>
      </c>
      <c r="C294" s="321" t="s">
        <v>124</v>
      </c>
      <c r="D294" s="321" t="s">
        <v>43</v>
      </c>
      <c r="E294" s="321"/>
      <c r="F294" s="321">
        <v>13135</v>
      </c>
      <c r="G294" s="405">
        <v>13135</v>
      </c>
      <c r="H294" s="405">
        <v>8973.83</v>
      </c>
      <c r="I294" s="321" t="s">
        <v>44</v>
      </c>
      <c r="J294" s="321" t="s">
        <v>19</v>
      </c>
      <c r="K294" s="224">
        <f>H294/F294</f>
        <v>0.68319984773505904</v>
      </c>
    </row>
    <row r="295" spans="1:13" ht="12.75" customHeight="1">
      <c r="A295" s="321">
        <v>288</v>
      </c>
      <c r="B295" s="321" t="s">
        <v>334</v>
      </c>
      <c r="C295" s="321" t="s">
        <v>335</v>
      </c>
      <c r="D295" s="321" t="s">
        <v>43</v>
      </c>
      <c r="E295" s="321"/>
      <c r="F295" s="405">
        <v>0</v>
      </c>
      <c r="G295" s="405">
        <v>0</v>
      </c>
      <c r="H295" s="405">
        <v>0</v>
      </c>
      <c r="I295" s="321" t="s">
        <v>44</v>
      </c>
      <c r="J295" s="321" t="s">
        <v>19</v>
      </c>
      <c r="K295" s="224" t="e">
        <f>H295/F295</f>
        <v>#DIV/0!</v>
      </c>
    </row>
    <row r="296" spans="1:13" ht="15">
      <c r="A296" s="321">
        <v>288</v>
      </c>
      <c r="B296" s="321" t="s">
        <v>347</v>
      </c>
      <c r="C296" s="321" t="s">
        <v>348</v>
      </c>
      <c r="D296" s="321" t="s">
        <v>43</v>
      </c>
      <c r="E296" s="321"/>
      <c r="F296" s="321">
        <v>0</v>
      </c>
      <c r="G296" s="405">
        <v>0</v>
      </c>
      <c r="H296" s="405">
        <v>0</v>
      </c>
      <c r="I296" s="321" t="s">
        <v>44</v>
      </c>
      <c r="J296" s="321" t="s">
        <v>19</v>
      </c>
      <c r="K296" s="224" t="e">
        <f>H296/F296</f>
        <v>#DIV/0!</v>
      </c>
      <c r="M296" s="215"/>
    </row>
    <row r="297" spans="1:13" ht="12.75" customHeight="1">
      <c r="A297" s="321">
        <v>205</v>
      </c>
      <c r="B297" s="321" t="s">
        <v>486</v>
      </c>
      <c r="C297" s="321" t="s">
        <v>487</v>
      </c>
      <c r="D297" s="321" t="s">
        <v>43</v>
      </c>
      <c r="E297" s="321"/>
      <c r="F297" s="405">
        <v>1416</v>
      </c>
      <c r="G297" s="405">
        <v>1416</v>
      </c>
      <c r="H297" s="405">
        <v>1699.2</v>
      </c>
      <c r="I297" s="321" t="s">
        <v>44</v>
      </c>
      <c r="J297" s="321" t="s">
        <v>19</v>
      </c>
      <c r="K297" s="224">
        <f>H297/F297</f>
        <v>1.2</v>
      </c>
    </row>
    <row r="298" spans="1:13">
      <c r="A298" s="321">
        <v>205</v>
      </c>
      <c r="B298" s="321" t="s">
        <v>239</v>
      </c>
      <c r="C298" s="321" t="s">
        <v>240</v>
      </c>
      <c r="D298" s="321" t="s">
        <v>43</v>
      </c>
      <c r="E298" s="321"/>
      <c r="F298" s="321">
        <v>450</v>
      </c>
      <c r="G298" s="321">
        <v>450</v>
      </c>
      <c r="H298" s="321">
        <v>6670.08</v>
      </c>
      <c r="I298" s="321" t="s">
        <v>44</v>
      </c>
      <c r="J298" s="321" t="s">
        <v>19</v>
      </c>
      <c r="K298" s="224">
        <f>H298/F298</f>
        <v>14.8224</v>
      </c>
    </row>
    <row r="299" spans="1:13" ht="12.75" customHeight="1">
      <c r="A299" s="321">
        <v>201</v>
      </c>
      <c r="B299" s="321" t="s">
        <v>279</v>
      </c>
      <c r="C299" s="321" t="s">
        <v>280</v>
      </c>
      <c r="D299" s="321" t="s">
        <v>16</v>
      </c>
      <c r="E299" s="321" t="s">
        <v>17</v>
      </c>
      <c r="F299" s="321">
        <v>790</v>
      </c>
      <c r="G299" s="405">
        <v>790</v>
      </c>
      <c r="H299" s="405">
        <v>473.76</v>
      </c>
      <c r="I299" s="321" t="s">
        <v>18</v>
      </c>
      <c r="J299" s="321" t="s">
        <v>19</v>
      </c>
      <c r="K299" s="224">
        <f>H299/F299</f>
        <v>0.59969620253164557</v>
      </c>
    </row>
    <row r="300" spans="1:13" ht="12.75" customHeight="1">
      <c r="A300" s="321">
        <v>288</v>
      </c>
      <c r="B300" s="321" t="s">
        <v>144</v>
      </c>
      <c r="C300" s="321" t="s">
        <v>145</v>
      </c>
      <c r="D300" s="321" t="s">
        <v>34</v>
      </c>
      <c r="E300" s="321" t="s">
        <v>146</v>
      </c>
      <c r="F300" s="321">
        <v>-122</v>
      </c>
      <c r="G300" s="321">
        <v>-1085.8</v>
      </c>
      <c r="H300" s="321">
        <v>-341.43</v>
      </c>
      <c r="I300" s="321" t="s">
        <v>35</v>
      </c>
      <c r="J300" s="321" t="s">
        <v>19</v>
      </c>
      <c r="K300" s="224">
        <f>H300/F300</f>
        <v>2.7986065573770493</v>
      </c>
    </row>
    <row r="301" spans="1:13" ht="12.75" customHeight="1">
      <c r="A301" s="321">
        <v>11</v>
      </c>
      <c r="B301" s="321" t="s">
        <v>249</v>
      </c>
      <c r="C301" s="321" t="s">
        <v>250</v>
      </c>
      <c r="D301" s="321" t="s">
        <v>16</v>
      </c>
      <c r="E301" s="321" t="s">
        <v>228</v>
      </c>
      <c r="F301" s="405">
        <v>646</v>
      </c>
      <c r="G301" s="405">
        <v>19380</v>
      </c>
      <c r="H301" s="405">
        <v>18088</v>
      </c>
      <c r="I301" s="321" t="s">
        <v>35</v>
      </c>
      <c r="J301" s="321" t="s">
        <v>23</v>
      </c>
      <c r="K301" s="224">
        <f>H301/F301</f>
        <v>28</v>
      </c>
    </row>
    <row r="302" spans="1:13" ht="12.75" customHeight="1">
      <c r="A302" s="321">
        <v>201</v>
      </c>
      <c r="B302" s="321">
        <v>7602</v>
      </c>
      <c r="C302" s="321" t="s">
        <v>328</v>
      </c>
      <c r="D302" s="321" t="s">
        <v>28</v>
      </c>
      <c r="E302" s="321" t="s">
        <v>29</v>
      </c>
      <c r="F302" s="405">
        <v>6</v>
      </c>
      <c r="G302" s="405">
        <v>218.64</v>
      </c>
      <c r="H302" s="405">
        <v>140.74</v>
      </c>
      <c r="I302" s="321" t="s">
        <v>30</v>
      </c>
      <c r="J302" s="321" t="s">
        <v>19</v>
      </c>
      <c r="K302" s="224">
        <f>H302/F302</f>
        <v>23.456666666666667</v>
      </c>
    </row>
    <row r="303" spans="1:13">
      <c r="A303" s="321">
        <v>11</v>
      </c>
      <c r="B303" s="321" t="s">
        <v>2893</v>
      </c>
      <c r="C303" s="321" t="s">
        <v>2894</v>
      </c>
      <c r="D303" s="321" t="s">
        <v>43</v>
      </c>
      <c r="E303" s="321"/>
      <c r="F303" s="405">
        <v>6800</v>
      </c>
      <c r="G303" s="405">
        <v>6800</v>
      </c>
      <c r="H303" s="405">
        <v>5916</v>
      </c>
      <c r="I303" s="321" t="s">
        <v>44</v>
      </c>
      <c r="J303" s="321" t="s">
        <v>23</v>
      </c>
      <c r="K303" s="224">
        <f>H303/F303</f>
        <v>0.87</v>
      </c>
    </row>
    <row r="304" spans="1:13" ht="12.75" customHeight="1">
      <c r="A304" s="321">
        <v>88</v>
      </c>
      <c r="B304" s="321" t="s">
        <v>322</v>
      </c>
      <c r="C304" s="321" t="s">
        <v>323</v>
      </c>
      <c r="D304" s="321" t="s">
        <v>34</v>
      </c>
      <c r="E304" s="321"/>
      <c r="F304" s="321">
        <v>4997</v>
      </c>
      <c r="G304" s="321">
        <v>50469.7</v>
      </c>
      <c r="H304" s="321">
        <v>22028.28</v>
      </c>
      <c r="I304" s="321" t="s">
        <v>35</v>
      </c>
      <c r="J304" s="321" t="s">
        <v>23</v>
      </c>
      <c r="K304" s="224">
        <f>H304/F304</f>
        <v>4.4083009805883524</v>
      </c>
    </row>
    <row r="305" spans="1:13" ht="12.75" customHeight="1">
      <c r="A305" s="321">
        <v>201</v>
      </c>
      <c r="B305" s="321" t="s">
        <v>364</v>
      </c>
      <c r="C305" s="321" t="s">
        <v>365</v>
      </c>
      <c r="D305" s="321" t="s">
        <v>34</v>
      </c>
      <c r="E305" s="321"/>
      <c r="F305" s="405">
        <v>120</v>
      </c>
      <c r="G305" s="405">
        <v>1090.44</v>
      </c>
      <c r="H305" s="405">
        <v>575.89</v>
      </c>
      <c r="I305" s="321" t="s">
        <v>35</v>
      </c>
      <c r="J305" s="321" t="s">
        <v>19</v>
      </c>
      <c r="K305" s="224">
        <f>H305/F305</f>
        <v>4.7990833333333329</v>
      </c>
    </row>
    <row r="306" spans="1:13" ht="12.75" customHeight="1">
      <c r="A306" s="321">
        <v>11</v>
      </c>
      <c r="B306" s="321">
        <v>2520</v>
      </c>
      <c r="C306" s="321" t="s">
        <v>324</v>
      </c>
      <c r="D306" s="321" t="s">
        <v>28</v>
      </c>
      <c r="E306" s="321" t="s">
        <v>56</v>
      </c>
      <c r="F306" s="321">
        <v>45</v>
      </c>
      <c r="G306" s="321">
        <v>1534.5</v>
      </c>
      <c r="H306" s="321">
        <v>1261.2</v>
      </c>
      <c r="I306" s="321" t="s">
        <v>30</v>
      </c>
      <c r="J306" s="321" t="s">
        <v>23</v>
      </c>
      <c r="K306" s="224">
        <f>H306/F306</f>
        <v>28.026666666666667</v>
      </c>
    </row>
    <row r="307" spans="1:13" ht="12.75" customHeight="1">
      <c r="A307" s="321">
        <v>1</v>
      </c>
      <c r="B307" s="321" t="s">
        <v>314</v>
      </c>
      <c r="C307" s="321" t="s">
        <v>315</v>
      </c>
      <c r="D307" s="321" t="s">
        <v>16</v>
      </c>
      <c r="E307" s="321" t="s">
        <v>156</v>
      </c>
      <c r="F307" s="321">
        <v>5236</v>
      </c>
      <c r="G307" s="321">
        <v>0.52</v>
      </c>
      <c r="H307" s="405">
        <v>160.22999999999999</v>
      </c>
      <c r="I307" s="321" t="s">
        <v>18</v>
      </c>
      <c r="J307" s="321" t="s">
        <v>23</v>
      </c>
      <c r="K307" s="224">
        <f>H307/F307</f>
        <v>3.0601604278074863E-2</v>
      </c>
    </row>
    <row r="308" spans="1:13" ht="15">
      <c r="A308" s="321">
        <v>11</v>
      </c>
      <c r="B308" s="321" t="s">
        <v>152</v>
      </c>
      <c r="C308" s="321" t="s">
        <v>153</v>
      </c>
      <c r="D308" s="321" t="s">
        <v>16</v>
      </c>
      <c r="E308" s="321" t="s">
        <v>22</v>
      </c>
      <c r="F308" s="321">
        <v>20000</v>
      </c>
      <c r="G308" s="321">
        <v>2</v>
      </c>
      <c r="H308" s="405">
        <v>610</v>
      </c>
      <c r="I308" s="321" t="s">
        <v>18</v>
      </c>
      <c r="J308" s="321" t="s">
        <v>23</v>
      </c>
      <c r="K308" s="224">
        <f>H308/F308</f>
        <v>3.0499999999999999E-2</v>
      </c>
      <c r="M308" s="215"/>
    </row>
    <row r="309" spans="1:13" ht="15">
      <c r="A309" s="321">
        <v>201</v>
      </c>
      <c r="B309" s="321" t="s">
        <v>309</v>
      </c>
      <c r="C309" s="321" t="s">
        <v>310</v>
      </c>
      <c r="D309" s="321" t="s">
        <v>16</v>
      </c>
      <c r="E309" s="321" t="s">
        <v>311</v>
      </c>
      <c r="F309" s="321">
        <v>6240</v>
      </c>
      <c r="G309" s="321">
        <v>6240</v>
      </c>
      <c r="H309" s="405">
        <v>1808.35</v>
      </c>
      <c r="I309" s="321" t="s">
        <v>18</v>
      </c>
      <c r="J309" s="321" t="s">
        <v>19</v>
      </c>
      <c r="K309" s="224">
        <f>H309/F309</f>
        <v>0.2897996794871795</v>
      </c>
      <c r="M309" s="215"/>
    </row>
    <row r="310" spans="1:13" ht="15">
      <c r="A310" s="321">
        <v>1</v>
      </c>
      <c r="B310" s="321" t="s">
        <v>271</v>
      </c>
      <c r="C310" s="321" t="s">
        <v>272</v>
      </c>
      <c r="D310" s="321" t="s">
        <v>16</v>
      </c>
      <c r="E310" s="321" t="s">
        <v>22</v>
      </c>
      <c r="F310" s="321">
        <v>16595</v>
      </c>
      <c r="G310" s="321">
        <v>1.66</v>
      </c>
      <c r="H310" s="321">
        <v>222.37</v>
      </c>
      <c r="I310" s="321" t="s">
        <v>18</v>
      </c>
      <c r="J310" s="321" t="s">
        <v>23</v>
      </c>
      <c r="K310" s="224">
        <f>H310/F310</f>
        <v>1.3399819222657428E-2</v>
      </c>
      <c r="M310" s="215"/>
    </row>
    <row r="311" spans="1:13" ht="15">
      <c r="A311" s="321">
        <v>11</v>
      </c>
      <c r="B311" s="321" t="s">
        <v>244</v>
      </c>
      <c r="C311" s="321" t="s">
        <v>245</v>
      </c>
      <c r="D311" s="321" t="s">
        <v>34</v>
      </c>
      <c r="E311" s="321"/>
      <c r="F311" s="321">
        <v>7195</v>
      </c>
      <c r="G311" s="321">
        <v>64035.5</v>
      </c>
      <c r="H311" s="405">
        <v>25725.71</v>
      </c>
      <c r="I311" s="321" t="s">
        <v>35</v>
      </c>
      <c r="J311" s="321" t="s">
        <v>23</v>
      </c>
      <c r="K311" s="224">
        <f>H311/F311</f>
        <v>3.5754982626824181</v>
      </c>
      <c r="M311" s="215"/>
    </row>
    <row r="312" spans="1:13" ht="12.75" customHeight="1">
      <c r="A312" s="321">
        <v>201</v>
      </c>
      <c r="B312" s="321" t="s">
        <v>2806</v>
      </c>
      <c r="C312" s="321" t="s">
        <v>2807</v>
      </c>
      <c r="D312" s="321" t="s">
        <v>16</v>
      </c>
      <c r="E312" s="321" t="s">
        <v>22</v>
      </c>
      <c r="F312" s="321">
        <v>22536</v>
      </c>
      <c r="G312" s="321">
        <v>2.25</v>
      </c>
      <c r="H312" s="405">
        <v>301.98</v>
      </c>
      <c r="I312" s="321" t="s">
        <v>18</v>
      </c>
      <c r="J312" s="321" t="s">
        <v>19</v>
      </c>
      <c r="K312" s="224">
        <f>H312/F312</f>
        <v>1.339989350372737E-2</v>
      </c>
    </row>
    <row r="313" spans="1:13">
      <c r="A313" s="321">
        <v>11</v>
      </c>
      <c r="B313" s="321" t="s">
        <v>300</v>
      </c>
      <c r="C313" s="321" t="s">
        <v>301</v>
      </c>
      <c r="D313" s="321" t="s">
        <v>34</v>
      </c>
      <c r="E313" s="321"/>
      <c r="F313" s="405">
        <v>360</v>
      </c>
      <c r="G313" s="405">
        <v>3204</v>
      </c>
      <c r="H313" s="405">
        <v>1230.77</v>
      </c>
      <c r="I313" s="321" t="s">
        <v>35</v>
      </c>
      <c r="J313" s="321" t="s">
        <v>23</v>
      </c>
      <c r="K313" s="224">
        <f>H313/F313</f>
        <v>3.4188055555555557</v>
      </c>
    </row>
    <row r="314" spans="1:13" ht="12.75" customHeight="1">
      <c r="A314" s="321">
        <v>205</v>
      </c>
      <c r="B314" s="321" t="s">
        <v>177</v>
      </c>
      <c r="C314" s="321" t="s">
        <v>178</v>
      </c>
      <c r="D314" s="321" t="s">
        <v>34</v>
      </c>
      <c r="E314" s="321"/>
      <c r="F314" s="405">
        <v>2352</v>
      </c>
      <c r="G314" s="405">
        <v>20932.8</v>
      </c>
      <c r="H314" s="405">
        <v>6866.66</v>
      </c>
      <c r="I314" s="321" t="s">
        <v>35</v>
      </c>
      <c r="J314" s="321" t="s">
        <v>19</v>
      </c>
      <c r="K314" s="224">
        <f>H314/F314</f>
        <v>2.919498299319728</v>
      </c>
    </row>
    <row r="315" spans="1:13" ht="12.75" customHeight="1">
      <c r="A315" s="321">
        <v>201</v>
      </c>
      <c r="B315" s="321" t="s">
        <v>255</v>
      </c>
      <c r="C315" s="321" t="s">
        <v>256</v>
      </c>
      <c r="D315" s="321" t="s">
        <v>16</v>
      </c>
      <c r="E315" s="321" t="s">
        <v>257</v>
      </c>
      <c r="F315" s="321">
        <v>40</v>
      </c>
      <c r="G315" s="321">
        <v>20</v>
      </c>
      <c r="H315" s="405">
        <v>1991.6</v>
      </c>
      <c r="I315" s="321" t="s">
        <v>18</v>
      </c>
      <c r="J315" s="321" t="s">
        <v>19</v>
      </c>
      <c r="K315" s="224">
        <f>H315/F315</f>
        <v>49.79</v>
      </c>
    </row>
    <row r="316" spans="1:13">
      <c r="A316" s="321">
        <v>11</v>
      </c>
      <c r="B316" s="321" t="s">
        <v>2820</v>
      </c>
      <c r="C316" s="321" t="s">
        <v>2821</v>
      </c>
      <c r="D316" s="321" t="s">
        <v>34</v>
      </c>
      <c r="E316" s="321"/>
      <c r="F316" s="321">
        <v>97919</v>
      </c>
      <c r="G316" s="321">
        <v>871479.1</v>
      </c>
      <c r="H316" s="321">
        <v>473634.2</v>
      </c>
      <c r="I316" s="321" t="s">
        <v>35</v>
      </c>
      <c r="J316" s="321" t="s">
        <v>23</v>
      </c>
      <c r="K316" s="224">
        <f>H316/F316</f>
        <v>4.8369999693624326</v>
      </c>
    </row>
    <row r="317" spans="1:13" ht="12.75" customHeight="1">
      <c r="A317" s="321">
        <v>204</v>
      </c>
      <c r="B317" s="321" t="s">
        <v>226</v>
      </c>
      <c r="C317" s="321" t="s">
        <v>227</v>
      </c>
      <c r="D317" s="321" t="s">
        <v>16</v>
      </c>
      <c r="E317" s="321" t="s">
        <v>228</v>
      </c>
      <c r="F317" s="405">
        <v>517</v>
      </c>
      <c r="G317" s="405">
        <v>22748</v>
      </c>
      <c r="H317" s="405">
        <v>14476</v>
      </c>
      <c r="I317" s="321" t="s">
        <v>35</v>
      </c>
      <c r="J317" s="321" t="s">
        <v>19</v>
      </c>
      <c r="K317" s="224">
        <f>H317/F317</f>
        <v>28</v>
      </c>
      <c r="L317" s="215"/>
    </row>
    <row r="318" spans="1:13" ht="12.75" customHeight="1">
      <c r="A318" s="321">
        <v>1</v>
      </c>
      <c r="B318" s="321" t="s">
        <v>325</v>
      </c>
      <c r="C318" s="321" t="s">
        <v>326</v>
      </c>
      <c r="D318" s="321" t="s">
        <v>16</v>
      </c>
      <c r="E318" s="321" t="s">
        <v>22</v>
      </c>
      <c r="F318" s="405">
        <v>19933</v>
      </c>
      <c r="G318" s="405">
        <v>1.99</v>
      </c>
      <c r="H318" s="405">
        <v>243.18</v>
      </c>
      <c r="I318" s="321" t="s">
        <v>18</v>
      </c>
      <c r="J318" s="321" t="s">
        <v>23</v>
      </c>
      <c r="K318" s="224">
        <f>H318/F318</f>
        <v>1.2199869563036172E-2</v>
      </c>
    </row>
    <row r="319" spans="1:13" ht="12.75" customHeight="1">
      <c r="A319" s="321">
        <v>204</v>
      </c>
      <c r="B319" s="321">
        <v>9456</v>
      </c>
      <c r="C319" s="321" t="s">
        <v>53</v>
      </c>
      <c r="D319" s="321" t="s">
        <v>28</v>
      </c>
      <c r="E319" s="321" t="s">
        <v>54</v>
      </c>
      <c r="F319" s="405">
        <v>678</v>
      </c>
      <c r="G319" s="405">
        <v>29859.119999999999</v>
      </c>
      <c r="H319" s="405">
        <v>17237.07</v>
      </c>
      <c r="I319" s="321" t="s">
        <v>30</v>
      </c>
      <c r="J319" s="321" t="s">
        <v>19</v>
      </c>
      <c r="K319" s="224">
        <f>H319/F319</f>
        <v>25.423407079646019</v>
      </c>
    </row>
    <row r="320" spans="1:13">
      <c r="A320" s="321">
        <v>288</v>
      </c>
      <c r="B320" s="321" t="s">
        <v>141</v>
      </c>
      <c r="C320" s="321" t="s">
        <v>142</v>
      </c>
      <c r="D320" s="321" t="s">
        <v>34</v>
      </c>
      <c r="E320" s="321" t="s">
        <v>143</v>
      </c>
      <c r="F320" s="321">
        <v>-1062.05</v>
      </c>
      <c r="G320" s="321">
        <v>-9452.33</v>
      </c>
      <c r="H320" s="321">
        <v>-3684.89</v>
      </c>
      <c r="I320" s="321" t="s">
        <v>35</v>
      </c>
      <c r="J320" s="321" t="s">
        <v>19</v>
      </c>
      <c r="K320" s="224">
        <f>H320/F320</f>
        <v>3.469601242879337</v>
      </c>
    </row>
    <row r="321" spans="1:11">
      <c r="A321" s="321">
        <v>288</v>
      </c>
      <c r="B321" s="321" t="s">
        <v>343</v>
      </c>
      <c r="C321" s="321" t="s">
        <v>344</v>
      </c>
      <c r="D321" s="321" t="s">
        <v>43</v>
      </c>
      <c r="E321" s="321"/>
      <c r="F321" s="405">
        <v>0</v>
      </c>
      <c r="G321" s="405">
        <v>0</v>
      </c>
      <c r="H321" s="405">
        <v>0</v>
      </c>
      <c r="I321" s="321" t="s">
        <v>44</v>
      </c>
      <c r="J321" s="321" t="s">
        <v>19</v>
      </c>
      <c r="K321" s="224" t="e">
        <f>H321/F321</f>
        <v>#DIV/0!</v>
      </c>
    </row>
    <row r="322" spans="1:11" ht="12.75" customHeight="1">
      <c r="A322" s="321">
        <v>288</v>
      </c>
      <c r="B322" s="321" t="s">
        <v>173</v>
      </c>
      <c r="C322" s="321" t="s">
        <v>174</v>
      </c>
      <c r="D322" s="321" t="s">
        <v>34</v>
      </c>
      <c r="E322" s="321"/>
      <c r="F322" s="321">
        <v>51</v>
      </c>
      <c r="G322" s="321">
        <v>453.9</v>
      </c>
      <c r="H322" s="321">
        <v>179.43</v>
      </c>
      <c r="I322" s="321" t="s">
        <v>35</v>
      </c>
      <c r="J322" s="321" t="s">
        <v>19</v>
      </c>
      <c r="K322" s="224">
        <f>H322/F322</f>
        <v>3.5182352941176473</v>
      </c>
    </row>
    <row r="323" spans="1:11">
      <c r="A323" s="321">
        <v>11</v>
      </c>
      <c r="B323" s="321" t="s">
        <v>231</v>
      </c>
      <c r="C323" s="321" t="s">
        <v>232</v>
      </c>
      <c r="D323" s="321" t="s">
        <v>43</v>
      </c>
      <c r="E323" s="321"/>
      <c r="F323" s="321">
        <v>8210</v>
      </c>
      <c r="G323" s="321">
        <v>8210</v>
      </c>
      <c r="H323" s="321">
        <v>7812.64</v>
      </c>
      <c r="I323" s="321" t="s">
        <v>44</v>
      </c>
      <c r="J323" s="321" t="s">
        <v>23</v>
      </c>
      <c r="K323" s="224">
        <f>H323/F323</f>
        <v>0.95160048721071866</v>
      </c>
    </row>
    <row r="324" spans="1:11" ht="12.75" customHeight="1">
      <c r="A324" s="321">
        <v>201</v>
      </c>
      <c r="B324" s="321" t="s">
        <v>314</v>
      </c>
      <c r="C324" s="321" t="s">
        <v>315</v>
      </c>
      <c r="D324" s="321" t="s">
        <v>16</v>
      </c>
      <c r="E324" s="321" t="s">
        <v>156</v>
      </c>
      <c r="F324" s="321">
        <v>21807</v>
      </c>
      <c r="G324" s="321">
        <v>2.1800000000000002</v>
      </c>
      <c r="H324" s="321">
        <v>638.95000000000005</v>
      </c>
      <c r="I324" s="321" t="s">
        <v>18</v>
      </c>
      <c r="J324" s="321" t="s">
        <v>19</v>
      </c>
      <c r="K324" s="224">
        <f>H324/F324</f>
        <v>2.9300224698491313E-2</v>
      </c>
    </row>
    <row r="325" spans="1:11">
      <c r="A325" s="321">
        <v>11</v>
      </c>
      <c r="B325" s="321" t="s">
        <v>213</v>
      </c>
      <c r="C325" s="321" t="s">
        <v>214</v>
      </c>
      <c r="D325" s="321" t="s">
        <v>43</v>
      </c>
      <c r="E325" s="321"/>
      <c r="F325" s="321">
        <v>55</v>
      </c>
      <c r="G325" s="321">
        <v>55</v>
      </c>
      <c r="H325" s="321">
        <v>384.93</v>
      </c>
      <c r="I325" s="321" t="s">
        <v>44</v>
      </c>
      <c r="J325" s="321" t="s">
        <v>23</v>
      </c>
      <c r="K325" s="224">
        <f>H325/F325</f>
        <v>6.9987272727272725</v>
      </c>
    </row>
    <row r="326" spans="1:11" ht="12.75" customHeight="1">
      <c r="A326" s="321">
        <v>1</v>
      </c>
      <c r="B326" s="321" t="s">
        <v>244</v>
      </c>
      <c r="C326" s="321" t="s">
        <v>245</v>
      </c>
      <c r="D326" s="321" t="s">
        <v>34</v>
      </c>
      <c r="E326" s="321"/>
      <c r="F326" s="405">
        <v>60</v>
      </c>
      <c r="G326" s="405">
        <v>534</v>
      </c>
      <c r="H326" s="405">
        <v>212.48</v>
      </c>
      <c r="I326" s="321" t="s">
        <v>35</v>
      </c>
      <c r="J326" s="321" t="s">
        <v>23</v>
      </c>
      <c r="K326" s="224">
        <f>H326/F326</f>
        <v>3.5413333333333332</v>
      </c>
    </row>
    <row r="327" spans="1:11">
      <c r="A327" s="321">
        <v>211</v>
      </c>
      <c r="B327" s="321">
        <v>7602</v>
      </c>
      <c r="C327" s="321" t="s">
        <v>328</v>
      </c>
      <c r="D327" s="321" t="s">
        <v>28</v>
      </c>
      <c r="E327" s="321" t="s">
        <v>29</v>
      </c>
      <c r="F327" s="321">
        <v>271</v>
      </c>
      <c r="G327" s="321">
        <v>9875.24</v>
      </c>
      <c r="H327" s="321">
        <v>6682.71</v>
      </c>
      <c r="I327" s="321" t="s">
        <v>30</v>
      </c>
      <c r="J327" s="321" t="s">
        <v>19</v>
      </c>
      <c r="K327" s="224">
        <f>H327/F327</f>
        <v>24.659446494464945</v>
      </c>
    </row>
    <row r="328" spans="1:11">
      <c r="A328" s="321">
        <v>201</v>
      </c>
      <c r="B328" s="321" t="s">
        <v>2752</v>
      </c>
      <c r="C328" s="321" t="s">
        <v>2753</v>
      </c>
      <c r="D328" s="321" t="s">
        <v>43</v>
      </c>
      <c r="E328" s="321" t="s">
        <v>201</v>
      </c>
      <c r="F328" s="321">
        <v>2204</v>
      </c>
      <c r="G328" s="321">
        <v>2204</v>
      </c>
      <c r="H328" s="321">
        <v>1020.22</v>
      </c>
      <c r="I328" s="321" t="s">
        <v>44</v>
      </c>
      <c r="J328" s="321" t="s">
        <v>19</v>
      </c>
      <c r="K328" s="224">
        <f>H328/F328</f>
        <v>0.4628947368421053</v>
      </c>
    </row>
    <row r="329" spans="1:11">
      <c r="A329" s="321">
        <v>601</v>
      </c>
      <c r="B329" s="321">
        <v>4101</v>
      </c>
      <c r="C329" s="321" t="s">
        <v>329</v>
      </c>
      <c r="D329" s="321" t="s">
        <v>28</v>
      </c>
      <c r="E329" s="321" t="s">
        <v>29</v>
      </c>
      <c r="F329" s="405">
        <v>119</v>
      </c>
      <c r="G329" s="405">
        <v>4522</v>
      </c>
      <c r="H329" s="405">
        <v>4284</v>
      </c>
      <c r="I329" s="321" t="s">
        <v>30</v>
      </c>
      <c r="J329" s="321" t="s">
        <v>59</v>
      </c>
      <c r="K329" s="224">
        <f>H329/F329</f>
        <v>36</v>
      </c>
    </row>
    <row r="330" spans="1:11">
      <c r="A330" s="321">
        <v>1</v>
      </c>
      <c r="B330" s="321" t="s">
        <v>303</v>
      </c>
      <c r="C330" s="321" t="s">
        <v>304</v>
      </c>
      <c r="D330" s="321" t="s">
        <v>34</v>
      </c>
      <c r="E330" s="321"/>
      <c r="F330" s="321">
        <v>1800</v>
      </c>
      <c r="G330" s="321">
        <v>21600</v>
      </c>
      <c r="H330" s="321">
        <v>21599.279999999999</v>
      </c>
      <c r="I330" s="321" t="s">
        <v>44</v>
      </c>
      <c r="J330" s="321" t="s">
        <v>23</v>
      </c>
      <c r="K330" s="224">
        <f>H330/F330</f>
        <v>11.999599999999999</v>
      </c>
    </row>
    <row r="331" spans="1:11" ht="12.75" customHeight="1">
      <c r="A331" s="321">
        <v>205</v>
      </c>
      <c r="B331" s="321" t="s">
        <v>330</v>
      </c>
      <c r="C331" s="321" t="s">
        <v>331</v>
      </c>
      <c r="D331" s="321" t="s">
        <v>43</v>
      </c>
      <c r="E331" s="321"/>
      <c r="F331" s="405">
        <v>179632.39</v>
      </c>
      <c r="G331" s="405">
        <v>179632.38</v>
      </c>
      <c r="H331" s="405">
        <v>77223.960000000006</v>
      </c>
      <c r="I331" s="321" t="s">
        <v>44</v>
      </c>
      <c r="J331" s="321" t="s">
        <v>19</v>
      </c>
      <c r="K331" s="224">
        <f>H331/F331</f>
        <v>0.42989997516594863</v>
      </c>
    </row>
    <row r="332" spans="1:11" ht="12.75" customHeight="1">
      <c r="A332" s="321">
        <v>11</v>
      </c>
      <c r="B332" s="321" t="s">
        <v>215</v>
      </c>
      <c r="C332" s="321" t="s">
        <v>216</v>
      </c>
      <c r="D332" s="321" t="s">
        <v>43</v>
      </c>
      <c r="E332" s="321"/>
      <c r="F332" s="321">
        <v>30</v>
      </c>
      <c r="G332" s="321">
        <v>30</v>
      </c>
      <c r="H332" s="321">
        <v>27.3</v>
      </c>
      <c r="I332" s="321" t="s">
        <v>44</v>
      </c>
      <c r="J332" s="321" t="s">
        <v>23</v>
      </c>
      <c r="K332" s="224">
        <f>H332/F332</f>
        <v>0.91</v>
      </c>
    </row>
    <row r="333" spans="1:11">
      <c r="A333" s="321">
        <v>11</v>
      </c>
      <c r="B333" s="321" t="s">
        <v>332</v>
      </c>
      <c r="C333" s="321" t="s">
        <v>333</v>
      </c>
      <c r="D333" s="321" t="s">
        <v>16</v>
      </c>
      <c r="E333" s="321" t="s">
        <v>228</v>
      </c>
      <c r="F333" s="321">
        <v>179</v>
      </c>
      <c r="G333" s="321">
        <v>7876</v>
      </c>
      <c r="H333" s="321">
        <v>11020.89</v>
      </c>
      <c r="I333" s="321" t="s">
        <v>35</v>
      </c>
      <c r="J333" s="321" t="s">
        <v>23</v>
      </c>
      <c r="K333" s="224">
        <f>H333/F333</f>
        <v>61.569217877094971</v>
      </c>
    </row>
    <row r="334" spans="1:11">
      <c r="A334" s="321">
        <v>205</v>
      </c>
      <c r="B334" s="321" t="s">
        <v>141</v>
      </c>
      <c r="C334" s="321" t="s">
        <v>142</v>
      </c>
      <c r="D334" s="321" t="s">
        <v>34</v>
      </c>
      <c r="E334" s="321" t="s">
        <v>143</v>
      </c>
      <c r="F334" s="321">
        <v>325198.73</v>
      </c>
      <c r="G334" s="321">
        <v>2894268.96</v>
      </c>
      <c r="H334" s="321">
        <v>1128179.49</v>
      </c>
      <c r="I334" s="321" t="s">
        <v>35</v>
      </c>
      <c r="J334" s="321" t="s">
        <v>19</v>
      </c>
      <c r="K334" s="224">
        <f>H334/F334</f>
        <v>3.4692001718456895</v>
      </c>
    </row>
    <row r="335" spans="1:11" ht="12.75" customHeight="1">
      <c r="A335" s="321">
        <v>11</v>
      </c>
      <c r="B335" s="321" t="s">
        <v>242</v>
      </c>
      <c r="C335" s="321" t="s">
        <v>243</v>
      </c>
      <c r="D335" s="321" t="s">
        <v>16</v>
      </c>
      <c r="E335" s="321" t="s">
        <v>22</v>
      </c>
      <c r="F335" s="321">
        <v>10000</v>
      </c>
      <c r="G335" s="321">
        <v>1</v>
      </c>
      <c r="H335" s="321">
        <v>132</v>
      </c>
      <c r="I335" s="321" t="s">
        <v>18</v>
      </c>
      <c r="J335" s="321" t="s">
        <v>23</v>
      </c>
      <c r="K335" s="224">
        <f>H335/F335</f>
        <v>1.32E-2</v>
      </c>
    </row>
    <row r="336" spans="1:11">
      <c r="A336" s="321">
        <v>11</v>
      </c>
      <c r="B336" s="321" t="s">
        <v>196</v>
      </c>
      <c r="C336" s="321" t="s">
        <v>197</v>
      </c>
      <c r="D336" s="321" t="s">
        <v>34</v>
      </c>
      <c r="E336" s="321" t="s">
        <v>198</v>
      </c>
      <c r="F336" s="405">
        <v>50129</v>
      </c>
      <c r="G336" s="405">
        <v>446148.1</v>
      </c>
      <c r="H336" s="405">
        <v>202796.87</v>
      </c>
      <c r="I336" s="321" t="s">
        <v>35</v>
      </c>
      <c r="J336" s="321" t="s">
        <v>23</v>
      </c>
      <c r="K336" s="224">
        <f>H336/F336</f>
        <v>4.0455000099742664</v>
      </c>
    </row>
    <row r="337" spans="1:11" ht="12.75" customHeight="1">
      <c r="A337" s="321">
        <v>201</v>
      </c>
      <c r="B337" s="321" t="s">
        <v>334</v>
      </c>
      <c r="C337" s="321" t="s">
        <v>335</v>
      </c>
      <c r="D337" s="321" t="s">
        <v>43</v>
      </c>
      <c r="E337" s="321"/>
      <c r="F337" s="321">
        <v>376.1</v>
      </c>
      <c r="G337" s="321">
        <v>376.1</v>
      </c>
      <c r="H337" s="321">
        <v>4738.6499999999996</v>
      </c>
      <c r="I337" s="321" t="s">
        <v>44</v>
      </c>
      <c r="J337" s="321" t="s">
        <v>19</v>
      </c>
      <c r="K337" s="224">
        <f>H337/F337</f>
        <v>12.599441637862268</v>
      </c>
    </row>
    <row r="338" spans="1:11" ht="12.75" customHeight="1">
      <c r="A338" s="321">
        <v>11</v>
      </c>
      <c r="B338" s="321" t="s">
        <v>2745</v>
      </c>
      <c r="C338" s="321" t="s">
        <v>2746</v>
      </c>
      <c r="D338" s="321" t="s">
        <v>16</v>
      </c>
      <c r="E338" s="321" t="s">
        <v>22</v>
      </c>
      <c r="F338" s="405">
        <v>30000</v>
      </c>
      <c r="G338" s="405">
        <v>3</v>
      </c>
      <c r="H338" s="405">
        <v>354</v>
      </c>
      <c r="I338" s="321" t="s">
        <v>18</v>
      </c>
      <c r="J338" s="321" t="s">
        <v>23</v>
      </c>
      <c r="K338" s="224">
        <f>H338/F338</f>
        <v>1.18E-2</v>
      </c>
    </row>
    <row r="339" spans="1:11" ht="12.75" customHeight="1">
      <c r="A339" s="321">
        <v>1</v>
      </c>
      <c r="B339" s="321" t="s">
        <v>184</v>
      </c>
      <c r="C339" s="321" t="s">
        <v>185</v>
      </c>
      <c r="D339" s="321" t="s">
        <v>16</v>
      </c>
      <c r="E339" s="321" t="s">
        <v>22</v>
      </c>
      <c r="F339" s="321">
        <v>9025</v>
      </c>
      <c r="G339" s="405">
        <v>0.9</v>
      </c>
      <c r="H339" s="405">
        <v>120.94</v>
      </c>
      <c r="I339" s="321" t="s">
        <v>18</v>
      </c>
      <c r="J339" s="321" t="s">
        <v>23</v>
      </c>
      <c r="K339" s="224">
        <f>H339/F339</f>
        <v>1.3400554016620499E-2</v>
      </c>
    </row>
    <row r="340" spans="1:11" ht="12.75" customHeight="1">
      <c r="A340" s="321">
        <v>602</v>
      </c>
      <c r="B340" s="321">
        <v>4101</v>
      </c>
      <c r="C340" s="321" t="s">
        <v>329</v>
      </c>
      <c r="D340" s="321" t="s">
        <v>28</v>
      </c>
      <c r="E340" s="321" t="s">
        <v>29</v>
      </c>
      <c r="F340" s="321">
        <v>230</v>
      </c>
      <c r="G340" s="405">
        <v>8740</v>
      </c>
      <c r="H340" s="405">
        <v>8280</v>
      </c>
      <c r="I340" s="321" t="s">
        <v>30</v>
      </c>
      <c r="J340" s="321" t="s">
        <v>59</v>
      </c>
      <c r="K340" s="224">
        <f>H340/F340</f>
        <v>36</v>
      </c>
    </row>
    <row r="341" spans="1:11" ht="12.75" customHeight="1">
      <c r="A341" s="321">
        <v>1</v>
      </c>
      <c r="B341" s="321" t="s">
        <v>219</v>
      </c>
      <c r="C341" s="321" t="s">
        <v>220</v>
      </c>
      <c r="D341" s="321" t="s">
        <v>16</v>
      </c>
      <c r="E341" s="321" t="s">
        <v>221</v>
      </c>
      <c r="F341" s="405">
        <v>1500</v>
      </c>
      <c r="G341" s="405">
        <v>750</v>
      </c>
      <c r="H341" s="405">
        <v>1348.35</v>
      </c>
      <c r="I341" s="321" t="s">
        <v>18</v>
      </c>
      <c r="J341" s="321" t="s">
        <v>23</v>
      </c>
      <c r="K341" s="224">
        <f>H341/F341</f>
        <v>0.89889999999999992</v>
      </c>
    </row>
    <row r="342" spans="1:11" ht="12.75" customHeight="1">
      <c r="A342" s="321">
        <v>201</v>
      </c>
      <c r="B342" s="321" t="s">
        <v>2867</v>
      </c>
      <c r="C342" s="321" t="s">
        <v>2868</v>
      </c>
      <c r="D342" s="321" t="s">
        <v>43</v>
      </c>
      <c r="E342" s="321"/>
      <c r="F342" s="321">
        <v>720</v>
      </c>
      <c r="G342" s="405">
        <v>720</v>
      </c>
      <c r="H342" s="405">
        <v>8784</v>
      </c>
      <c r="I342" s="321" t="s">
        <v>44</v>
      </c>
      <c r="J342" s="321" t="s">
        <v>19</v>
      </c>
      <c r="K342" s="224">
        <f>H342/F342</f>
        <v>12.2</v>
      </c>
    </row>
    <row r="343" spans="1:11">
      <c r="A343" s="321">
        <v>11</v>
      </c>
      <c r="B343" s="321" t="s">
        <v>217</v>
      </c>
      <c r="C343" s="321" t="s">
        <v>218</v>
      </c>
      <c r="D343" s="321" t="s">
        <v>43</v>
      </c>
      <c r="E343" s="321"/>
      <c r="F343" s="405">
        <v>44</v>
      </c>
      <c r="G343" s="405">
        <v>44</v>
      </c>
      <c r="H343" s="405">
        <v>1850.2</v>
      </c>
      <c r="I343" s="321" t="s">
        <v>44</v>
      </c>
      <c r="J343" s="321" t="s">
        <v>23</v>
      </c>
      <c r="K343" s="224">
        <f>H343/F343</f>
        <v>42.050000000000004</v>
      </c>
    </row>
    <row r="344" spans="1:11">
      <c r="A344" s="321">
        <v>11</v>
      </c>
      <c r="B344" s="321" t="s">
        <v>336</v>
      </c>
      <c r="C344" s="321" t="s">
        <v>337</v>
      </c>
      <c r="D344" s="321" t="s">
        <v>43</v>
      </c>
      <c r="E344" s="321" t="s">
        <v>338</v>
      </c>
      <c r="F344" s="321">
        <v>330.8</v>
      </c>
      <c r="G344" s="405">
        <v>330.8</v>
      </c>
      <c r="H344" s="405">
        <v>6308.95</v>
      </c>
      <c r="I344" s="321" t="s">
        <v>44</v>
      </c>
      <c r="J344" s="321" t="s">
        <v>23</v>
      </c>
      <c r="K344" s="224">
        <f>H344/F344</f>
        <v>19.071795646916566</v>
      </c>
    </row>
    <row r="345" spans="1:11">
      <c r="A345" s="321">
        <v>201</v>
      </c>
      <c r="B345" s="321" t="s">
        <v>152</v>
      </c>
      <c r="C345" s="321" t="s">
        <v>153</v>
      </c>
      <c r="D345" s="321" t="s">
        <v>16</v>
      </c>
      <c r="E345" s="321" t="s">
        <v>22</v>
      </c>
      <c r="F345" s="405">
        <v>22034</v>
      </c>
      <c r="G345" s="405">
        <v>2.2000000000000002</v>
      </c>
      <c r="H345" s="405">
        <v>672.04</v>
      </c>
      <c r="I345" s="321" t="s">
        <v>18</v>
      </c>
      <c r="J345" s="321" t="s">
        <v>19</v>
      </c>
      <c r="K345" s="224">
        <f>H345/F345</f>
        <v>3.0500136153217752E-2</v>
      </c>
    </row>
    <row r="346" spans="1:11">
      <c r="A346" s="321">
        <v>11</v>
      </c>
      <c r="B346" s="321" t="s">
        <v>154</v>
      </c>
      <c r="C346" s="321" t="s">
        <v>155</v>
      </c>
      <c r="D346" s="321" t="s">
        <v>16</v>
      </c>
      <c r="E346" s="321" t="s">
        <v>156</v>
      </c>
      <c r="F346" s="321">
        <v>92800</v>
      </c>
      <c r="G346" s="321">
        <v>9.2799999999999994</v>
      </c>
      <c r="H346" s="321">
        <v>15636.8</v>
      </c>
      <c r="I346" s="321" t="s">
        <v>18</v>
      </c>
      <c r="J346" s="321" t="s">
        <v>23</v>
      </c>
      <c r="K346" s="224">
        <f>H346/F346</f>
        <v>0.16849999999999998</v>
      </c>
    </row>
    <row r="347" spans="1:11">
      <c r="A347" s="321">
        <v>288</v>
      </c>
      <c r="B347" s="321">
        <v>7602</v>
      </c>
      <c r="C347" s="321" t="s">
        <v>328</v>
      </c>
      <c r="D347" s="321" t="s">
        <v>28</v>
      </c>
      <c r="E347" s="321" t="s">
        <v>29</v>
      </c>
      <c r="F347" s="321">
        <v>-2</v>
      </c>
      <c r="G347" s="321">
        <v>-72.88</v>
      </c>
      <c r="H347" s="321">
        <v>-69.52</v>
      </c>
      <c r="I347" s="321" t="s">
        <v>30</v>
      </c>
      <c r="J347" s="321" t="s">
        <v>19</v>
      </c>
      <c r="K347" s="224">
        <f>H347/F347</f>
        <v>34.76</v>
      </c>
    </row>
    <row r="348" spans="1:11" ht="12.75" customHeight="1">
      <c r="A348" s="321">
        <v>603</v>
      </c>
      <c r="B348" s="321">
        <v>4101</v>
      </c>
      <c r="C348" s="321" t="s">
        <v>329</v>
      </c>
      <c r="D348" s="321" t="s">
        <v>28</v>
      </c>
      <c r="E348" s="321" t="s">
        <v>29</v>
      </c>
      <c r="F348" s="321">
        <v>290</v>
      </c>
      <c r="G348" s="321">
        <v>11020</v>
      </c>
      <c r="H348" s="405">
        <v>10439.969999999999</v>
      </c>
      <c r="I348" s="321" t="s">
        <v>30</v>
      </c>
      <c r="J348" s="321" t="s">
        <v>59</v>
      </c>
      <c r="K348" s="224">
        <f>H348/F348</f>
        <v>35.999896551724134</v>
      </c>
    </row>
    <row r="349" spans="1:11" ht="12.75" customHeight="1">
      <c r="A349" s="321">
        <v>204</v>
      </c>
      <c r="B349" s="321">
        <v>2752</v>
      </c>
      <c r="C349" s="321" t="s">
        <v>327</v>
      </c>
      <c r="D349" s="321" t="s">
        <v>28</v>
      </c>
      <c r="E349" s="321" t="s">
        <v>56</v>
      </c>
      <c r="F349" s="321">
        <v>5294</v>
      </c>
      <c r="G349" s="321">
        <v>151826.63</v>
      </c>
      <c r="H349" s="405">
        <v>85224.4</v>
      </c>
      <c r="I349" s="321" t="s">
        <v>30</v>
      </c>
      <c r="J349" s="321" t="s">
        <v>19</v>
      </c>
      <c r="K349" s="224">
        <f>H349/F349</f>
        <v>16.098299962221382</v>
      </c>
    </row>
    <row r="350" spans="1:11" ht="12.75" customHeight="1">
      <c r="A350" s="321">
        <v>205</v>
      </c>
      <c r="B350" s="321" t="s">
        <v>1147</v>
      </c>
      <c r="C350" s="321" t="s">
        <v>2773</v>
      </c>
      <c r="D350" s="321" t="s">
        <v>34</v>
      </c>
      <c r="E350" s="321" t="s">
        <v>143</v>
      </c>
      <c r="F350" s="321">
        <v>35000</v>
      </c>
      <c r="G350" s="321">
        <v>311500</v>
      </c>
      <c r="H350" s="321">
        <v>122213</v>
      </c>
      <c r="I350" s="321" t="s">
        <v>35</v>
      </c>
      <c r="J350" s="321" t="s">
        <v>19</v>
      </c>
      <c r="K350" s="224">
        <f>H350/F350</f>
        <v>3.4918</v>
      </c>
    </row>
    <row r="351" spans="1:11" ht="12.75" customHeight="1">
      <c r="A351" s="321">
        <v>201</v>
      </c>
      <c r="B351" s="321" t="s">
        <v>1304</v>
      </c>
      <c r="C351" s="321" t="s">
        <v>1305</v>
      </c>
      <c r="D351" s="321" t="s">
        <v>34</v>
      </c>
      <c r="E351" s="321"/>
      <c r="F351" s="321">
        <v>433</v>
      </c>
      <c r="G351" s="321">
        <v>3853.7</v>
      </c>
      <c r="H351" s="405">
        <v>1255.7</v>
      </c>
      <c r="I351" s="321" t="s">
        <v>35</v>
      </c>
      <c r="J351" s="321" t="s">
        <v>19</v>
      </c>
      <c r="K351" s="224">
        <f>H351/F351</f>
        <v>2.9</v>
      </c>
    </row>
    <row r="352" spans="1:11">
      <c r="A352" s="321">
        <v>11</v>
      </c>
      <c r="B352" s="321" t="s">
        <v>339</v>
      </c>
      <c r="C352" s="321" t="s">
        <v>340</v>
      </c>
      <c r="D352" s="321" t="s">
        <v>34</v>
      </c>
      <c r="E352" s="321"/>
      <c r="F352" s="321">
        <v>4815</v>
      </c>
      <c r="G352" s="321">
        <v>42853.5</v>
      </c>
      <c r="H352" s="321">
        <v>23816.92</v>
      </c>
      <c r="I352" s="321" t="s">
        <v>35</v>
      </c>
      <c r="J352" s="321" t="s">
        <v>23</v>
      </c>
      <c r="K352" s="224">
        <f>H352/F352</f>
        <v>4.9464008307372787</v>
      </c>
    </row>
    <row r="353" spans="1:11">
      <c r="A353" s="321">
        <v>205</v>
      </c>
      <c r="B353" s="321" t="s">
        <v>2754</v>
      </c>
      <c r="C353" s="321" t="s">
        <v>2755</v>
      </c>
      <c r="D353" s="321" t="s">
        <v>34</v>
      </c>
      <c r="E353" s="321" t="s">
        <v>143</v>
      </c>
      <c r="F353" s="321">
        <v>19025.02</v>
      </c>
      <c r="G353" s="321">
        <v>169322.68</v>
      </c>
      <c r="H353" s="321">
        <v>60689.81</v>
      </c>
      <c r="I353" s="321" t="s">
        <v>35</v>
      </c>
      <c r="J353" s="321" t="s">
        <v>19</v>
      </c>
      <c r="K353" s="224">
        <f>H353/F353</f>
        <v>3.1899998002630219</v>
      </c>
    </row>
    <row r="354" spans="1:11">
      <c r="A354" s="321">
        <v>1</v>
      </c>
      <c r="B354" s="321" t="s">
        <v>255</v>
      </c>
      <c r="C354" s="321" t="s">
        <v>256</v>
      </c>
      <c r="D354" s="321" t="s">
        <v>16</v>
      </c>
      <c r="E354" s="321" t="s">
        <v>257</v>
      </c>
      <c r="F354" s="321">
        <v>41</v>
      </c>
      <c r="G354" s="321">
        <v>20.5</v>
      </c>
      <c r="H354" s="321">
        <v>2125.42</v>
      </c>
      <c r="I354" s="321" t="s">
        <v>18</v>
      </c>
      <c r="J354" s="321" t="s">
        <v>23</v>
      </c>
      <c r="K354" s="224">
        <f>H354/F354</f>
        <v>51.839512195121955</v>
      </c>
    </row>
    <row r="355" spans="1:11" ht="12.75" customHeight="1">
      <c r="A355" s="321">
        <v>201</v>
      </c>
      <c r="B355" s="321" t="s">
        <v>341</v>
      </c>
      <c r="C355" s="321" t="s">
        <v>2756</v>
      </c>
      <c r="D355" s="321" t="s">
        <v>43</v>
      </c>
      <c r="E355" s="321"/>
      <c r="F355" s="405">
        <v>882.76</v>
      </c>
      <c r="G355" s="405">
        <v>882.76</v>
      </c>
      <c r="H355" s="405">
        <v>507.68</v>
      </c>
      <c r="I355" s="321" t="s">
        <v>44</v>
      </c>
      <c r="J355" s="321" t="s">
        <v>19</v>
      </c>
      <c r="K355" s="224">
        <f>H355/F355</f>
        <v>0.57510535139788843</v>
      </c>
    </row>
    <row r="356" spans="1:11" ht="12.75" customHeight="1">
      <c r="A356" s="321">
        <v>201</v>
      </c>
      <c r="B356" s="321" t="s">
        <v>343</v>
      </c>
      <c r="C356" s="321" t="s">
        <v>344</v>
      </c>
      <c r="D356" s="321" t="s">
        <v>43</v>
      </c>
      <c r="E356" s="321"/>
      <c r="F356" s="321">
        <v>86.2</v>
      </c>
      <c r="G356" s="321">
        <v>86.2</v>
      </c>
      <c r="H356" s="321">
        <v>156.87</v>
      </c>
      <c r="I356" s="321" t="s">
        <v>44</v>
      </c>
      <c r="J356" s="321" t="s">
        <v>19</v>
      </c>
      <c r="K356" s="224">
        <f>H356/F356</f>
        <v>1.8198375870069605</v>
      </c>
    </row>
    <row r="357" spans="1:11">
      <c r="A357" s="321">
        <v>204</v>
      </c>
      <c r="B357" s="321">
        <v>5016</v>
      </c>
      <c r="C357" s="321" t="s">
        <v>345</v>
      </c>
      <c r="D357" s="321" t="s">
        <v>28</v>
      </c>
      <c r="E357" s="321" t="s">
        <v>56</v>
      </c>
      <c r="F357" s="405">
        <v>648</v>
      </c>
      <c r="G357" s="405">
        <v>16848</v>
      </c>
      <c r="H357" s="405">
        <v>6373.66</v>
      </c>
      <c r="I357" s="321" t="s">
        <v>30</v>
      </c>
      <c r="J357" s="321" t="s">
        <v>19</v>
      </c>
      <c r="K357" s="224">
        <f>H357/F357</f>
        <v>9.8358950617283956</v>
      </c>
    </row>
    <row r="358" spans="1:11">
      <c r="A358" s="321">
        <v>201</v>
      </c>
      <c r="B358" s="321" t="s">
        <v>347</v>
      </c>
      <c r="C358" s="321" t="s">
        <v>348</v>
      </c>
      <c r="D358" s="321" t="s">
        <v>43</v>
      </c>
      <c r="E358" s="321"/>
      <c r="F358" s="405">
        <v>2131.3000000000002</v>
      </c>
      <c r="G358" s="405">
        <v>2131.3000000000002</v>
      </c>
      <c r="H358" s="321">
        <v>21035.93</v>
      </c>
      <c r="I358" s="321" t="s">
        <v>44</v>
      </c>
      <c r="J358" s="321" t="s">
        <v>19</v>
      </c>
      <c r="K358" s="224">
        <f>H358/F358</f>
        <v>9.8699995308027955</v>
      </c>
    </row>
    <row r="359" spans="1:11" ht="12.75" customHeight="1">
      <c r="A359" s="321">
        <v>201</v>
      </c>
      <c r="B359" s="321" t="s">
        <v>351</v>
      </c>
      <c r="C359" s="321" t="s">
        <v>352</v>
      </c>
      <c r="D359" s="321" t="s">
        <v>34</v>
      </c>
      <c r="E359" s="321"/>
      <c r="F359" s="405">
        <v>5</v>
      </c>
      <c r="G359" s="405">
        <v>54.89</v>
      </c>
      <c r="H359" s="405">
        <v>445.03</v>
      </c>
      <c r="I359" s="321" t="s">
        <v>44</v>
      </c>
      <c r="J359" s="321" t="s">
        <v>19</v>
      </c>
      <c r="K359" s="224">
        <f>H359/F359</f>
        <v>89.006</v>
      </c>
    </row>
    <row r="360" spans="1:11" ht="12.75" customHeight="1">
      <c r="A360" s="321">
        <v>204</v>
      </c>
      <c r="B360" s="321">
        <v>6202</v>
      </c>
      <c r="C360" s="321" t="s">
        <v>355</v>
      </c>
      <c r="D360" s="321" t="s">
        <v>28</v>
      </c>
      <c r="E360" s="321" t="s">
        <v>56</v>
      </c>
      <c r="F360" s="321">
        <v>819</v>
      </c>
      <c r="G360" s="321">
        <v>22358.7</v>
      </c>
      <c r="H360" s="321">
        <v>8380.83</v>
      </c>
      <c r="I360" s="321" t="s">
        <v>30</v>
      </c>
      <c r="J360" s="321" t="s">
        <v>19</v>
      </c>
      <c r="K360" s="224">
        <f>H360/F360</f>
        <v>10.233003663003663</v>
      </c>
    </row>
    <row r="361" spans="1:11">
      <c r="A361" s="321">
        <v>11</v>
      </c>
      <c r="B361" s="321" t="s">
        <v>356</v>
      </c>
      <c r="C361" s="321" t="s">
        <v>357</v>
      </c>
      <c r="D361" s="321" t="s">
        <v>16</v>
      </c>
      <c r="E361" s="321" t="s">
        <v>17</v>
      </c>
      <c r="F361" s="405">
        <v>856</v>
      </c>
      <c r="G361" s="405">
        <v>856</v>
      </c>
      <c r="H361" s="321">
        <v>717.76</v>
      </c>
      <c r="I361" s="321" t="s">
        <v>18</v>
      </c>
      <c r="J361" s="321" t="s">
        <v>23</v>
      </c>
      <c r="K361" s="224">
        <f>H361/F361</f>
        <v>0.83850467289719621</v>
      </c>
    </row>
    <row r="362" spans="1:11">
      <c r="A362" s="321">
        <v>11</v>
      </c>
      <c r="B362" s="321">
        <v>7540</v>
      </c>
      <c r="C362" s="321" t="s">
        <v>358</v>
      </c>
      <c r="D362" s="321" t="s">
        <v>28</v>
      </c>
      <c r="E362" s="321" t="s">
        <v>29</v>
      </c>
      <c r="F362" s="405">
        <v>796</v>
      </c>
      <c r="G362" s="405">
        <v>28974.400000000001</v>
      </c>
      <c r="H362" s="405">
        <v>19308.490000000002</v>
      </c>
      <c r="I362" s="321" t="s">
        <v>30</v>
      </c>
      <c r="J362" s="321" t="s">
        <v>23</v>
      </c>
      <c r="K362" s="224">
        <f>H362/F362</f>
        <v>24.256896984924627</v>
      </c>
    </row>
    <row r="363" spans="1:11" ht="12.75" customHeight="1">
      <c r="A363" s="321">
        <v>1</v>
      </c>
      <c r="B363" s="321" t="s">
        <v>307</v>
      </c>
      <c r="C363" s="321" t="s">
        <v>308</v>
      </c>
      <c r="D363" s="321" t="s">
        <v>34</v>
      </c>
      <c r="E363" s="321"/>
      <c r="F363" s="405">
        <v>1575</v>
      </c>
      <c r="G363" s="405">
        <v>14017.5</v>
      </c>
      <c r="H363" s="321">
        <v>4533.79</v>
      </c>
      <c r="I363" s="321" t="s">
        <v>35</v>
      </c>
      <c r="J363" s="321" t="s">
        <v>23</v>
      </c>
      <c r="K363" s="224">
        <f>H363/F363</f>
        <v>2.8785968253968255</v>
      </c>
    </row>
    <row r="364" spans="1:11" ht="12.75" customHeight="1">
      <c r="A364" s="321">
        <v>288</v>
      </c>
      <c r="B364" s="321">
        <v>9910</v>
      </c>
      <c r="C364" s="321" t="s">
        <v>346</v>
      </c>
      <c r="D364" s="321" t="s">
        <v>28</v>
      </c>
      <c r="E364" s="321" t="s">
        <v>56</v>
      </c>
      <c r="F364" s="405">
        <v>-3</v>
      </c>
      <c r="G364" s="405">
        <v>-65.819999999999993</v>
      </c>
      <c r="H364" s="321">
        <v>-34.36</v>
      </c>
      <c r="I364" s="321" t="s">
        <v>30</v>
      </c>
      <c r="J364" s="321" t="s">
        <v>19</v>
      </c>
      <c r="K364" s="224">
        <f>H364/F364</f>
        <v>11.453333333333333</v>
      </c>
    </row>
    <row r="365" spans="1:11">
      <c r="A365" s="321">
        <v>288</v>
      </c>
      <c r="B365" s="321" t="s">
        <v>2752</v>
      </c>
      <c r="C365" s="321" t="s">
        <v>2753</v>
      </c>
      <c r="D365" s="321" t="s">
        <v>43</v>
      </c>
      <c r="E365" s="321" t="s">
        <v>201</v>
      </c>
      <c r="F365" s="405">
        <v>-0.04</v>
      </c>
      <c r="G365" s="405">
        <v>0</v>
      </c>
      <c r="H365" s="405">
        <v>-2.7</v>
      </c>
      <c r="I365" s="321" t="s">
        <v>44</v>
      </c>
      <c r="J365" s="321" t="s">
        <v>19</v>
      </c>
      <c r="K365" s="224">
        <f>H365/F365</f>
        <v>67.5</v>
      </c>
    </row>
    <row r="366" spans="1:11" ht="12.75" customHeight="1">
      <c r="A366" s="321">
        <v>1</v>
      </c>
      <c r="B366" s="321" t="s">
        <v>353</v>
      </c>
      <c r="C366" s="321" t="s">
        <v>354</v>
      </c>
      <c r="D366" s="321" t="s">
        <v>16</v>
      </c>
      <c r="E366" s="321" t="s">
        <v>22</v>
      </c>
      <c r="F366" s="405">
        <v>8015</v>
      </c>
      <c r="G366" s="405">
        <v>0.8</v>
      </c>
      <c r="H366" s="405">
        <v>106.6</v>
      </c>
      <c r="I366" s="321" t="s">
        <v>18</v>
      </c>
      <c r="J366" s="321" t="s">
        <v>23</v>
      </c>
      <c r="K366" s="224">
        <f>H366/F366</f>
        <v>1.3300062383031814E-2</v>
      </c>
    </row>
    <row r="367" spans="1:11">
      <c r="A367" s="321">
        <v>1</v>
      </c>
      <c r="B367" s="321" t="s">
        <v>152</v>
      </c>
      <c r="C367" s="321" t="s">
        <v>153</v>
      </c>
      <c r="D367" s="321" t="s">
        <v>16</v>
      </c>
      <c r="E367" s="321" t="s">
        <v>22</v>
      </c>
      <c r="F367" s="405">
        <v>3989</v>
      </c>
      <c r="G367" s="405">
        <v>0.4</v>
      </c>
      <c r="H367" s="405">
        <v>121.66</v>
      </c>
      <c r="I367" s="321" t="s">
        <v>18</v>
      </c>
      <c r="J367" s="321" t="s">
        <v>23</v>
      </c>
      <c r="K367" s="224">
        <f>H367/F367</f>
        <v>3.0498871897718726E-2</v>
      </c>
    </row>
    <row r="368" spans="1:11" ht="12.75" customHeight="1">
      <c r="A368" s="321">
        <v>201</v>
      </c>
      <c r="B368" s="321" t="s">
        <v>2816</v>
      </c>
      <c r="C368" s="321" t="s">
        <v>2817</v>
      </c>
      <c r="D368" s="321" t="s">
        <v>16</v>
      </c>
      <c r="E368" s="321" t="s">
        <v>22</v>
      </c>
      <c r="F368" s="405">
        <v>49760</v>
      </c>
      <c r="G368" s="405">
        <v>4.9800000000000004</v>
      </c>
      <c r="H368" s="321">
        <v>607.07000000000005</v>
      </c>
      <c r="I368" s="321" t="s">
        <v>18</v>
      </c>
      <c r="J368" s="321" t="s">
        <v>19</v>
      </c>
      <c r="K368" s="224">
        <f>H368/F368</f>
        <v>1.2199959807073956E-2</v>
      </c>
    </row>
    <row r="369" spans="1:13" ht="12.75" customHeight="1">
      <c r="A369" s="321">
        <v>201</v>
      </c>
      <c r="B369" s="321" t="s">
        <v>362</v>
      </c>
      <c r="C369" s="321" t="s">
        <v>363</v>
      </c>
      <c r="D369" s="321" t="s">
        <v>43</v>
      </c>
      <c r="E369" s="321"/>
      <c r="F369" s="405">
        <v>9.56</v>
      </c>
      <c r="G369" s="405">
        <v>9.56</v>
      </c>
      <c r="H369" s="321">
        <v>401.45</v>
      </c>
      <c r="I369" s="321" t="s">
        <v>44</v>
      </c>
      <c r="J369" s="321" t="s">
        <v>19</v>
      </c>
      <c r="K369" s="224">
        <f>H369/F369</f>
        <v>41.99267782426778</v>
      </c>
    </row>
    <row r="370" spans="1:13">
      <c r="A370" s="321">
        <v>288</v>
      </c>
      <c r="B370" s="321" t="s">
        <v>364</v>
      </c>
      <c r="C370" s="321" t="s">
        <v>365</v>
      </c>
      <c r="D370" s="321" t="s">
        <v>34</v>
      </c>
      <c r="E370" s="321"/>
      <c r="F370" s="405">
        <v>35</v>
      </c>
      <c r="G370" s="405">
        <v>318.05</v>
      </c>
      <c r="H370" s="405">
        <v>169.81</v>
      </c>
      <c r="I370" s="321" t="s">
        <v>35</v>
      </c>
      <c r="J370" s="321" t="s">
        <v>19</v>
      </c>
      <c r="K370" s="224">
        <f>H370/F370</f>
        <v>4.8517142857142854</v>
      </c>
    </row>
    <row r="371" spans="1:13" ht="12.75" customHeight="1">
      <c r="A371" s="321">
        <v>11</v>
      </c>
      <c r="B371" s="321" t="s">
        <v>135</v>
      </c>
      <c r="C371" s="321" t="s">
        <v>136</v>
      </c>
      <c r="D371" s="321" t="s">
        <v>43</v>
      </c>
      <c r="E371" s="321"/>
      <c r="F371" s="405">
        <v>7871</v>
      </c>
      <c r="G371" s="405">
        <v>7871</v>
      </c>
      <c r="H371" s="321">
        <v>3075.2</v>
      </c>
      <c r="I371" s="321" t="s">
        <v>44</v>
      </c>
      <c r="J371" s="321" t="s">
        <v>23</v>
      </c>
      <c r="K371" s="224">
        <f>H371/F371</f>
        <v>0.39070003811459786</v>
      </c>
    </row>
    <row r="372" spans="1:13">
      <c r="A372" s="321">
        <v>201</v>
      </c>
      <c r="B372" s="321" t="s">
        <v>366</v>
      </c>
      <c r="C372" s="321" t="s">
        <v>367</v>
      </c>
      <c r="D372" s="321" t="s">
        <v>34</v>
      </c>
      <c r="E372" s="321" t="s">
        <v>368</v>
      </c>
      <c r="F372" s="321">
        <v>55260</v>
      </c>
      <c r="G372" s="321">
        <v>491814</v>
      </c>
      <c r="H372" s="321">
        <v>260887.99</v>
      </c>
      <c r="I372" s="321" t="s">
        <v>35</v>
      </c>
      <c r="J372" s="321" t="s">
        <v>19</v>
      </c>
      <c r="K372" s="224">
        <f>H372/F372</f>
        <v>4.7211000723850889</v>
      </c>
    </row>
    <row r="373" spans="1:13" ht="12.75" customHeight="1">
      <c r="A373" s="321">
        <v>11</v>
      </c>
      <c r="B373" s="321">
        <v>4106</v>
      </c>
      <c r="C373" s="321" t="s">
        <v>2827</v>
      </c>
      <c r="D373" s="321" t="s">
        <v>16</v>
      </c>
      <c r="E373" s="321" t="s">
        <v>88</v>
      </c>
      <c r="F373" s="405">
        <v>-1</v>
      </c>
      <c r="G373" s="405">
        <v>-0.82</v>
      </c>
      <c r="H373" s="405">
        <v>-0.76</v>
      </c>
      <c r="I373" s="321" t="s">
        <v>30</v>
      </c>
      <c r="J373" s="321" t="s">
        <v>23</v>
      </c>
      <c r="K373" s="224">
        <f>H373/F373</f>
        <v>0.76</v>
      </c>
      <c r="L373" s="215"/>
    </row>
    <row r="374" spans="1:13">
      <c r="A374" s="321">
        <v>201</v>
      </c>
      <c r="B374" s="321">
        <v>9166</v>
      </c>
      <c r="C374" s="321" t="s">
        <v>237</v>
      </c>
      <c r="D374" s="321" t="s">
        <v>28</v>
      </c>
      <c r="E374" s="321" t="s">
        <v>56</v>
      </c>
      <c r="F374" s="405">
        <v>2896</v>
      </c>
      <c r="G374" s="405">
        <v>89344.5</v>
      </c>
      <c r="H374" s="405">
        <v>46008.46</v>
      </c>
      <c r="I374" s="321" t="s">
        <v>30</v>
      </c>
      <c r="J374" s="321" t="s">
        <v>19</v>
      </c>
      <c r="K374" s="224">
        <f>H374/F374</f>
        <v>15.886899171270718</v>
      </c>
    </row>
    <row r="375" spans="1:13">
      <c r="A375" s="321">
        <v>201</v>
      </c>
      <c r="B375" s="321" t="s">
        <v>295</v>
      </c>
      <c r="C375" s="321" t="s">
        <v>296</v>
      </c>
      <c r="D375" s="321" t="s">
        <v>16</v>
      </c>
      <c r="E375" s="321" t="s">
        <v>22</v>
      </c>
      <c r="F375" s="321">
        <v>16800</v>
      </c>
      <c r="G375" s="321">
        <v>1.68</v>
      </c>
      <c r="H375" s="321">
        <v>225.12</v>
      </c>
      <c r="I375" s="321" t="s">
        <v>18</v>
      </c>
      <c r="J375" s="321" t="s">
        <v>19</v>
      </c>
      <c r="K375" s="224">
        <f>H375/F375</f>
        <v>1.34E-2</v>
      </c>
    </row>
    <row r="376" spans="1:13" ht="12.75" customHeight="1">
      <c r="A376" s="321">
        <v>204</v>
      </c>
      <c r="B376" s="321" t="s">
        <v>369</v>
      </c>
      <c r="C376" s="321" t="s">
        <v>370</v>
      </c>
      <c r="D376" s="321" t="s">
        <v>28</v>
      </c>
      <c r="E376" s="321" t="s">
        <v>54</v>
      </c>
      <c r="F376" s="405">
        <v>2472</v>
      </c>
      <c r="G376" s="405">
        <v>125577.60000000001</v>
      </c>
      <c r="H376" s="405">
        <v>72087.240000000005</v>
      </c>
      <c r="I376" s="321" t="s">
        <v>30</v>
      </c>
      <c r="J376" s="321" t="s">
        <v>19</v>
      </c>
      <c r="K376" s="224">
        <f>H376/F376</f>
        <v>29.161504854368935</v>
      </c>
    </row>
    <row r="377" spans="1:13">
      <c r="A377" s="321">
        <v>1</v>
      </c>
      <c r="B377" s="321" t="s">
        <v>199</v>
      </c>
      <c r="C377" s="321" t="s">
        <v>200</v>
      </c>
      <c r="D377" s="321" t="s">
        <v>43</v>
      </c>
      <c r="E377" s="321" t="s">
        <v>201</v>
      </c>
      <c r="F377" s="405">
        <v>1828</v>
      </c>
      <c r="G377" s="405">
        <v>1828</v>
      </c>
      <c r="H377" s="405">
        <v>1224.76</v>
      </c>
      <c r="I377" s="321" t="s">
        <v>44</v>
      </c>
      <c r="J377" s="321" t="s">
        <v>23</v>
      </c>
      <c r="K377" s="224">
        <f>H377/F377</f>
        <v>0.67</v>
      </c>
    </row>
    <row r="378" spans="1:13" ht="12.75" customHeight="1">
      <c r="A378" s="321">
        <v>1</v>
      </c>
      <c r="B378" s="321" t="s">
        <v>371</v>
      </c>
      <c r="C378" s="321" t="s">
        <v>372</v>
      </c>
      <c r="D378" s="321" t="s">
        <v>43</v>
      </c>
      <c r="E378" s="321"/>
      <c r="F378" s="405">
        <v>375</v>
      </c>
      <c r="G378" s="405">
        <v>375</v>
      </c>
      <c r="H378" s="405">
        <v>301.08999999999997</v>
      </c>
      <c r="I378" s="321" t="s">
        <v>44</v>
      </c>
      <c r="J378" s="321" t="s">
        <v>23</v>
      </c>
      <c r="K378" s="224">
        <f>H378/F378</f>
        <v>0.80290666666666655</v>
      </c>
    </row>
    <row r="379" spans="1:13">
      <c r="A379" s="321">
        <v>201</v>
      </c>
      <c r="B379" s="321" t="s">
        <v>373</v>
      </c>
      <c r="C379" s="321" t="s">
        <v>374</v>
      </c>
      <c r="D379" s="321" t="s">
        <v>16</v>
      </c>
      <c r="E379" s="321" t="s">
        <v>88</v>
      </c>
      <c r="F379" s="321">
        <v>42677</v>
      </c>
      <c r="G379" s="321">
        <v>29873.9</v>
      </c>
      <c r="H379" s="321">
        <v>20506.28</v>
      </c>
      <c r="I379" s="321" t="s">
        <v>35</v>
      </c>
      <c r="J379" s="321" t="s">
        <v>19</v>
      </c>
      <c r="K379" s="224">
        <f>H379/F379</f>
        <v>0.48049956651123554</v>
      </c>
    </row>
    <row r="380" spans="1:13">
      <c r="A380" s="321">
        <v>1</v>
      </c>
      <c r="B380" s="321" t="s">
        <v>295</v>
      </c>
      <c r="C380" s="321" t="s">
        <v>296</v>
      </c>
      <c r="D380" s="321" t="s">
        <v>16</v>
      </c>
      <c r="E380" s="321" t="s">
        <v>22</v>
      </c>
      <c r="F380" s="405">
        <v>21203</v>
      </c>
      <c r="G380" s="405">
        <v>2.12</v>
      </c>
      <c r="H380" s="321">
        <v>284.12</v>
      </c>
      <c r="I380" s="321" t="s">
        <v>18</v>
      </c>
      <c r="J380" s="321" t="s">
        <v>23</v>
      </c>
      <c r="K380" s="224">
        <f>H380/F380</f>
        <v>1.3399990567372542E-2</v>
      </c>
    </row>
    <row r="381" spans="1:13" ht="15">
      <c r="A381" s="321">
        <v>1</v>
      </c>
      <c r="B381" s="321" t="s">
        <v>360</v>
      </c>
      <c r="C381" s="321" t="s">
        <v>361</v>
      </c>
      <c r="D381" s="321" t="s">
        <v>43</v>
      </c>
      <c r="E381" s="321"/>
      <c r="F381" s="405">
        <v>39.78</v>
      </c>
      <c r="G381" s="405">
        <v>39.78</v>
      </c>
      <c r="H381" s="405">
        <v>172.72</v>
      </c>
      <c r="I381" s="321" t="s">
        <v>44</v>
      </c>
      <c r="J381" s="321" t="s">
        <v>23</v>
      </c>
      <c r="K381" s="224">
        <f>H381/F381</f>
        <v>4.3418803418803416</v>
      </c>
      <c r="M381" s="215"/>
    </row>
    <row r="382" spans="1:13" ht="12.75" customHeight="1">
      <c r="A382" s="321">
        <v>201</v>
      </c>
      <c r="B382" s="321" t="s">
        <v>199</v>
      </c>
      <c r="C382" s="321" t="s">
        <v>200</v>
      </c>
      <c r="D382" s="321" t="s">
        <v>43</v>
      </c>
      <c r="E382" s="321" t="s">
        <v>201</v>
      </c>
      <c r="F382" s="405">
        <v>48400</v>
      </c>
      <c r="G382" s="405">
        <v>48400</v>
      </c>
      <c r="H382" s="405">
        <v>32408.639999999999</v>
      </c>
      <c r="I382" s="321" t="s">
        <v>44</v>
      </c>
      <c r="J382" s="321" t="s">
        <v>19</v>
      </c>
      <c r="K382" s="224">
        <f>H382/F382</f>
        <v>0.66959999999999997</v>
      </c>
    </row>
    <row r="383" spans="1:13">
      <c r="A383" s="321">
        <v>11</v>
      </c>
      <c r="B383" s="321" t="s">
        <v>376</v>
      </c>
      <c r="C383" s="321" t="s">
        <v>377</v>
      </c>
      <c r="D383" s="321" t="s">
        <v>43</v>
      </c>
      <c r="E383" s="321"/>
      <c r="F383" s="405">
        <v>25791</v>
      </c>
      <c r="G383" s="405">
        <v>25791</v>
      </c>
      <c r="H383" s="405">
        <v>11923.18</v>
      </c>
      <c r="I383" s="321" t="s">
        <v>44</v>
      </c>
      <c r="J383" s="321" t="s">
        <v>23</v>
      </c>
      <c r="K383" s="224">
        <f>H383/F383</f>
        <v>0.46230002714125085</v>
      </c>
    </row>
    <row r="384" spans="1:13">
      <c r="A384" s="321">
        <v>204</v>
      </c>
      <c r="B384" s="321">
        <v>2520</v>
      </c>
      <c r="C384" s="321" t="s">
        <v>324</v>
      </c>
      <c r="D384" s="321" t="s">
        <v>28</v>
      </c>
      <c r="E384" s="321" t="s">
        <v>56</v>
      </c>
      <c r="F384" s="405">
        <v>237</v>
      </c>
      <c r="G384" s="405">
        <v>8081.7</v>
      </c>
      <c r="H384" s="321">
        <v>5474.53</v>
      </c>
      <c r="I384" s="321" t="s">
        <v>30</v>
      </c>
      <c r="J384" s="321" t="s">
        <v>19</v>
      </c>
      <c r="K384" s="224">
        <f>H384/F384</f>
        <v>23.099282700421941</v>
      </c>
    </row>
    <row r="385" spans="1:13" ht="12.75" customHeight="1">
      <c r="A385" s="321">
        <v>205</v>
      </c>
      <c r="B385" s="321" t="s">
        <v>341</v>
      </c>
      <c r="C385" s="321" t="s">
        <v>2756</v>
      </c>
      <c r="D385" s="321" t="s">
        <v>43</v>
      </c>
      <c r="E385" s="321"/>
      <c r="F385" s="321">
        <v>390573.28</v>
      </c>
      <c r="G385" s="321">
        <v>390573.28</v>
      </c>
      <c r="H385" s="321">
        <v>224618.69</v>
      </c>
      <c r="I385" s="321" t="s">
        <v>44</v>
      </c>
      <c r="J385" s="321" t="s">
        <v>19</v>
      </c>
      <c r="K385" s="224">
        <f>H385/F385</f>
        <v>0.57509999147919177</v>
      </c>
    </row>
    <row r="386" spans="1:13" ht="15">
      <c r="A386" s="321">
        <v>288</v>
      </c>
      <c r="B386" s="321" t="s">
        <v>373</v>
      </c>
      <c r="C386" s="321" t="s">
        <v>374</v>
      </c>
      <c r="D386" s="321" t="s">
        <v>16</v>
      </c>
      <c r="E386" s="321" t="s">
        <v>88</v>
      </c>
      <c r="F386" s="405">
        <v>0</v>
      </c>
      <c r="G386" s="405">
        <v>0</v>
      </c>
      <c r="H386" s="405">
        <v>465.68</v>
      </c>
      <c r="I386" s="321" t="s">
        <v>35</v>
      </c>
      <c r="J386" s="321" t="s">
        <v>19</v>
      </c>
      <c r="K386" s="224" t="e">
        <f>H386/F386</f>
        <v>#DIV/0!</v>
      </c>
      <c r="M386" s="215"/>
    </row>
    <row r="387" spans="1:13">
      <c r="A387" s="321">
        <v>204</v>
      </c>
      <c r="B387" s="321">
        <v>5807</v>
      </c>
      <c r="C387" s="321" t="s">
        <v>246</v>
      </c>
      <c r="D387" s="321" t="s">
        <v>28</v>
      </c>
      <c r="E387" s="321" t="s">
        <v>29</v>
      </c>
      <c r="F387" s="405">
        <v>286</v>
      </c>
      <c r="G387" s="405">
        <v>9846.98</v>
      </c>
      <c r="H387" s="405">
        <v>4219.53</v>
      </c>
      <c r="I387" s="321" t="s">
        <v>30</v>
      </c>
      <c r="J387" s="321" t="s">
        <v>19</v>
      </c>
      <c r="K387" s="224">
        <f>H387/F387</f>
        <v>14.753601398601397</v>
      </c>
    </row>
    <row r="388" spans="1:13" ht="12.75" customHeight="1">
      <c r="A388" s="321">
        <v>11</v>
      </c>
      <c r="B388" s="321" t="s">
        <v>314</v>
      </c>
      <c r="C388" s="321" t="s">
        <v>315</v>
      </c>
      <c r="D388" s="321" t="s">
        <v>16</v>
      </c>
      <c r="E388" s="321" t="s">
        <v>156</v>
      </c>
      <c r="F388" s="321">
        <v>92800</v>
      </c>
      <c r="G388" s="321">
        <v>9.2799999999999994</v>
      </c>
      <c r="H388" s="321">
        <v>2839.68</v>
      </c>
      <c r="I388" s="321" t="s">
        <v>18</v>
      </c>
      <c r="J388" s="321" t="s">
        <v>23</v>
      </c>
      <c r="K388" s="224">
        <f>H388/F388</f>
        <v>3.0599999999999999E-2</v>
      </c>
    </row>
    <row r="389" spans="1:13" ht="12.75" customHeight="1">
      <c r="A389" s="321">
        <v>211</v>
      </c>
      <c r="B389" s="321" t="s">
        <v>373</v>
      </c>
      <c r="C389" s="321" t="s">
        <v>374</v>
      </c>
      <c r="D389" s="321" t="s">
        <v>16</v>
      </c>
      <c r="E389" s="321" t="s">
        <v>88</v>
      </c>
      <c r="F389" s="321">
        <v>11244</v>
      </c>
      <c r="G389" s="321">
        <v>7870.8</v>
      </c>
      <c r="H389" s="321">
        <v>5400.49</v>
      </c>
      <c r="I389" s="321" t="s">
        <v>35</v>
      </c>
      <c r="J389" s="321" t="s">
        <v>19</v>
      </c>
      <c r="K389" s="224">
        <f>H389/F389</f>
        <v>0.48029971540377087</v>
      </c>
    </row>
    <row r="390" spans="1:13" ht="12.75" customHeight="1">
      <c r="A390" s="321">
        <v>201</v>
      </c>
      <c r="B390" s="321" t="s">
        <v>2837</v>
      </c>
      <c r="C390" s="321" t="s">
        <v>2859</v>
      </c>
      <c r="D390" s="321" t="s">
        <v>16</v>
      </c>
      <c r="E390" s="321" t="s">
        <v>22</v>
      </c>
      <c r="F390" s="405">
        <v>66662</v>
      </c>
      <c r="G390" s="405">
        <v>6.67</v>
      </c>
      <c r="H390" s="405">
        <v>906.6</v>
      </c>
      <c r="I390" s="321" t="s">
        <v>18</v>
      </c>
      <c r="J390" s="321" t="s">
        <v>19</v>
      </c>
      <c r="K390" s="224">
        <f>H390/F390</f>
        <v>1.3599951996639765E-2</v>
      </c>
    </row>
    <row r="391" spans="1:13" ht="12.75" customHeight="1">
      <c r="A391" s="321">
        <v>204</v>
      </c>
      <c r="B391" s="321">
        <v>5204</v>
      </c>
      <c r="C391" s="321" t="s">
        <v>378</v>
      </c>
      <c r="D391" s="321" t="s">
        <v>28</v>
      </c>
      <c r="E391" s="321" t="s">
        <v>56</v>
      </c>
      <c r="F391" s="321">
        <v>972</v>
      </c>
      <c r="G391" s="321">
        <v>32445.360000000001</v>
      </c>
      <c r="H391" s="321">
        <v>17895.490000000002</v>
      </c>
      <c r="I391" s="321" t="s">
        <v>30</v>
      </c>
      <c r="J391" s="321" t="s">
        <v>19</v>
      </c>
      <c r="K391" s="224">
        <f>H391/F391</f>
        <v>18.410997942386832</v>
      </c>
    </row>
    <row r="392" spans="1:13">
      <c r="A392" s="321">
        <v>99</v>
      </c>
      <c r="B392" s="321" t="s">
        <v>341</v>
      </c>
      <c r="C392" s="321" t="s">
        <v>2756</v>
      </c>
      <c r="D392" s="321" t="s">
        <v>43</v>
      </c>
      <c r="E392" s="321"/>
      <c r="F392" s="405">
        <v>0</v>
      </c>
      <c r="G392" s="405">
        <v>0</v>
      </c>
      <c r="H392" s="405">
        <v>725.36</v>
      </c>
      <c r="I392" s="321" t="s">
        <v>44</v>
      </c>
      <c r="J392" s="321" t="s">
        <v>23</v>
      </c>
      <c r="K392" s="224" t="e">
        <f>H392/F392</f>
        <v>#DIV/0!</v>
      </c>
    </row>
    <row r="393" spans="1:13" ht="12.75" customHeight="1">
      <c r="A393" s="321">
        <v>11</v>
      </c>
      <c r="B393" s="321" t="s">
        <v>2806</v>
      </c>
      <c r="C393" s="321" t="s">
        <v>2807</v>
      </c>
      <c r="D393" s="321" t="s">
        <v>16</v>
      </c>
      <c r="E393" s="321" t="s">
        <v>22</v>
      </c>
      <c r="F393" s="405">
        <v>30000</v>
      </c>
      <c r="G393" s="405">
        <v>3</v>
      </c>
      <c r="H393" s="405">
        <v>402</v>
      </c>
      <c r="I393" s="321" t="s">
        <v>18</v>
      </c>
      <c r="J393" s="321" t="s">
        <v>23</v>
      </c>
      <c r="K393" s="224">
        <f>H393/F393</f>
        <v>1.34E-2</v>
      </c>
    </row>
    <row r="394" spans="1:13" ht="12.75" customHeight="1">
      <c r="A394" s="321">
        <v>11</v>
      </c>
      <c r="B394" s="321">
        <v>7602</v>
      </c>
      <c r="C394" s="321" t="s">
        <v>328</v>
      </c>
      <c r="D394" s="321" t="s">
        <v>28</v>
      </c>
      <c r="E394" s="321" t="s">
        <v>29</v>
      </c>
      <c r="F394" s="405">
        <v>289</v>
      </c>
      <c r="G394" s="405">
        <v>10531.16</v>
      </c>
      <c r="H394" s="321">
        <v>6944.87</v>
      </c>
      <c r="I394" s="321" t="s">
        <v>30</v>
      </c>
      <c r="J394" s="321" t="s">
        <v>23</v>
      </c>
      <c r="K394" s="224">
        <f>H394/F394</f>
        <v>24.030692041522492</v>
      </c>
      <c r="L394" s="215"/>
    </row>
    <row r="395" spans="1:13" ht="12.75" customHeight="1">
      <c r="A395" s="321">
        <v>211</v>
      </c>
      <c r="B395" s="321">
        <v>4106</v>
      </c>
      <c r="C395" s="321" t="s">
        <v>2827</v>
      </c>
      <c r="D395" s="321" t="s">
        <v>16</v>
      </c>
      <c r="E395" s="321" t="s">
        <v>88</v>
      </c>
      <c r="F395" s="321">
        <v>-3</v>
      </c>
      <c r="G395" s="321">
        <v>-2.4500000000000002</v>
      </c>
      <c r="H395" s="321">
        <v>-2.37</v>
      </c>
      <c r="I395" s="321" t="s">
        <v>30</v>
      </c>
      <c r="J395" s="321" t="s">
        <v>19</v>
      </c>
      <c r="K395" s="224">
        <f>H395/F395</f>
        <v>0.79</v>
      </c>
    </row>
    <row r="396" spans="1:13" ht="12.75" customHeight="1">
      <c r="A396" s="321">
        <v>11</v>
      </c>
      <c r="B396" s="321" t="s">
        <v>307</v>
      </c>
      <c r="C396" s="321" t="s">
        <v>308</v>
      </c>
      <c r="D396" s="321" t="s">
        <v>34</v>
      </c>
      <c r="E396" s="321"/>
      <c r="F396" s="405">
        <v>10440</v>
      </c>
      <c r="G396" s="405">
        <v>92916</v>
      </c>
      <c r="H396" s="405">
        <v>30032.75</v>
      </c>
      <c r="I396" s="321" t="s">
        <v>35</v>
      </c>
      <c r="J396" s="321" t="s">
        <v>23</v>
      </c>
      <c r="K396" s="224">
        <f>H396/F396</f>
        <v>2.8767001915708814</v>
      </c>
    </row>
    <row r="397" spans="1:13" ht="12.75" customHeight="1">
      <c r="A397" s="321">
        <v>201</v>
      </c>
      <c r="B397" s="321" t="s">
        <v>202</v>
      </c>
      <c r="C397" s="321" t="s">
        <v>203</v>
      </c>
      <c r="D397" s="321" t="s">
        <v>43</v>
      </c>
      <c r="E397" s="321"/>
      <c r="F397" s="405">
        <v>24</v>
      </c>
      <c r="G397" s="405">
        <v>24</v>
      </c>
      <c r="H397" s="405">
        <v>131.74</v>
      </c>
      <c r="I397" s="321" t="s">
        <v>44</v>
      </c>
      <c r="J397" s="321" t="s">
        <v>19</v>
      </c>
      <c r="K397" s="224">
        <f>H397/F397</f>
        <v>5.4891666666666667</v>
      </c>
    </row>
    <row r="398" spans="1:13" ht="12.75" customHeight="1">
      <c r="A398" s="321">
        <v>288</v>
      </c>
      <c r="B398" s="321" t="s">
        <v>1304</v>
      </c>
      <c r="C398" s="321" t="s">
        <v>1305</v>
      </c>
      <c r="D398" s="321" t="s">
        <v>34</v>
      </c>
      <c r="E398" s="321"/>
      <c r="F398" s="405">
        <v>-121</v>
      </c>
      <c r="G398" s="405">
        <v>-1076.9000000000001</v>
      </c>
      <c r="H398" s="321">
        <v>-350.9</v>
      </c>
      <c r="I398" s="321" t="s">
        <v>35</v>
      </c>
      <c r="J398" s="321" t="s">
        <v>19</v>
      </c>
      <c r="K398" s="224">
        <f>H398/F398</f>
        <v>2.9</v>
      </c>
    </row>
    <row r="399" spans="1:13" ht="15">
      <c r="A399" s="321">
        <v>204</v>
      </c>
      <c r="B399" s="321">
        <v>9123</v>
      </c>
      <c r="C399" s="321" t="s">
        <v>238</v>
      </c>
      <c r="D399" s="321" t="s">
        <v>28</v>
      </c>
      <c r="E399" s="321" t="s">
        <v>29</v>
      </c>
      <c r="F399" s="321">
        <v>6147</v>
      </c>
      <c r="G399" s="321">
        <v>273000.56</v>
      </c>
      <c r="H399" s="321">
        <v>145338.43</v>
      </c>
      <c r="I399" s="321" t="s">
        <v>30</v>
      </c>
      <c r="J399" s="321" t="s">
        <v>19</v>
      </c>
      <c r="K399" s="224">
        <f>H399/F399</f>
        <v>23.643798600943548</v>
      </c>
      <c r="M399" s="215"/>
    </row>
    <row r="400" spans="1:13" ht="15">
      <c r="A400" s="321">
        <v>201</v>
      </c>
      <c r="B400" s="321" t="s">
        <v>325</v>
      </c>
      <c r="C400" s="321" t="s">
        <v>326</v>
      </c>
      <c r="D400" s="321" t="s">
        <v>16</v>
      </c>
      <c r="E400" s="321" t="s">
        <v>22</v>
      </c>
      <c r="F400" s="405">
        <v>73929</v>
      </c>
      <c r="G400" s="405">
        <v>7.39</v>
      </c>
      <c r="H400" s="405">
        <v>975.86</v>
      </c>
      <c r="I400" s="321" t="s">
        <v>18</v>
      </c>
      <c r="J400" s="321" t="s">
        <v>19</v>
      </c>
      <c r="K400" s="224">
        <f>H400/F400</f>
        <v>1.3199962125823425E-2</v>
      </c>
      <c r="M400" s="215"/>
    </row>
    <row r="401" spans="1:13" ht="12.75" customHeight="1">
      <c r="A401" s="321">
        <v>11</v>
      </c>
      <c r="B401" s="321" t="s">
        <v>379</v>
      </c>
      <c r="C401" s="321" t="s">
        <v>380</v>
      </c>
      <c r="D401" s="321" t="s">
        <v>43</v>
      </c>
      <c r="E401" s="321"/>
      <c r="F401" s="405">
        <v>100</v>
      </c>
      <c r="G401" s="405">
        <v>100</v>
      </c>
      <c r="H401" s="405">
        <v>508</v>
      </c>
      <c r="I401" s="321" t="s">
        <v>44</v>
      </c>
      <c r="J401" s="321" t="s">
        <v>23</v>
      </c>
      <c r="K401" s="224">
        <f>H401/F401</f>
        <v>5.08</v>
      </c>
    </row>
    <row r="402" spans="1:13">
      <c r="A402" s="321">
        <v>288</v>
      </c>
      <c r="B402" s="321" t="s">
        <v>293</v>
      </c>
      <c r="C402" s="321" t="s">
        <v>294</v>
      </c>
      <c r="D402" s="321" t="s">
        <v>34</v>
      </c>
      <c r="E402" s="321"/>
      <c r="F402" s="405">
        <v>42</v>
      </c>
      <c r="G402" s="405">
        <v>367.9</v>
      </c>
      <c r="H402" s="405">
        <v>75.7</v>
      </c>
      <c r="I402" s="321" t="s">
        <v>35</v>
      </c>
      <c r="J402" s="321" t="s">
        <v>19</v>
      </c>
      <c r="K402" s="224">
        <f>H402/F402</f>
        <v>1.8023809523809524</v>
      </c>
    </row>
    <row r="403" spans="1:13">
      <c r="A403" s="321">
        <v>1</v>
      </c>
      <c r="B403" s="321" t="s">
        <v>2745</v>
      </c>
      <c r="C403" s="321" t="s">
        <v>2746</v>
      </c>
      <c r="D403" s="321" t="s">
        <v>16</v>
      </c>
      <c r="E403" s="321" t="s">
        <v>22</v>
      </c>
      <c r="F403" s="405">
        <v>5643</v>
      </c>
      <c r="G403" s="405">
        <v>0.56000000000000005</v>
      </c>
      <c r="H403" s="405">
        <v>66.59</v>
      </c>
      <c r="I403" s="321" t="s">
        <v>18</v>
      </c>
      <c r="J403" s="321" t="s">
        <v>23</v>
      </c>
      <c r="K403" s="224">
        <f>H403/F403</f>
        <v>1.1800460747829169E-2</v>
      </c>
    </row>
    <row r="404" spans="1:13">
      <c r="A404" s="321">
        <v>201</v>
      </c>
      <c r="B404" s="321">
        <v>4101</v>
      </c>
      <c r="C404" s="321" t="s">
        <v>329</v>
      </c>
      <c r="D404" s="321" t="s">
        <v>28</v>
      </c>
      <c r="E404" s="321" t="s">
        <v>29</v>
      </c>
      <c r="F404" s="405">
        <v>6</v>
      </c>
      <c r="G404" s="405">
        <v>228</v>
      </c>
      <c r="H404" s="405">
        <v>216</v>
      </c>
      <c r="I404" s="321" t="s">
        <v>30</v>
      </c>
      <c r="J404" s="321" t="s">
        <v>59</v>
      </c>
      <c r="K404" s="224">
        <f>H404/F404</f>
        <v>36</v>
      </c>
    </row>
    <row r="405" spans="1:13" ht="15">
      <c r="A405" s="321">
        <v>1</v>
      </c>
      <c r="B405" s="321" t="s">
        <v>362</v>
      </c>
      <c r="C405" s="321" t="s">
        <v>363</v>
      </c>
      <c r="D405" s="321" t="s">
        <v>43</v>
      </c>
      <c r="E405" s="321"/>
      <c r="F405" s="405">
        <v>20.5</v>
      </c>
      <c r="G405" s="405">
        <v>20.5</v>
      </c>
      <c r="H405" s="405">
        <v>869.2</v>
      </c>
      <c r="I405" s="321" t="s">
        <v>44</v>
      </c>
      <c r="J405" s="321" t="s">
        <v>23</v>
      </c>
      <c r="K405" s="224">
        <f>H405/F405</f>
        <v>42.400000000000006</v>
      </c>
      <c r="M405" s="215"/>
    </row>
    <row r="406" spans="1:13" ht="12.75" customHeight="1">
      <c r="A406" s="321">
        <v>204</v>
      </c>
      <c r="B406" s="321">
        <v>8225</v>
      </c>
      <c r="C406" s="321" t="s">
        <v>105</v>
      </c>
      <c r="D406" s="321" t="s">
        <v>28</v>
      </c>
      <c r="E406" s="321" t="s">
        <v>56</v>
      </c>
      <c r="F406" s="321">
        <v>132</v>
      </c>
      <c r="G406" s="321">
        <v>1747.68</v>
      </c>
      <c r="H406" s="321">
        <v>889.55</v>
      </c>
      <c r="I406" s="321" t="s">
        <v>30</v>
      </c>
      <c r="J406" s="321" t="s">
        <v>19</v>
      </c>
      <c r="K406" s="224">
        <f>H406/F406</f>
        <v>6.7390151515151508</v>
      </c>
    </row>
    <row r="407" spans="1:13" ht="12.75" customHeight="1">
      <c r="A407" s="321">
        <v>601</v>
      </c>
      <c r="B407" s="321">
        <v>4113</v>
      </c>
      <c r="C407" s="321" t="s">
        <v>381</v>
      </c>
      <c r="D407" s="321" t="s">
        <v>28</v>
      </c>
      <c r="E407" s="321" t="s">
        <v>32</v>
      </c>
      <c r="F407" s="405">
        <v>62</v>
      </c>
      <c r="G407" s="405">
        <v>1798</v>
      </c>
      <c r="H407" s="405">
        <v>1845.12</v>
      </c>
      <c r="I407" s="321" t="s">
        <v>30</v>
      </c>
      <c r="J407" s="321" t="s">
        <v>59</v>
      </c>
      <c r="K407" s="224">
        <f>H407/F407</f>
        <v>29.759999999999998</v>
      </c>
    </row>
    <row r="408" spans="1:13" ht="12.75" customHeight="1">
      <c r="A408" s="321">
        <v>1</v>
      </c>
      <c r="B408" s="321" t="s">
        <v>258</v>
      </c>
      <c r="C408" s="321" t="s">
        <v>259</v>
      </c>
      <c r="D408" s="321" t="s">
        <v>34</v>
      </c>
      <c r="E408" s="321"/>
      <c r="F408" s="321">
        <v>200</v>
      </c>
      <c r="G408" s="321">
        <v>2226</v>
      </c>
      <c r="H408" s="321">
        <v>3900</v>
      </c>
      <c r="I408" s="321" t="s">
        <v>44</v>
      </c>
      <c r="J408" s="321" t="s">
        <v>23</v>
      </c>
      <c r="K408" s="224">
        <f>H408/F408</f>
        <v>19.5</v>
      </c>
    </row>
    <row r="409" spans="1:13" ht="12.75" customHeight="1">
      <c r="A409" s="321">
        <v>201</v>
      </c>
      <c r="B409" s="321" t="s">
        <v>382</v>
      </c>
      <c r="C409" s="321" t="s">
        <v>383</v>
      </c>
      <c r="D409" s="321" t="s">
        <v>16</v>
      </c>
      <c r="E409" s="321" t="s">
        <v>26</v>
      </c>
      <c r="F409" s="405">
        <v>75000</v>
      </c>
      <c r="G409" s="405">
        <v>75</v>
      </c>
      <c r="H409" s="405">
        <v>1710</v>
      </c>
      <c r="I409" s="321" t="s">
        <v>18</v>
      </c>
      <c r="J409" s="321" t="s">
        <v>19</v>
      </c>
      <c r="K409" s="224">
        <f>H409/F409</f>
        <v>2.2800000000000001E-2</v>
      </c>
    </row>
    <row r="410" spans="1:13">
      <c r="A410" s="321">
        <v>223</v>
      </c>
      <c r="B410" s="321" t="s">
        <v>588</v>
      </c>
      <c r="C410" s="321" t="s">
        <v>589</v>
      </c>
      <c r="D410" s="321" t="s">
        <v>16</v>
      </c>
      <c r="E410" s="321" t="s">
        <v>590</v>
      </c>
      <c r="F410" s="321">
        <v>67980</v>
      </c>
      <c r="G410" s="321">
        <v>67980</v>
      </c>
      <c r="H410" s="321">
        <v>51120.959999999999</v>
      </c>
      <c r="I410" s="321" t="s">
        <v>18</v>
      </c>
      <c r="J410" s="321" t="s">
        <v>19</v>
      </c>
      <c r="K410" s="224">
        <f>H410/F410</f>
        <v>0.752</v>
      </c>
    </row>
    <row r="411" spans="1:13">
      <c r="A411" s="321">
        <v>1</v>
      </c>
      <c r="B411" s="321" t="s">
        <v>384</v>
      </c>
      <c r="C411" s="321" t="s">
        <v>385</v>
      </c>
      <c r="D411" s="321" t="s">
        <v>16</v>
      </c>
      <c r="E411" s="321" t="s">
        <v>22</v>
      </c>
      <c r="F411" s="405">
        <v>10275</v>
      </c>
      <c r="G411" s="405">
        <v>1.03</v>
      </c>
      <c r="H411" s="405">
        <v>137.69</v>
      </c>
      <c r="I411" s="321" t="s">
        <v>18</v>
      </c>
      <c r="J411" s="321" t="s">
        <v>23</v>
      </c>
      <c r="K411" s="224">
        <f>H411/F411</f>
        <v>1.3400486618004866E-2</v>
      </c>
    </row>
    <row r="412" spans="1:13" ht="12.75" customHeight="1">
      <c r="A412" s="321">
        <v>1</v>
      </c>
      <c r="B412" s="321" t="s">
        <v>386</v>
      </c>
      <c r="C412" s="321" t="s">
        <v>387</v>
      </c>
      <c r="D412" s="321" t="s">
        <v>16</v>
      </c>
      <c r="E412" s="321" t="s">
        <v>22</v>
      </c>
      <c r="F412" s="405">
        <v>1850</v>
      </c>
      <c r="G412" s="405">
        <v>0.19</v>
      </c>
      <c r="H412" s="405">
        <v>21.83</v>
      </c>
      <c r="I412" s="321" t="s">
        <v>18</v>
      </c>
      <c r="J412" s="321" t="s">
        <v>23</v>
      </c>
      <c r="K412" s="224">
        <f>H412/F412</f>
        <v>1.18E-2</v>
      </c>
      <c r="L412" s="215"/>
    </row>
    <row r="413" spans="1:13">
      <c r="A413" s="321">
        <v>201</v>
      </c>
      <c r="B413" s="321" t="s">
        <v>297</v>
      </c>
      <c r="C413" s="321" t="s">
        <v>298</v>
      </c>
      <c r="D413" s="321" t="s">
        <v>34</v>
      </c>
      <c r="E413" s="321" t="s">
        <v>299</v>
      </c>
      <c r="F413" s="405">
        <v>90</v>
      </c>
      <c r="G413" s="405">
        <v>947.7</v>
      </c>
      <c r="H413" s="405">
        <v>1228.02</v>
      </c>
      <c r="I413" s="321" t="s">
        <v>44</v>
      </c>
      <c r="J413" s="321" t="s">
        <v>19</v>
      </c>
      <c r="K413" s="224">
        <f>H413/F413</f>
        <v>13.644666666666666</v>
      </c>
    </row>
    <row r="414" spans="1:13">
      <c r="A414" s="321">
        <v>201</v>
      </c>
      <c r="B414" s="321" t="s">
        <v>204</v>
      </c>
      <c r="C414" s="321" t="s">
        <v>205</v>
      </c>
      <c r="D414" s="321" t="s">
        <v>16</v>
      </c>
      <c r="E414" s="321" t="s">
        <v>22</v>
      </c>
      <c r="F414" s="405">
        <v>1351</v>
      </c>
      <c r="G414" s="405">
        <v>0.14000000000000001</v>
      </c>
      <c r="H414" s="405">
        <v>18.100000000000001</v>
      </c>
      <c r="I414" s="321" t="s">
        <v>18</v>
      </c>
      <c r="J414" s="321" t="s">
        <v>19</v>
      </c>
      <c r="K414" s="224">
        <f>H414/F414</f>
        <v>1.3397483345669875E-2</v>
      </c>
    </row>
    <row r="415" spans="1:13" ht="15">
      <c r="A415" s="321">
        <v>201</v>
      </c>
      <c r="B415" s="321" t="s">
        <v>336</v>
      </c>
      <c r="C415" s="321" t="s">
        <v>337</v>
      </c>
      <c r="D415" s="321" t="s">
        <v>43</v>
      </c>
      <c r="E415" s="321" t="s">
        <v>338</v>
      </c>
      <c r="F415" s="321">
        <v>1432.6</v>
      </c>
      <c r="G415" s="321">
        <v>1432.6</v>
      </c>
      <c r="H415" s="321">
        <v>27322.26</v>
      </c>
      <c r="I415" s="321" t="s">
        <v>44</v>
      </c>
      <c r="J415" s="321" t="s">
        <v>19</v>
      </c>
      <c r="K415" s="224">
        <f>H415/F415</f>
        <v>19.071799525338545</v>
      </c>
      <c r="M415" s="215"/>
    </row>
    <row r="416" spans="1:13">
      <c r="A416" s="321">
        <v>1</v>
      </c>
      <c r="B416" s="321" t="s">
        <v>389</v>
      </c>
      <c r="C416" s="321" t="s">
        <v>390</v>
      </c>
      <c r="D416" s="321" t="s">
        <v>16</v>
      </c>
      <c r="E416" s="321" t="s">
        <v>22</v>
      </c>
      <c r="F416" s="405">
        <v>12453</v>
      </c>
      <c r="G416" s="405">
        <v>1.25</v>
      </c>
      <c r="H416" s="405">
        <v>215.44</v>
      </c>
      <c r="I416" s="321" t="s">
        <v>18</v>
      </c>
      <c r="J416" s="321" t="s">
        <v>23</v>
      </c>
      <c r="K416" s="224">
        <f>H416/F416</f>
        <v>1.7300248935999359E-2</v>
      </c>
    </row>
    <row r="417" spans="1:13">
      <c r="A417" s="321">
        <v>205</v>
      </c>
      <c r="B417" s="321" t="s">
        <v>391</v>
      </c>
      <c r="C417" s="321" t="s">
        <v>392</v>
      </c>
      <c r="D417" s="321" t="s">
        <v>43</v>
      </c>
      <c r="E417" s="321"/>
      <c r="F417" s="321">
        <v>73017.119999999995</v>
      </c>
      <c r="G417" s="321">
        <v>73017.119999999995</v>
      </c>
      <c r="H417" s="321">
        <v>93345.09</v>
      </c>
      <c r="I417" s="321" t="s">
        <v>44</v>
      </c>
      <c r="J417" s="321" t="s">
        <v>19</v>
      </c>
      <c r="K417" s="224">
        <f>H417/F417</f>
        <v>1.2784000519330261</v>
      </c>
    </row>
    <row r="418" spans="1:13">
      <c r="A418" s="321">
        <v>204</v>
      </c>
      <c r="B418" s="321">
        <v>9814</v>
      </c>
      <c r="C418" s="321" t="s">
        <v>393</v>
      </c>
      <c r="D418" s="321" t="s">
        <v>28</v>
      </c>
      <c r="E418" s="321" t="s">
        <v>54</v>
      </c>
      <c r="F418" s="405">
        <v>6937</v>
      </c>
      <c r="G418" s="405">
        <v>339913</v>
      </c>
      <c r="H418" s="405">
        <v>149817</v>
      </c>
      <c r="I418" s="321" t="s">
        <v>30</v>
      </c>
      <c r="J418" s="321" t="s">
        <v>19</v>
      </c>
      <c r="K418" s="224">
        <f>H418/F418</f>
        <v>21.596799769352746</v>
      </c>
    </row>
    <row r="419" spans="1:13">
      <c r="A419" s="321">
        <v>88</v>
      </c>
      <c r="B419" s="321" t="s">
        <v>199</v>
      </c>
      <c r="C419" s="321" t="s">
        <v>200</v>
      </c>
      <c r="D419" s="321" t="s">
        <v>43</v>
      </c>
      <c r="E419" s="321" t="s">
        <v>201</v>
      </c>
      <c r="F419" s="405">
        <v>-25</v>
      </c>
      <c r="G419" s="405">
        <v>-25</v>
      </c>
      <c r="H419" s="405">
        <v>-16.75</v>
      </c>
      <c r="I419" s="321" t="s">
        <v>44</v>
      </c>
      <c r="J419" s="321" t="s">
        <v>23</v>
      </c>
      <c r="K419" s="224">
        <f>H419/F419</f>
        <v>0.67</v>
      </c>
    </row>
    <row r="420" spans="1:13" ht="12.75" customHeight="1">
      <c r="A420" s="321">
        <v>201</v>
      </c>
      <c r="B420" s="321" t="s">
        <v>394</v>
      </c>
      <c r="C420" s="321" t="s">
        <v>395</v>
      </c>
      <c r="D420" s="321" t="s">
        <v>16</v>
      </c>
      <c r="E420" s="321" t="s">
        <v>88</v>
      </c>
      <c r="F420" s="405">
        <v>21380</v>
      </c>
      <c r="G420" s="405">
        <v>14966</v>
      </c>
      <c r="H420" s="405">
        <v>9505.5499999999993</v>
      </c>
      <c r="I420" s="321" t="s">
        <v>35</v>
      </c>
      <c r="J420" s="321" t="s">
        <v>19</v>
      </c>
      <c r="K420" s="224">
        <f>H420/F420</f>
        <v>0.44460009354536945</v>
      </c>
    </row>
    <row r="421" spans="1:13" ht="15">
      <c r="A421" s="321">
        <v>602</v>
      </c>
      <c r="B421" s="321">
        <v>4113</v>
      </c>
      <c r="C421" s="321" t="s">
        <v>381</v>
      </c>
      <c r="D421" s="321" t="s">
        <v>28</v>
      </c>
      <c r="E421" s="321" t="s">
        <v>32</v>
      </c>
      <c r="F421" s="405">
        <v>11</v>
      </c>
      <c r="G421" s="405">
        <v>319</v>
      </c>
      <c r="H421" s="405">
        <v>327.36</v>
      </c>
      <c r="I421" s="321" t="s">
        <v>30</v>
      </c>
      <c r="J421" s="321" t="s">
        <v>59</v>
      </c>
      <c r="K421" s="224">
        <f>H421/F421</f>
        <v>29.76</v>
      </c>
      <c r="M421" s="215"/>
    </row>
    <row r="422" spans="1:13" ht="12.75" customHeight="1">
      <c r="A422" s="321">
        <v>211</v>
      </c>
      <c r="B422" s="321">
        <v>4106</v>
      </c>
      <c r="C422" s="321" t="s">
        <v>2827</v>
      </c>
      <c r="D422" s="321" t="s">
        <v>28</v>
      </c>
      <c r="E422" s="321" t="s">
        <v>32</v>
      </c>
      <c r="F422" s="405">
        <v>129</v>
      </c>
      <c r="G422" s="405">
        <v>1442.22</v>
      </c>
      <c r="H422" s="405">
        <v>1222.1300000000001</v>
      </c>
      <c r="I422" s="321" t="s">
        <v>30</v>
      </c>
      <c r="J422" s="321" t="s">
        <v>19</v>
      </c>
      <c r="K422" s="224">
        <f>H422/F422</f>
        <v>9.4738759689922496</v>
      </c>
    </row>
    <row r="423" spans="1:13" ht="12.75" customHeight="1">
      <c r="A423" s="321">
        <v>603</v>
      </c>
      <c r="B423" s="321">
        <v>4113</v>
      </c>
      <c r="C423" s="321" t="s">
        <v>381</v>
      </c>
      <c r="D423" s="321" t="s">
        <v>28</v>
      </c>
      <c r="E423" s="321" t="s">
        <v>32</v>
      </c>
      <c r="F423" s="321">
        <v>47</v>
      </c>
      <c r="G423" s="321">
        <v>1363</v>
      </c>
      <c r="H423" s="321">
        <v>1398.72</v>
      </c>
      <c r="I423" s="321" t="s">
        <v>30</v>
      </c>
      <c r="J423" s="321" t="s">
        <v>59</v>
      </c>
      <c r="K423" s="224">
        <f>H423/F423</f>
        <v>29.76</v>
      </c>
    </row>
    <row r="424" spans="1:13" ht="12.75" customHeight="1">
      <c r="A424" s="321">
        <v>288</v>
      </c>
      <c r="B424" s="321" t="s">
        <v>138</v>
      </c>
      <c r="C424" s="321" t="s">
        <v>139</v>
      </c>
      <c r="D424" s="321" t="s">
        <v>43</v>
      </c>
      <c r="E424" s="321" t="s">
        <v>140</v>
      </c>
      <c r="F424" s="321">
        <v>-30146.2</v>
      </c>
      <c r="G424" s="321">
        <v>-30146</v>
      </c>
      <c r="H424" s="321">
        <v>-17496.72</v>
      </c>
      <c r="I424" s="321" t="s">
        <v>44</v>
      </c>
      <c r="J424" s="321" t="s">
        <v>19</v>
      </c>
      <c r="K424" s="224">
        <f>H424/F424</f>
        <v>0.58039553907291797</v>
      </c>
    </row>
    <row r="425" spans="1:13">
      <c r="A425" s="321">
        <v>1</v>
      </c>
      <c r="B425" s="321" t="s">
        <v>210</v>
      </c>
      <c r="C425" s="321" t="s">
        <v>211</v>
      </c>
      <c r="D425" s="321" t="s">
        <v>43</v>
      </c>
      <c r="E425" s="321" t="s">
        <v>212</v>
      </c>
      <c r="F425" s="405">
        <v>1350</v>
      </c>
      <c r="G425" s="405">
        <v>1350</v>
      </c>
      <c r="H425" s="405">
        <v>1782</v>
      </c>
      <c r="I425" s="321" t="s">
        <v>44</v>
      </c>
      <c r="J425" s="321" t="s">
        <v>23</v>
      </c>
      <c r="K425" s="224">
        <f>H425/F425</f>
        <v>1.32</v>
      </c>
    </row>
    <row r="426" spans="1:13">
      <c r="A426" s="321">
        <v>1</v>
      </c>
      <c r="B426" s="321" t="s">
        <v>396</v>
      </c>
      <c r="C426" s="321" t="s">
        <v>397</v>
      </c>
      <c r="D426" s="321" t="s">
        <v>16</v>
      </c>
      <c r="E426" s="321" t="s">
        <v>22</v>
      </c>
      <c r="F426" s="405">
        <v>7457</v>
      </c>
      <c r="G426" s="405">
        <v>0.75</v>
      </c>
      <c r="H426" s="405">
        <v>93.21</v>
      </c>
      <c r="I426" s="321" t="s">
        <v>18</v>
      </c>
      <c r="J426" s="321" t="s">
        <v>23</v>
      </c>
      <c r="K426" s="224">
        <f>H426/F426</f>
        <v>1.2499664744535335E-2</v>
      </c>
    </row>
    <row r="427" spans="1:13">
      <c r="A427" s="321">
        <v>211</v>
      </c>
      <c r="B427" s="321" t="s">
        <v>394</v>
      </c>
      <c r="C427" s="321" t="s">
        <v>395</v>
      </c>
      <c r="D427" s="321" t="s">
        <v>16</v>
      </c>
      <c r="E427" s="321" t="s">
        <v>88</v>
      </c>
      <c r="F427" s="405">
        <v>13783</v>
      </c>
      <c r="G427" s="405">
        <v>9648.1</v>
      </c>
      <c r="H427" s="321">
        <v>6149.97</v>
      </c>
      <c r="I427" s="321" t="s">
        <v>35</v>
      </c>
      <c r="J427" s="321" t="s">
        <v>19</v>
      </c>
      <c r="K427" s="224">
        <f>H427/F427</f>
        <v>0.4461996662555322</v>
      </c>
    </row>
    <row r="428" spans="1:13" ht="15" customHeight="1">
      <c r="A428" s="321">
        <v>201</v>
      </c>
      <c r="B428" s="321" t="s">
        <v>249</v>
      </c>
      <c r="C428" s="321" t="s">
        <v>250</v>
      </c>
      <c r="D428" s="321" t="s">
        <v>16</v>
      </c>
      <c r="E428" s="321" t="s">
        <v>228</v>
      </c>
      <c r="F428" s="405">
        <v>16188</v>
      </c>
      <c r="G428" s="405">
        <v>485640</v>
      </c>
      <c r="H428" s="405">
        <v>453264</v>
      </c>
      <c r="I428" s="321" t="s">
        <v>35</v>
      </c>
      <c r="J428" s="321" t="s">
        <v>19</v>
      </c>
      <c r="K428" s="224">
        <f>H428/F428</f>
        <v>28</v>
      </c>
    </row>
    <row r="429" spans="1:13" ht="12.75" customHeight="1">
      <c r="A429" s="321">
        <v>1</v>
      </c>
      <c r="B429" s="321">
        <v>5806</v>
      </c>
      <c r="C429" s="321" t="s">
        <v>262</v>
      </c>
      <c r="D429" s="321" t="s">
        <v>28</v>
      </c>
      <c r="E429" s="321" t="s">
        <v>29</v>
      </c>
      <c r="F429" s="405">
        <v>0</v>
      </c>
      <c r="G429" s="405">
        <v>0</v>
      </c>
      <c r="H429" s="405">
        <v>0</v>
      </c>
      <c r="I429" s="321" t="s">
        <v>30</v>
      </c>
      <c r="J429" s="321" t="s">
        <v>23</v>
      </c>
      <c r="K429" s="224" t="e">
        <f>H429/F429</f>
        <v>#DIV/0!</v>
      </c>
    </row>
    <row r="430" spans="1:13" ht="12.75" customHeight="1">
      <c r="A430" s="321">
        <v>204</v>
      </c>
      <c r="B430" s="321">
        <v>2753</v>
      </c>
      <c r="C430" s="321" t="s">
        <v>398</v>
      </c>
      <c r="D430" s="321" t="s">
        <v>28</v>
      </c>
      <c r="E430" s="321" t="s">
        <v>56</v>
      </c>
      <c r="F430" s="405">
        <v>600</v>
      </c>
      <c r="G430" s="405">
        <v>17070.599999999999</v>
      </c>
      <c r="H430" s="405">
        <v>12293.41</v>
      </c>
      <c r="I430" s="321" t="s">
        <v>30</v>
      </c>
      <c r="J430" s="321" t="s">
        <v>19</v>
      </c>
      <c r="K430" s="224">
        <f>H430/F430</f>
        <v>20.489016666666668</v>
      </c>
    </row>
    <row r="431" spans="1:13" ht="12.75" customHeight="1">
      <c r="A431" s="321">
        <v>1</v>
      </c>
      <c r="B431" s="321" t="s">
        <v>131</v>
      </c>
      <c r="C431" s="321" t="s">
        <v>132</v>
      </c>
      <c r="D431" s="321" t="s">
        <v>43</v>
      </c>
      <c r="E431" s="321"/>
      <c r="F431" s="321">
        <v>48</v>
      </c>
      <c r="G431" s="321">
        <v>48</v>
      </c>
      <c r="H431" s="321">
        <v>89.68</v>
      </c>
      <c r="I431" s="321" t="s">
        <v>44</v>
      </c>
      <c r="J431" s="321" t="s">
        <v>23</v>
      </c>
      <c r="K431" s="224">
        <f>H431/F431</f>
        <v>1.8683333333333334</v>
      </c>
    </row>
    <row r="432" spans="1:13">
      <c r="A432" s="321">
        <v>201</v>
      </c>
      <c r="B432" s="321" t="s">
        <v>389</v>
      </c>
      <c r="C432" s="321" t="s">
        <v>390</v>
      </c>
      <c r="D432" s="321" t="s">
        <v>16</v>
      </c>
      <c r="E432" s="321" t="s">
        <v>22</v>
      </c>
      <c r="F432" s="405">
        <v>19698</v>
      </c>
      <c r="G432" s="405">
        <v>1.97</v>
      </c>
      <c r="H432" s="405">
        <v>342.75</v>
      </c>
      <c r="I432" s="321" t="s">
        <v>18</v>
      </c>
      <c r="J432" s="321" t="s">
        <v>19</v>
      </c>
      <c r="K432" s="224">
        <f>H432/F432</f>
        <v>1.7400243679561375E-2</v>
      </c>
    </row>
    <row r="433" spans="1:12">
      <c r="A433" s="321">
        <v>201</v>
      </c>
      <c r="B433" s="321" t="s">
        <v>399</v>
      </c>
      <c r="C433" s="321" t="s">
        <v>400</v>
      </c>
      <c r="D433" s="321" t="s">
        <v>43</v>
      </c>
      <c r="E433" s="321"/>
      <c r="F433" s="405">
        <v>1320</v>
      </c>
      <c r="G433" s="405">
        <v>1320</v>
      </c>
      <c r="H433" s="405">
        <v>1379.55</v>
      </c>
      <c r="I433" s="321" t="s">
        <v>44</v>
      </c>
      <c r="J433" s="321" t="s">
        <v>19</v>
      </c>
      <c r="K433" s="224">
        <f>H433/F433</f>
        <v>1.0451136363636364</v>
      </c>
    </row>
    <row r="434" spans="1:12" ht="12.75" customHeight="1">
      <c r="A434" s="321">
        <v>288</v>
      </c>
      <c r="B434" s="321" t="s">
        <v>384</v>
      </c>
      <c r="C434" s="321" t="s">
        <v>385</v>
      </c>
      <c r="D434" s="321" t="s">
        <v>16</v>
      </c>
      <c r="E434" s="321" t="s">
        <v>22</v>
      </c>
      <c r="F434" s="321">
        <v>0</v>
      </c>
      <c r="G434" s="321">
        <v>0</v>
      </c>
      <c r="H434" s="321">
        <v>0</v>
      </c>
      <c r="I434" s="321" t="s">
        <v>18</v>
      </c>
      <c r="J434" s="321" t="s">
        <v>19</v>
      </c>
      <c r="K434" s="224" t="e">
        <f>H434/F434</f>
        <v>#DIV/0!</v>
      </c>
    </row>
    <row r="435" spans="1:12" ht="12.75" customHeight="1">
      <c r="A435" s="321">
        <v>1</v>
      </c>
      <c r="B435" s="321" t="s">
        <v>401</v>
      </c>
      <c r="C435" s="321" t="s">
        <v>402</v>
      </c>
      <c r="D435" s="321" t="s">
        <v>16</v>
      </c>
      <c r="E435" s="321" t="s">
        <v>22</v>
      </c>
      <c r="F435" s="405">
        <v>10595</v>
      </c>
      <c r="G435" s="321">
        <v>1.06</v>
      </c>
      <c r="H435" s="321">
        <v>141.97</v>
      </c>
      <c r="I435" s="321" t="s">
        <v>18</v>
      </c>
      <c r="J435" s="321" t="s">
        <v>23</v>
      </c>
      <c r="K435" s="224">
        <f>H435/F435</f>
        <v>1.3399716847569609E-2</v>
      </c>
      <c r="L435" s="215"/>
    </row>
    <row r="436" spans="1:12" ht="12.75" customHeight="1">
      <c r="A436" s="321">
        <v>11</v>
      </c>
      <c r="B436" s="321" t="s">
        <v>403</v>
      </c>
      <c r="C436" s="321" t="s">
        <v>404</v>
      </c>
      <c r="D436" s="321" t="s">
        <v>16</v>
      </c>
      <c r="E436" s="321" t="s">
        <v>26</v>
      </c>
      <c r="F436" s="405">
        <v>437500</v>
      </c>
      <c r="G436" s="321">
        <v>437.5</v>
      </c>
      <c r="H436" s="321">
        <v>9450</v>
      </c>
      <c r="I436" s="321" t="s">
        <v>18</v>
      </c>
      <c r="J436" s="321" t="s">
        <v>23</v>
      </c>
      <c r="K436" s="224">
        <f>H436/F436</f>
        <v>2.1600000000000001E-2</v>
      </c>
    </row>
    <row r="437" spans="1:12" ht="12.75" customHeight="1">
      <c r="A437" s="321">
        <v>204</v>
      </c>
      <c r="B437" s="321">
        <v>6227</v>
      </c>
      <c r="C437" s="321" t="s">
        <v>405</v>
      </c>
      <c r="D437" s="321" t="s">
        <v>28</v>
      </c>
      <c r="E437" s="321" t="s">
        <v>406</v>
      </c>
      <c r="F437" s="405">
        <v>2269</v>
      </c>
      <c r="G437" s="321">
        <v>79415</v>
      </c>
      <c r="H437" s="321">
        <v>34710.01</v>
      </c>
      <c r="I437" s="321" t="s">
        <v>30</v>
      </c>
      <c r="J437" s="321" t="s">
        <v>19</v>
      </c>
      <c r="K437" s="224">
        <f>H437/F437</f>
        <v>15.297492287351258</v>
      </c>
    </row>
    <row r="438" spans="1:12" ht="12.75" customHeight="1">
      <c r="A438" s="321">
        <v>11</v>
      </c>
      <c r="B438" s="321" t="s">
        <v>391</v>
      </c>
      <c r="C438" s="321" t="s">
        <v>392</v>
      </c>
      <c r="D438" s="321" t="s">
        <v>43</v>
      </c>
      <c r="E438" s="321"/>
      <c r="F438" s="405">
        <v>45630</v>
      </c>
      <c r="G438" s="321">
        <v>45630</v>
      </c>
      <c r="H438" s="321">
        <v>58839.89</v>
      </c>
      <c r="I438" s="321" t="s">
        <v>44</v>
      </c>
      <c r="J438" s="321" t="s">
        <v>23</v>
      </c>
      <c r="K438" s="224">
        <f>H438/F438</f>
        <v>1.2895001095770326</v>
      </c>
      <c r="L438" s="215"/>
    </row>
    <row r="439" spans="1:12" ht="12.75" customHeight="1">
      <c r="A439" s="321">
        <v>201</v>
      </c>
      <c r="B439" s="321" t="s">
        <v>407</v>
      </c>
      <c r="C439" s="321" t="s">
        <v>408</v>
      </c>
      <c r="D439" s="321" t="s">
        <v>16</v>
      </c>
      <c r="E439" s="321" t="s">
        <v>22</v>
      </c>
      <c r="F439" s="405">
        <v>7380</v>
      </c>
      <c r="G439" s="321">
        <v>0.74</v>
      </c>
      <c r="H439" s="321">
        <v>127.67</v>
      </c>
      <c r="I439" s="321" t="s">
        <v>18</v>
      </c>
      <c r="J439" s="321" t="s">
        <v>19</v>
      </c>
      <c r="K439" s="224">
        <f>H439/F439</f>
        <v>1.7299457994579947E-2</v>
      </c>
    </row>
    <row r="440" spans="1:12">
      <c r="A440" s="321">
        <v>11</v>
      </c>
      <c r="B440" s="321" t="s">
        <v>389</v>
      </c>
      <c r="C440" s="321" t="s">
        <v>390</v>
      </c>
      <c r="D440" s="321" t="s">
        <v>16</v>
      </c>
      <c r="E440" s="321" t="s">
        <v>22</v>
      </c>
      <c r="F440" s="405">
        <v>20000</v>
      </c>
      <c r="G440" s="321">
        <v>2</v>
      </c>
      <c r="H440" s="321">
        <v>346</v>
      </c>
      <c r="I440" s="321" t="s">
        <v>18</v>
      </c>
      <c r="J440" s="321" t="s">
        <v>23</v>
      </c>
      <c r="K440" s="224">
        <f>H440/F440</f>
        <v>1.7299999999999999E-2</v>
      </c>
    </row>
    <row r="441" spans="1:12">
      <c r="A441" s="321">
        <v>1</v>
      </c>
      <c r="B441" s="321" t="s">
        <v>391</v>
      </c>
      <c r="C441" s="321" t="s">
        <v>392</v>
      </c>
      <c r="D441" s="321" t="s">
        <v>43</v>
      </c>
      <c r="E441" s="321"/>
      <c r="F441" s="405">
        <v>1199</v>
      </c>
      <c r="G441" s="321">
        <v>1199</v>
      </c>
      <c r="H441" s="321">
        <v>1544.78</v>
      </c>
      <c r="I441" s="321" t="s">
        <v>44</v>
      </c>
      <c r="J441" s="321" t="s">
        <v>23</v>
      </c>
      <c r="K441" s="224">
        <f>H441/F441</f>
        <v>1.2883903252710591</v>
      </c>
    </row>
    <row r="442" spans="1:12" ht="12.75" customHeight="1">
      <c r="A442" s="321">
        <v>11</v>
      </c>
      <c r="B442" s="321">
        <v>9942</v>
      </c>
      <c r="C442" s="321" t="s">
        <v>2914</v>
      </c>
      <c r="D442" s="321" t="s">
        <v>288</v>
      </c>
      <c r="E442" s="321" t="s">
        <v>289</v>
      </c>
      <c r="F442" s="405">
        <v>0</v>
      </c>
      <c r="G442" s="321">
        <v>0</v>
      </c>
      <c r="H442" s="321">
        <v>0</v>
      </c>
      <c r="I442" s="321" t="s">
        <v>30</v>
      </c>
      <c r="J442" s="321" t="s">
        <v>23</v>
      </c>
      <c r="K442" s="224" t="e">
        <f>H442/F442</f>
        <v>#DIV/0!</v>
      </c>
    </row>
    <row r="443" spans="1:12" ht="12.75" customHeight="1">
      <c r="A443" s="321">
        <v>201</v>
      </c>
      <c r="B443" s="321" t="s">
        <v>131</v>
      </c>
      <c r="C443" s="321" t="s">
        <v>132</v>
      </c>
      <c r="D443" s="321" t="s">
        <v>43</v>
      </c>
      <c r="E443" s="321"/>
      <c r="F443" s="405">
        <v>48.2</v>
      </c>
      <c r="G443" s="321">
        <v>48.2</v>
      </c>
      <c r="H443" s="321">
        <v>91.86</v>
      </c>
      <c r="I443" s="321" t="s">
        <v>44</v>
      </c>
      <c r="J443" s="321" t="s">
        <v>19</v>
      </c>
      <c r="K443" s="224">
        <f>H443/F443</f>
        <v>1.9058091286307053</v>
      </c>
    </row>
    <row r="444" spans="1:12" ht="12.75" customHeight="1">
      <c r="A444" s="321">
        <v>88</v>
      </c>
      <c r="B444" s="321">
        <v>5142</v>
      </c>
      <c r="C444" s="321" t="s">
        <v>62</v>
      </c>
      <c r="D444" s="321" t="s">
        <v>28</v>
      </c>
      <c r="E444" s="321" t="s">
        <v>54</v>
      </c>
      <c r="F444" s="405">
        <v>0</v>
      </c>
      <c r="G444" s="321">
        <v>0</v>
      </c>
      <c r="H444" s="321">
        <v>0</v>
      </c>
      <c r="I444" s="321" t="s">
        <v>30</v>
      </c>
      <c r="J444" s="321" t="s">
        <v>23</v>
      </c>
      <c r="K444" s="224" t="e">
        <f>H444/F444</f>
        <v>#DIV/0!</v>
      </c>
    </row>
    <row r="445" spans="1:12" ht="12.75" customHeight="1">
      <c r="A445" s="321">
        <v>88</v>
      </c>
      <c r="B445" s="321" t="s">
        <v>431</v>
      </c>
      <c r="C445" s="321" t="s">
        <v>432</v>
      </c>
      <c r="D445" s="321" t="s">
        <v>16</v>
      </c>
      <c r="E445" s="321" t="s">
        <v>22</v>
      </c>
      <c r="F445" s="405">
        <v>242</v>
      </c>
      <c r="G445" s="321">
        <v>0.02</v>
      </c>
      <c r="H445" s="321">
        <v>4.1900000000000004</v>
      </c>
      <c r="I445" s="321" t="s">
        <v>18</v>
      </c>
      <c r="J445" s="321" t="s">
        <v>23</v>
      </c>
      <c r="K445" s="224">
        <f>H445/F445</f>
        <v>1.7314049586776861E-2</v>
      </c>
    </row>
    <row r="446" spans="1:12" ht="12.75" customHeight="1">
      <c r="A446" s="321">
        <v>201</v>
      </c>
      <c r="B446" s="321" t="s">
        <v>409</v>
      </c>
      <c r="C446" s="321" t="s">
        <v>410</v>
      </c>
      <c r="D446" s="321" t="s">
        <v>16</v>
      </c>
      <c r="E446" s="321" t="s">
        <v>22</v>
      </c>
      <c r="F446" s="405">
        <v>10000</v>
      </c>
      <c r="G446" s="321">
        <v>1</v>
      </c>
      <c r="H446" s="321">
        <v>134</v>
      </c>
      <c r="I446" s="321" t="s">
        <v>18</v>
      </c>
      <c r="J446" s="321" t="s">
        <v>19</v>
      </c>
      <c r="K446" s="224">
        <f>H446/F446</f>
        <v>1.34E-2</v>
      </c>
      <c r="L446" s="215"/>
    </row>
    <row r="447" spans="1:12">
      <c r="A447" s="321">
        <v>201</v>
      </c>
      <c r="B447" s="321" t="s">
        <v>411</v>
      </c>
      <c r="C447" s="321" t="s">
        <v>412</v>
      </c>
      <c r="D447" s="321" t="s">
        <v>16</v>
      </c>
      <c r="E447" s="321" t="s">
        <v>22</v>
      </c>
      <c r="F447" s="405">
        <v>9899</v>
      </c>
      <c r="G447" s="321">
        <v>0.99</v>
      </c>
      <c r="H447" s="321">
        <v>132.65</v>
      </c>
      <c r="I447" s="321" t="s">
        <v>18</v>
      </c>
      <c r="J447" s="321" t="s">
        <v>19</v>
      </c>
      <c r="K447" s="224">
        <f>H447/F447</f>
        <v>1.3400343469037276E-2</v>
      </c>
    </row>
    <row r="448" spans="1:12" ht="12.75" customHeight="1">
      <c r="A448" s="321">
        <v>1</v>
      </c>
      <c r="B448" s="321" t="s">
        <v>265</v>
      </c>
      <c r="C448" s="321" t="s">
        <v>266</v>
      </c>
      <c r="D448" s="321" t="s">
        <v>43</v>
      </c>
      <c r="E448" s="321"/>
      <c r="F448" s="405">
        <v>165.4</v>
      </c>
      <c r="G448" s="321">
        <v>165.4</v>
      </c>
      <c r="H448" s="405">
        <v>719.49</v>
      </c>
      <c r="I448" s="321" t="s">
        <v>44</v>
      </c>
      <c r="J448" s="321" t="s">
        <v>23</v>
      </c>
      <c r="K448" s="224">
        <f>H448/F448</f>
        <v>4.3499999999999996</v>
      </c>
    </row>
    <row r="449" spans="1:11">
      <c r="A449" s="321">
        <v>11</v>
      </c>
      <c r="B449" s="321" t="s">
        <v>384</v>
      </c>
      <c r="C449" s="321" t="s">
        <v>385</v>
      </c>
      <c r="D449" s="321" t="s">
        <v>16</v>
      </c>
      <c r="E449" s="321" t="s">
        <v>22</v>
      </c>
      <c r="F449" s="405">
        <v>80000</v>
      </c>
      <c r="G449" s="321">
        <v>8</v>
      </c>
      <c r="H449" s="321">
        <v>1072</v>
      </c>
      <c r="I449" s="321" t="s">
        <v>18</v>
      </c>
      <c r="J449" s="321" t="s">
        <v>23</v>
      </c>
      <c r="K449" s="224">
        <f>H449/F449</f>
        <v>1.34E-2</v>
      </c>
    </row>
    <row r="450" spans="1:11">
      <c r="A450" s="321">
        <v>204</v>
      </c>
      <c r="B450" s="321">
        <v>197</v>
      </c>
      <c r="C450" s="321" t="s">
        <v>413</v>
      </c>
      <c r="D450" s="321" t="s">
        <v>28</v>
      </c>
      <c r="E450" s="321" t="s">
        <v>56</v>
      </c>
      <c r="F450" s="405">
        <v>223</v>
      </c>
      <c r="G450" s="321">
        <v>3014.96</v>
      </c>
      <c r="H450" s="321">
        <v>770.13</v>
      </c>
      <c r="I450" s="321" t="s">
        <v>30</v>
      </c>
      <c r="J450" s="321" t="s">
        <v>19</v>
      </c>
      <c r="K450" s="224">
        <f>H450/F450</f>
        <v>3.4534977578475337</v>
      </c>
    </row>
    <row r="451" spans="1:11" ht="12.75" customHeight="1">
      <c r="A451" s="321">
        <v>1</v>
      </c>
      <c r="B451" s="321" t="s">
        <v>414</v>
      </c>
      <c r="C451" s="321" t="s">
        <v>415</v>
      </c>
      <c r="D451" s="321" t="s">
        <v>16</v>
      </c>
      <c r="E451" s="321" t="s">
        <v>22</v>
      </c>
      <c r="F451" s="405">
        <v>36244</v>
      </c>
      <c r="G451" s="321">
        <v>3.62</v>
      </c>
      <c r="H451" s="321">
        <v>442.18</v>
      </c>
      <c r="I451" s="321" t="s">
        <v>18</v>
      </c>
      <c r="J451" s="321" t="s">
        <v>23</v>
      </c>
      <c r="K451" s="224">
        <f>H451/F451</f>
        <v>1.2200088290475666E-2</v>
      </c>
    </row>
    <row r="452" spans="1:11">
      <c r="A452" s="321">
        <v>201</v>
      </c>
      <c r="B452" s="321" t="s">
        <v>119</v>
      </c>
      <c r="C452" s="321" t="s">
        <v>120</v>
      </c>
      <c r="D452" s="321" t="s">
        <v>16</v>
      </c>
      <c r="E452" s="321" t="s">
        <v>22</v>
      </c>
      <c r="F452" s="405">
        <v>329326</v>
      </c>
      <c r="G452" s="321">
        <v>32.93</v>
      </c>
      <c r="H452" s="321">
        <v>3424.99</v>
      </c>
      <c r="I452" s="321" t="s">
        <v>18</v>
      </c>
      <c r="J452" s="321" t="s">
        <v>19</v>
      </c>
      <c r="K452" s="224">
        <f>H452/F452</f>
        <v>1.0399998785398054E-2</v>
      </c>
    </row>
    <row r="453" spans="1:11" ht="12.75" customHeight="1">
      <c r="A453" s="321">
        <v>1</v>
      </c>
      <c r="B453" s="321" t="s">
        <v>379</v>
      </c>
      <c r="C453" s="321" t="s">
        <v>380</v>
      </c>
      <c r="D453" s="321" t="s">
        <v>43</v>
      </c>
      <c r="E453" s="321"/>
      <c r="F453" s="405">
        <v>35</v>
      </c>
      <c r="G453" s="321">
        <v>35</v>
      </c>
      <c r="H453" s="321">
        <v>174.65</v>
      </c>
      <c r="I453" s="321" t="s">
        <v>44</v>
      </c>
      <c r="J453" s="321" t="s">
        <v>23</v>
      </c>
      <c r="K453" s="224">
        <f>H453/F453</f>
        <v>4.99</v>
      </c>
    </row>
    <row r="454" spans="1:11">
      <c r="A454" s="321">
        <v>201</v>
      </c>
      <c r="B454" s="321" t="s">
        <v>416</v>
      </c>
      <c r="C454" s="321" t="s">
        <v>417</v>
      </c>
      <c r="D454" s="321" t="s">
        <v>43</v>
      </c>
      <c r="E454" s="321"/>
      <c r="F454" s="405">
        <v>213.57</v>
      </c>
      <c r="G454" s="321">
        <v>213.57</v>
      </c>
      <c r="H454" s="321">
        <v>3737.39</v>
      </c>
      <c r="I454" s="321" t="s">
        <v>44</v>
      </c>
      <c r="J454" s="321" t="s">
        <v>19</v>
      </c>
      <c r="K454" s="224">
        <f>H454/F454</f>
        <v>17.499602004026784</v>
      </c>
    </row>
    <row r="455" spans="1:11" ht="12.75" customHeight="1">
      <c r="A455" s="321">
        <v>88</v>
      </c>
      <c r="B455" s="321" t="s">
        <v>403</v>
      </c>
      <c r="C455" s="321" t="s">
        <v>404</v>
      </c>
      <c r="D455" s="321" t="s">
        <v>16</v>
      </c>
      <c r="E455" s="321" t="s">
        <v>26</v>
      </c>
      <c r="F455" s="405">
        <v>1554</v>
      </c>
      <c r="G455" s="321">
        <v>1.55</v>
      </c>
      <c r="H455" s="321">
        <v>33.57</v>
      </c>
      <c r="I455" s="321" t="s">
        <v>18</v>
      </c>
      <c r="J455" s="321" t="s">
        <v>23</v>
      </c>
      <c r="K455" s="224">
        <f>H455/F455</f>
        <v>2.1602316602316603E-2</v>
      </c>
    </row>
    <row r="456" spans="1:11">
      <c r="A456" s="321">
        <v>205</v>
      </c>
      <c r="B456" s="321" t="s">
        <v>443</v>
      </c>
      <c r="C456" s="321" t="s">
        <v>444</v>
      </c>
      <c r="D456" s="321" t="s">
        <v>43</v>
      </c>
      <c r="E456" s="321"/>
      <c r="F456" s="405">
        <v>24400</v>
      </c>
      <c r="G456" s="321">
        <v>24400</v>
      </c>
      <c r="H456" s="321">
        <v>23912</v>
      </c>
      <c r="I456" s="321" t="s">
        <v>44</v>
      </c>
      <c r="J456" s="321" t="s">
        <v>19</v>
      </c>
      <c r="K456" s="224">
        <f>H456/F456</f>
        <v>0.98</v>
      </c>
    </row>
    <row r="457" spans="1:11">
      <c r="A457" s="321">
        <v>201</v>
      </c>
      <c r="B457" s="321" t="s">
        <v>418</v>
      </c>
      <c r="C457" s="321" t="s">
        <v>419</v>
      </c>
      <c r="D457" s="321" t="s">
        <v>16</v>
      </c>
      <c r="E457" s="321" t="s">
        <v>420</v>
      </c>
      <c r="F457" s="405">
        <v>81815</v>
      </c>
      <c r="G457" s="321">
        <v>8476.0300000000007</v>
      </c>
      <c r="H457" s="321">
        <v>17892.93</v>
      </c>
      <c r="I457" s="321" t="s">
        <v>18</v>
      </c>
      <c r="J457" s="321" t="s">
        <v>19</v>
      </c>
      <c r="K457" s="224">
        <f>H457/F457</f>
        <v>0.21869987166167573</v>
      </c>
    </row>
    <row r="458" spans="1:11" ht="12.75" customHeight="1">
      <c r="A458" s="321">
        <v>488</v>
      </c>
      <c r="B458" s="321" t="s">
        <v>456</v>
      </c>
      <c r="C458" s="321" t="s">
        <v>457</v>
      </c>
      <c r="D458" s="321" t="s">
        <v>16</v>
      </c>
      <c r="E458" s="321" t="s">
        <v>458</v>
      </c>
      <c r="F458" s="405">
        <v>161</v>
      </c>
      <c r="G458" s="321">
        <v>23.07</v>
      </c>
      <c r="H458" s="321">
        <v>48.78</v>
      </c>
      <c r="I458" s="321" t="s">
        <v>18</v>
      </c>
      <c r="J458" s="321" t="s">
        <v>19</v>
      </c>
      <c r="K458" s="224">
        <f>H458/F458</f>
        <v>0.30298136645962731</v>
      </c>
    </row>
    <row r="459" spans="1:11" ht="12.75" customHeight="1">
      <c r="A459" s="321">
        <v>211</v>
      </c>
      <c r="B459" s="321">
        <v>5142</v>
      </c>
      <c r="C459" s="321" t="s">
        <v>62</v>
      </c>
      <c r="D459" s="321" t="s">
        <v>28</v>
      </c>
      <c r="E459" s="321" t="s">
        <v>54</v>
      </c>
      <c r="F459" s="405">
        <v>251</v>
      </c>
      <c r="G459" s="405">
        <v>12750.8</v>
      </c>
      <c r="H459" s="405">
        <v>7652.71</v>
      </c>
      <c r="I459" s="321" t="s">
        <v>30</v>
      </c>
      <c r="J459" s="321" t="s">
        <v>19</v>
      </c>
      <c r="K459" s="224">
        <f>H459/F459</f>
        <v>30.488884462151393</v>
      </c>
    </row>
    <row r="460" spans="1:11" ht="12.75" customHeight="1">
      <c r="A460" s="321">
        <v>88</v>
      </c>
      <c r="B460" s="321" t="s">
        <v>421</v>
      </c>
      <c r="C460" s="321" t="s">
        <v>2846</v>
      </c>
      <c r="D460" s="321" t="s">
        <v>34</v>
      </c>
      <c r="E460" s="321"/>
      <c r="F460" s="405">
        <v>-10495</v>
      </c>
      <c r="G460" s="405">
        <v>-93405.5</v>
      </c>
      <c r="H460" s="405">
        <v>-33708.269999999997</v>
      </c>
      <c r="I460" s="321" t="s">
        <v>35</v>
      </c>
      <c r="J460" s="321" t="s">
        <v>23</v>
      </c>
      <c r="K460" s="224">
        <f>H460/F460</f>
        <v>3.2118408766079081</v>
      </c>
    </row>
    <row r="461" spans="1:11" ht="12.75" customHeight="1">
      <c r="A461" s="321">
        <v>205</v>
      </c>
      <c r="B461" s="321" t="s">
        <v>366</v>
      </c>
      <c r="C461" s="321" t="s">
        <v>367</v>
      </c>
      <c r="D461" s="321" t="s">
        <v>34</v>
      </c>
      <c r="E461" s="321" t="s">
        <v>368</v>
      </c>
      <c r="F461" s="405">
        <v>92668.32</v>
      </c>
      <c r="G461" s="321">
        <v>824748.05</v>
      </c>
      <c r="H461" s="405">
        <v>437496.41</v>
      </c>
      <c r="I461" s="321" t="s">
        <v>35</v>
      </c>
      <c r="J461" s="321" t="s">
        <v>19</v>
      </c>
      <c r="K461" s="224">
        <f>H461/F461</f>
        <v>4.7211000479991432</v>
      </c>
    </row>
    <row r="462" spans="1:11">
      <c r="A462" s="321">
        <v>201</v>
      </c>
      <c r="B462" s="321">
        <v>4141</v>
      </c>
      <c r="C462" s="321" t="s">
        <v>466</v>
      </c>
      <c r="D462" s="321" t="s">
        <v>28</v>
      </c>
      <c r="E462" s="321" t="s">
        <v>29</v>
      </c>
      <c r="F462" s="321">
        <v>199</v>
      </c>
      <c r="G462" s="321">
        <v>7142.11</v>
      </c>
      <c r="H462" s="321">
        <v>3210.47</v>
      </c>
      <c r="I462" s="321" t="s">
        <v>30</v>
      </c>
      <c r="J462" s="321" t="s">
        <v>59</v>
      </c>
      <c r="K462" s="224">
        <f>H462/F462</f>
        <v>16.133015075376882</v>
      </c>
    </row>
    <row r="463" spans="1:11" ht="12.75" customHeight="1">
      <c r="A463" s="321">
        <v>201</v>
      </c>
      <c r="B463" s="321" t="s">
        <v>379</v>
      </c>
      <c r="C463" s="321" t="s">
        <v>380</v>
      </c>
      <c r="D463" s="321" t="s">
        <v>43</v>
      </c>
      <c r="E463" s="321"/>
      <c r="F463" s="405">
        <v>23.8</v>
      </c>
      <c r="G463" s="405">
        <v>23.8</v>
      </c>
      <c r="H463" s="405">
        <v>117.31</v>
      </c>
      <c r="I463" s="321" t="s">
        <v>44</v>
      </c>
      <c r="J463" s="321" t="s">
        <v>19</v>
      </c>
      <c r="K463" s="224">
        <f>H463/F463</f>
        <v>4.9289915966386557</v>
      </c>
    </row>
    <row r="464" spans="1:11" ht="12.75" customHeight="1">
      <c r="A464" s="321">
        <v>201</v>
      </c>
      <c r="B464" s="321" t="s">
        <v>47</v>
      </c>
      <c r="C464" s="321" t="s">
        <v>48</v>
      </c>
      <c r="D464" s="321" t="s">
        <v>43</v>
      </c>
      <c r="E464" s="321"/>
      <c r="F464" s="405">
        <v>86.6</v>
      </c>
      <c r="G464" s="405">
        <v>86.6</v>
      </c>
      <c r="H464" s="405">
        <v>1133.01</v>
      </c>
      <c r="I464" s="321" t="s">
        <v>44</v>
      </c>
      <c r="J464" s="321" t="s">
        <v>19</v>
      </c>
      <c r="K464" s="224">
        <f>H464/F464</f>
        <v>13.083256351039262</v>
      </c>
    </row>
    <row r="465" spans="1:11">
      <c r="A465" s="321">
        <v>1</v>
      </c>
      <c r="B465" s="321" t="s">
        <v>418</v>
      </c>
      <c r="C465" s="321" t="s">
        <v>419</v>
      </c>
      <c r="D465" s="321" t="s">
        <v>16</v>
      </c>
      <c r="E465" s="321" t="s">
        <v>420</v>
      </c>
      <c r="F465" s="405">
        <v>20520</v>
      </c>
      <c r="G465" s="405">
        <v>2125.87</v>
      </c>
      <c r="H465" s="405">
        <v>5452.31</v>
      </c>
      <c r="I465" s="321" t="s">
        <v>18</v>
      </c>
      <c r="J465" s="321" t="s">
        <v>23</v>
      </c>
      <c r="K465" s="224">
        <f>H465/F465</f>
        <v>0.26570711500974659</v>
      </c>
    </row>
    <row r="466" spans="1:11" ht="12.75" customHeight="1">
      <c r="A466" s="321">
        <v>201</v>
      </c>
      <c r="B466" s="321" t="s">
        <v>391</v>
      </c>
      <c r="C466" s="321" t="s">
        <v>392</v>
      </c>
      <c r="D466" s="321" t="s">
        <v>43</v>
      </c>
      <c r="E466" s="321"/>
      <c r="F466" s="405">
        <v>2660.14</v>
      </c>
      <c r="G466" s="321">
        <v>2660.14</v>
      </c>
      <c r="H466" s="405">
        <v>3403.65</v>
      </c>
      <c r="I466" s="321" t="s">
        <v>44</v>
      </c>
      <c r="J466" s="321" t="s">
        <v>19</v>
      </c>
      <c r="K466" s="224">
        <f>H466/F466</f>
        <v>1.2795003270504561</v>
      </c>
    </row>
    <row r="467" spans="1:11" ht="12.75" customHeight="1">
      <c r="A467" s="321">
        <v>1</v>
      </c>
      <c r="B467" s="321" t="s">
        <v>47</v>
      </c>
      <c r="C467" s="321" t="s">
        <v>48</v>
      </c>
      <c r="D467" s="321" t="s">
        <v>43</v>
      </c>
      <c r="E467" s="321"/>
      <c r="F467" s="405">
        <v>42.9</v>
      </c>
      <c r="G467" s="405">
        <v>42.9</v>
      </c>
      <c r="H467" s="405">
        <v>565.71</v>
      </c>
      <c r="I467" s="321" t="s">
        <v>44</v>
      </c>
      <c r="J467" s="321" t="s">
        <v>23</v>
      </c>
      <c r="K467" s="224">
        <f>H467/F467</f>
        <v>13.186713286713289</v>
      </c>
    </row>
    <row r="468" spans="1:11">
      <c r="A468" s="321">
        <v>288</v>
      </c>
      <c r="B468" s="321" t="s">
        <v>403</v>
      </c>
      <c r="C468" s="321" t="s">
        <v>404</v>
      </c>
      <c r="D468" s="321" t="s">
        <v>16</v>
      </c>
      <c r="E468" s="321" t="s">
        <v>26</v>
      </c>
      <c r="F468" s="405">
        <v>-81</v>
      </c>
      <c r="G468" s="405">
        <v>-0.08</v>
      </c>
      <c r="H468" s="405">
        <v>-1.72</v>
      </c>
      <c r="I468" s="321" t="s">
        <v>18</v>
      </c>
      <c r="J468" s="321" t="s">
        <v>19</v>
      </c>
      <c r="K468" s="224">
        <f>H468/F468</f>
        <v>2.1234567901234569E-2</v>
      </c>
    </row>
    <row r="469" spans="1:11">
      <c r="A469" s="321">
        <v>201</v>
      </c>
      <c r="B469" s="321" t="s">
        <v>423</v>
      </c>
      <c r="C469" s="321" t="s">
        <v>345</v>
      </c>
      <c r="D469" s="321" t="s">
        <v>16</v>
      </c>
      <c r="E469" s="321" t="s">
        <v>22</v>
      </c>
      <c r="F469" s="321">
        <v>800</v>
      </c>
      <c r="G469" s="321">
        <v>0.08</v>
      </c>
      <c r="H469" s="321">
        <v>10.64</v>
      </c>
      <c r="I469" s="321" t="s">
        <v>18</v>
      </c>
      <c r="J469" s="321" t="s">
        <v>19</v>
      </c>
      <c r="K469" s="224">
        <f>H469/F469</f>
        <v>1.3300000000000001E-2</v>
      </c>
    </row>
    <row r="470" spans="1:11" ht="12.75" customHeight="1">
      <c r="A470" s="321">
        <v>201</v>
      </c>
      <c r="B470" s="321" t="s">
        <v>424</v>
      </c>
      <c r="C470" s="321" t="s">
        <v>425</v>
      </c>
      <c r="D470" s="321" t="s">
        <v>16</v>
      </c>
      <c r="E470" s="321" t="s">
        <v>22</v>
      </c>
      <c r="F470" s="405">
        <v>21480</v>
      </c>
      <c r="G470" s="405">
        <v>2.15</v>
      </c>
      <c r="H470" s="405">
        <v>247.02</v>
      </c>
      <c r="I470" s="321" t="s">
        <v>18</v>
      </c>
      <c r="J470" s="321" t="s">
        <v>19</v>
      </c>
      <c r="K470" s="224">
        <f>H470/F470</f>
        <v>1.15E-2</v>
      </c>
    </row>
    <row r="471" spans="1:11" ht="12.75" customHeight="1">
      <c r="A471" s="321">
        <v>11</v>
      </c>
      <c r="B471" s="321" t="s">
        <v>411</v>
      </c>
      <c r="C471" s="321" t="s">
        <v>412</v>
      </c>
      <c r="D471" s="321" t="s">
        <v>16</v>
      </c>
      <c r="E471" s="321" t="s">
        <v>22</v>
      </c>
      <c r="F471" s="405">
        <v>70000</v>
      </c>
      <c r="G471" s="405">
        <v>7</v>
      </c>
      <c r="H471" s="405">
        <v>938</v>
      </c>
      <c r="I471" s="321" t="s">
        <v>18</v>
      </c>
      <c r="J471" s="321" t="s">
        <v>23</v>
      </c>
      <c r="K471" s="224">
        <f>H471/F471</f>
        <v>1.34E-2</v>
      </c>
    </row>
    <row r="472" spans="1:11">
      <c r="A472" s="321">
        <v>201</v>
      </c>
      <c r="B472" s="321" t="s">
        <v>426</v>
      </c>
      <c r="C472" s="321" t="s">
        <v>427</v>
      </c>
      <c r="D472" s="321" t="s">
        <v>16</v>
      </c>
      <c r="E472" s="321" t="s">
        <v>22</v>
      </c>
      <c r="F472" s="405">
        <v>35853</v>
      </c>
      <c r="G472" s="405">
        <v>3.59</v>
      </c>
      <c r="H472" s="405">
        <v>254.56</v>
      </c>
      <c r="I472" s="321" t="s">
        <v>18</v>
      </c>
      <c r="J472" s="321" t="s">
        <v>19</v>
      </c>
      <c r="K472" s="224">
        <f>H472/F472</f>
        <v>7.100103199174407E-3</v>
      </c>
    </row>
    <row r="473" spans="1:11" ht="12.75" customHeight="1">
      <c r="A473" s="321">
        <v>201</v>
      </c>
      <c r="B473" s="321" t="s">
        <v>428</v>
      </c>
      <c r="C473" s="321" t="s">
        <v>429</v>
      </c>
      <c r="D473" s="321" t="s">
        <v>16</v>
      </c>
      <c r="E473" s="321" t="s">
        <v>430</v>
      </c>
      <c r="F473" s="405">
        <v>2</v>
      </c>
      <c r="G473" s="405">
        <v>2</v>
      </c>
      <c r="H473" s="405">
        <v>187.18</v>
      </c>
      <c r="I473" s="321" t="s">
        <v>18</v>
      </c>
      <c r="J473" s="321" t="s">
        <v>19</v>
      </c>
      <c r="K473" s="224">
        <f>H473/F473</f>
        <v>93.59</v>
      </c>
    </row>
    <row r="474" spans="1:11" ht="12.75" customHeight="1">
      <c r="A474" s="321">
        <v>201</v>
      </c>
      <c r="B474" s="321" t="s">
        <v>403</v>
      </c>
      <c r="C474" s="321" t="s">
        <v>404</v>
      </c>
      <c r="D474" s="321" t="s">
        <v>16</v>
      </c>
      <c r="E474" s="321" t="s">
        <v>26</v>
      </c>
      <c r="F474" s="321">
        <v>100383</v>
      </c>
      <c r="G474" s="321">
        <v>100.38</v>
      </c>
      <c r="H474" s="321">
        <v>2168.27</v>
      </c>
      <c r="I474" s="321" t="s">
        <v>18</v>
      </c>
      <c r="J474" s="321" t="s">
        <v>19</v>
      </c>
      <c r="K474" s="224">
        <f>H474/F474</f>
        <v>2.1599972106830838E-2</v>
      </c>
    </row>
    <row r="475" spans="1:11" ht="12.75" customHeight="1">
      <c r="A475" s="321">
        <v>1</v>
      </c>
      <c r="B475" s="321" t="s">
        <v>403</v>
      </c>
      <c r="C475" s="321" t="s">
        <v>404</v>
      </c>
      <c r="D475" s="321" t="s">
        <v>16</v>
      </c>
      <c r="E475" s="321" t="s">
        <v>26</v>
      </c>
      <c r="F475" s="321">
        <v>57292</v>
      </c>
      <c r="G475" s="321">
        <v>57.29</v>
      </c>
      <c r="H475" s="321">
        <v>1237.51</v>
      </c>
      <c r="I475" s="321" t="s">
        <v>18</v>
      </c>
      <c r="J475" s="321" t="s">
        <v>23</v>
      </c>
      <c r="K475" s="224">
        <f>H475/F475</f>
        <v>2.1600048872442924E-2</v>
      </c>
    </row>
    <row r="476" spans="1:11">
      <c r="A476" s="321">
        <v>288</v>
      </c>
      <c r="B476" s="321" t="s">
        <v>418</v>
      </c>
      <c r="C476" s="321" t="s">
        <v>419</v>
      </c>
      <c r="D476" s="321" t="s">
        <v>16</v>
      </c>
      <c r="E476" s="321" t="s">
        <v>420</v>
      </c>
      <c r="F476" s="405">
        <v>-864</v>
      </c>
      <c r="G476" s="321">
        <v>-89.51</v>
      </c>
      <c r="H476" s="321">
        <v>-189.15</v>
      </c>
      <c r="I476" s="321" t="s">
        <v>18</v>
      </c>
      <c r="J476" s="321" t="s">
        <v>19</v>
      </c>
      <c r="K476" s="224">
        <f>H476/F476</f>
        <v>0.21892361111111111</v>
      </c>
    </row>
    <row r="477" spans="1:11" ht="12.75" customHeight="1">
      <c r="A477" s="321">
        <v>201</v>
      </c>
      <c r="B477" s="321" t="s">
        <v>433</v>
      </c>
      <c r="C477" s="321" t="s">
        <v>434</v>
      </c>
      <c r="D477" s="321" t="s">
        <v>16</v>
      </c>
      <c r="E477" s="321" t="s">
        <v>22</v>
      </c>
      <c r="F477" s="321">
        <v>31796</v>
      </c>
      <c r="G477" s="321">
        <v>3.18</v>
      </c>
      <c r="H477" s="405">
        <v>422.89</v>
      </c>
      <c r="I477" s="321" t="s">
        <v>18</v>
      </c>
      <c r="J477" s="321" t="s">
        <v>19</v>
      </c>
      <c r="K477" s="224">
        <f>H477/F477</f>
        <v>1.3300100641590137E-2</v>
      </c>
    </row>
    <row r="478" spans="1:11">
      <c r="A478" s="321">
        <v>204</v>
      </c>
      <c r="B478" s="321">
        <v>4227</v>
      </c>
      <c r="C478" s="321" t="s">
        <v>435</v>
      </c>
      <c r="D478" s="321" t="s">
        <v>28</v>
      </c>
      <c r="E478" s="321" t="s">
        <v>406</v>
      </c>
      <c r="F478" s="321">
        <v>904</v>
      </c>
      <c r="G478" s="321">
        <v>31884.080000000002</v>
      </c>
      <c r="H478" s="321">
        <v>16099.06</v>
      </c>
      <c r="I478" s="321" t="s">
        <v>30</v>
      </c>
      <c r="J478" s="321" t="s">
        <v>19</v>
      </c>
      <c r="K478" s="224">
        <f>H478/F478</f>
        <v>17.808694690265487</v>
      </c>
    </row>
    <row r="479" spans="1:11" ht="12.75" customHeight="1">
      <c r="A479" s="321">
        <v>1</v>
      </c>
      <c r="B479" s="321" t="s">
        <v>411</v>
      </c>
      <c r="C479" s="321" t="s">
        <v>412</v>
      </c>
      <c r="D479" s="321" t="s">
        <v>16</v>
      </c>
      <c r="E479" s="321" t="s">
        <v>22</v>
      </c>
      <c r="F479" s="321">
        <v>4637</v>
      </c>
      <c r="G479" s="321">
        <v>0.46</v>
      </c>
      <c r="H479" s="405">
        <v>62.14</v>
      </c>
      <c r="I479" s="321" t="s">
        <v>18</v>
      </c>
      <c r="J479" s="321" t="s">
        <v>23</v>
      </c>
      <c r="K479" s="224">
        <f>H479/F479</f>
        <v>1.3400905758033212E-2</v>
      </c>
    </row>
    <row r="480" spans="1:11" ht="12.75" customHeight="1">
      <c r="A480" s="321">
        <v>201</v>
      </c>
      <c r="B480" s="321" t="s">
        <v>436</v>
      </c>
      <c r="C480" s="321" t="s">
        <v>437</v>
      </c>
      <c r="D480" s="321" t="s">
        <v>16</v>
      </c>
      <c r="E480" s="321" t="s">
        <v>88</v>
      </c>
      <c r="F480" s="321">
        <v>57693</v>
      </c>
      <c r="G480" s="321">
        <v>40385.1</v>
      </c>
      <c r="H480" s="321">
        <v>28829.200000000001</v>
      </c>
      <c r="I480" s="321" t="s">
        <v>35</v>
      </c>
      <c r="J480" s="321" t="s">
        <v>19</v>
      </c>
      <c r="K480" s="224">
        <f>H480/F480</f>
        <v>0.49970013693169019</v>
      </c>
    </row>
    <row r="481" spans="1:11" ht="12.75" customHeight="1">
      <c r="A481" s="321">
        <v>201</v>
      </c>
      <c r="B481" s="321" t="s">
        <v>386</v>
      </c>
      <c r="C481" s="321" t="s">
        <v>387</v>
      </c>
      <c r="D481" s="321" t="s">
        <v>16</v>
      </c>
      <c r="E481" s="321" t="s">
        <v>22</v>
      </c>
      <c r="F481" s="321">
        <v>22948</v>
      </c>
      <c r="G481" s="321">
        <v>2.29</v>
      </c>
      <c r="H481" s="321">
        <v>273.08</v>
      </c>
      <c r="I481" s="321" t="s">
        <v>18</v>
      </c>
      <c r="J481" s="321" t="s">
        <v>19</v>
      </c>
      <c r="K481" s="224">
        <f>H481/F481</f>
        <v>1.1899947707861252E-2</v>
      </c>
    </row>
    <row r="482" spans="1:11" ht="15" customHeight="1">
      <c r="A482" s="321">
        <v>204</v>
      </c>
      <c r="B482" s="321">
        <v>6225</v>
      </c>
      <c r="C482" s="321" t="s">
        <v>438</v>
      </c>
      <c r="D482" s="321" t="s">
        <v>28</v>
      </c>
      <c r="E482" s="321" t="s">
        <v>56</v>
      </c>
      <c r="F482" s="321">
        <v>5603</v>
      </c>
      <c r="G482" s="321">
        <v>73645.83</v>
      </c>
      <c r="H482" s="321">
        <v>33079.53</v>
      </c>
      <c r="I482" s="321" t="s">
        <v>30</v>
      </c>
      <c r="J482" s="321" t="s">
        <v>19</v>
      </c>
      <c r="K482" s="224">
        <f>H482/F482</f>
        <v>5.9038961270747814</v>
      </c>
    </row>
    <row r="483" spans="1:11" ht="12.75" customHeight="1">
      <c r="A483" s="321">
        <v>1</v>
      </c>
      <c r="B483" s="321" t="s">
        <v>263</v>
      </c>
      <c r="C483" s="321" t="s">
        <v>264</v>
      </c>
      <c r="D483" s="321" t="s">
        <v>43</v>
      </c>
      <c r="E483" s="321"/>
      <c r="F483" s="405">
        <v>175.79</v>
      </c>
      <c r="G483" s="405">
        <v>175.79</v>
      </c>
      <c r="H483" s="405">
        <v>1109.22</v>
      </c>
      <c r="I483" s="321" t="s">
        <v>44</v>
      </c>
      <c r="J483" s="321" t="s">
        <v>23</v>
      </c>
      <c r="K483" s="224">
        <f>H483/F483</f>
        <v>6.3099152397747318</v>
      </c>
    </row>
    <row r="484" spans="1:11">
      <c r="A484" s="321">
        <v>88</v>
      </c>
      <c r="B484" s="321" t="s">
        <v>418</v>
      </c>
      <c r="C484" s="321" t="s">
        <v>419</v>
      </c>
      <c r="D484" s="321" t="s">
        <v>16</v>
      </c>
      <c r="E484" s="321" t="s">
        <v>420</v>
      </c>
      <c r="F484" s="405">
        <v>340</v>
      </c>
      <c r="G484" s="405">
        <v>35.22</v>
      </c>
      <c r="H484" s="405">
        <v>90.34</v>
      </c>
      <c r="I484" s="321" t="s">
        <v>18</v>
      </c>
      <c r="J484" s="321" t="s">
        <v>23</v>
      </c>
      <c r="K484" s="224">
        <f>H484/F484</f>
        <v>0.26570588235294118</v>
      </c>
    </row>
    <row r="485" spans="1:11" ht="12.75" customHeight="1">
      <c r="A485" s="321">
        <v>201</v>
      </c>
      <c r="B485" s="321" t="s">
        <v>431</v>
      </c>
      <c r="C485" s="321" t="s">
        <v>432</v>
      </c>
      <c r="D485" s="321" t="s">
        <v>16</v>
      </c>
      <c r="E485" s="321" t="s">
        <v>22</v>
      </c>
      <c r="F485" s="405">
        <v>21369</v>
      </c>
      <c r="G485" s="405">
        <v>2.14</v>
      </c>
      <c r="H485" s="405">
        <v>369.68</v>
      </c>
      <c r="I485" s="321" t="s">
        <v>18</v>
      </c>
      <c r="J485" s="321" t="s">
        <v>19</v>
      </c>
      <c r="K485" s="224">
        <f>H485/F485</f>
        <v>1.7299826851981844E-2</v>
      </c>
    </row>
    <row r="486" spans="1:11" ht="12.75" customHeight="1">
      <c r="A486" s="321">
        <v>288</v>
      </c>
      <c r="B486" s="321" t="s">
        <v>436</v>
      </c>
      <c r="C486" s="321" t="s">
        <v>437</v>
      </c>
      <c r="D486" s="321" t="s">
        <v>16</v>
      </c>
      <c r="E486" s="321" t="s">
        <v>88</v>
      </c>
      <c r="F486" s="321">
        <v>0</v>
      </c>
      <c r="G486" s="405">
        <v>0</v>
      </c>
      <c r="H486" s="405">
        <v>-396.98</v>
      </c>
      <c r="I486" s="321" t="s">
        <v>35</v>
      </c>
      <c r="J486" s="321" t="s">
        <v>19</v>
      </c>
      <c r="K486" s="224" t="e">
        <f>H486/F486</f>
        <v>#DIV/0!</v>
      </c>
    </row>
    <row r="487" spans="1:11">
      <c r="A487" s="321">
        <v>205</v>
      </c>
      <c r="B487" s="321" t="s">
        <v>399</v>
      </c>
      <c r="C487" s="321" t="s">
        <v>400</v>
      </c>
      <c r="D487" s="321" t="s">
        <v>43</v>
      </c>
      <c r="E487" s="321"/>
      <c r="F487" s="405">
        <v>84428.47</v>
      </c>
      <c r="G487" s="405">
        <v>84428.47</v>
      </c>
      <c r="H487" s="405">
        <v>88109.55</v>
      </c>
      <c r="I487" s="321" t="s">
        <v>44</v>
      </c>
      <c r="J487" s="321" t="s">
        <v>19</v>
      </c>
      <c r="K487" s="224">
        <f>H487/F487</f>
        <v>1.0435999846971051</v>
      </c>
    </row>
    <row r="488" spans="1:11" ht="12.75" customHeight="1">
      <c r="A488" s="321">
        <v>1</v>
      </c>
      <c r="B488" s="321" t="s">
        <v>2747</v>
      </c>
      <c r="C488" s="321" t="s">
        <v>2748</v>
      </c>
      <c r="D488" s="321" t="s">
        <v>16</v>
      </c>
      <c r="E488" s="321" t="s">
        <v>22</v>
      </c>
      <c r="F488" s="321">
        <v>8470</v>
      </c>
      <c r="G488" s="405">
        <v>0.85</v>
      </c>
      <c r="H488" s="405">
        <v>99.95</v>
      </c>
      <c r="I488" s="321" t="s">
        <v>18</v>
      </c>
      <c r="J488" s="321" t="s">
        <v>23</v>
      </c>
      <c r="K488" s="224">
        <f>H488/F488</f>
        <v>1.1800472255017709E-2</v>
      </c>
    </row>
    <row r="489" spans="1:11">
      <c r="A489" s="321">
        <v>1</v>
      </c>
      <c r="B489" s="321" t="s">
        <v>428</v>
      </c>
      <c r="C489" s="321" t="s">
        <v>429</v>
      </c>
      <c r="D489" s="321" t="s">
        <v>16</v>
      </c>
      <c r="E489" s="321" t="s">
        <v>430</v>
      </c>
      <c r="F489" s="405">
        <v>67</v>
      </c>
      <c r="G489" s="405">
        <v>67</v>
      </c>
      <c r="H489" s="405">
        <v>6675.04</v>
      </c>
      <c r="I489" s="321" t="s">
        <v>18</v>
      </c>
      <c r="J489" s="321" t="s">
        <v>23</v>
      </c>
      <c r="K489" s="224">
        <f>H489/F489</f>
        <v>99.627462686567171</v>
      </c>
    </row>
    <row r="490" spans="1:11">
      <c r="A490" s="321">
        <v>223</v>
      </c>
      <c r="B490" s="321" t="s">
        <v>138</v>
      </c>
      <c r="C490" s="321" t="s">
        <v>139</v>
      </c>
      <c r="D490" s="321" t="s">
        <v>43</v>
      </c>
      <c r="E490" s="321" t="s">
        <v>140</v>
      </c>
      <c r="F490" s="321">
        <v>169887.8</v>
      </c>
      <c r="G490" s="405">
        <v>169887.78</v>
      </c>
      <c r="H490" s="405">
        <v>98772.74</v>
      </c>
      <c r="I490" s="321" t="s">
        <v>44</v>
      </c>
      <c r="J490" s="321" t="s">
        <v>19</v>
      </c>
      <c r="K490" s="224">
        <f>H490/F490</f>
        <v>0.58139984154247693</v>
      </c>
    </row>
    <row r="491" spans="1:11">
      <c r="A491" s="321">
        <v>201</v>
      </c>
      <c r="B491" s="321" t="s">
        <v>263</v>
      </c>
      <c r="C491" s="321" t="s">
        <v>264</v>
      </c>
      <c r="D491" s="321" t="s">
        <v>43</v>
      </c>
      <c r="E491" s="321"/>
      <c r="F491" s="321">
        <v>267.2</v>
      </c>
      <c r="G491" s="321">
        <v>267.2</v>
      </c>
      <c r="H491" s="321">
        <v>1686.03</v>
      </c>
      <c r="I491" s="321" t="s">
        <v>44</v>
      </c>
      <c r="J491" s="321" t="s">
        <v>19</v>
      </c>
      <c r="K491" s="224">
        <f>H491/F491</f>
        <v>6.3099925149700598</v>
      </c>
    </row>
    <row r="492" spans="1:11">
      <c r="A492" s="321">
        <v>201</v>
      </c>
      <c r="B492" s="321" t="s">
        <v>441</v>
      </c>
      <c r="C492" s="321" t="s">
        <v>442</v>
      </c>
      <c r="D492" s="321" t="s">
        <v>16</v>
      </c>
      <c r="E492" s="321" t="s">
        <v>88</v>
      </c>
      <c r="F492" s="321">
        <v>63368</v>
      </c>
      <c r="G492" s="321">
        <v>44357.599999999999</v>
      </c>
      <c r="H492" s="405">
        <v>32292.32</v>
      </c>
      <c r="I492" s="321" t="s">
        <v>35</v>
      </c>
      <c r="J492" s="321" t="s">
        <v>19</v>
      </c>
      <c r="K492" s="224">
        <f>H492/F492</f>
        <v>0.50959979800530231</v>
      </c>
    </row>
    <row r="493" spans="1:11" ht="12.75" customHeight="1">
      <c r="A493" s="321">
        <v>211</v>
      </c>
      <c r="B493" s="321" t="s">
        <v>436</v>
      </c>
      <c r="C493" s="321" t="s">
        <v>437</v>
      </c>
      <c r="D493" s="321" t="s">
        <v>16</v>
      </c>
      <c r="E493" s="321" t="s">
        <v>88</v>
      </c>
      <c r="F493" s="321">
        <v>13813</v>
      </c>
      <c r="G493" s="321">
        <v>9669.1</v>
      </c>
      <c r="H493" s="405">
        <v>6913.39</v>
      </c>
      <c r="I493" s="321" t="s">
        <v>35</v>
      </c>
      <c r="J493" s="321" t="s">
        <v>19</v>
      </c>
      <c r="K493" s="224">
        <f>H493/F493</f>
        <v>0.5004988054731051</v>
      </c>
    </row>
    <row r="494" spans="1:11" ht="12.75" customHeight="1">
      <c r="A494" s="321">
        <v>1</v>
      </c>
      <c r="B494" s="321" t="s">
        <v>439</v>
      </c>
      <c r="C494" s="321" t="s">
        <v>440</v>
      </c>
      <c r="D494" s="321" t="s">
        <v>16</v>
      </c>
      <c r="E494" s="321" t="s">
        <v>22</v>
      </c>
      <c r="F494" s="321">
        <v>18301</v>
      </c>
      <c r="G494" s="321">
        <v>1.83</v>
      </c>
      <c r="H494" s="321">
        <v>243.4</v>
      </c>
      <c r="I494" s="321" t="s">
        <v>18</v>
      </c>
      <c r="J494" s="321" t="s">
        <v>23</v>
      </c>
      <c r="K494" s="224">
        <f>H494/F494</f>
        <v>1.3299819681984591E-2</v>
      </c>
    </row>
    <row r="495" spans="1:11" ht="12.75" customHeight="1">
      <c r="A495" s="321">
        <v>11</v>
      </c>
      <c r="B495" s="321">
        <v>9454</v>
      </c>
      <c r="C495" s="321" t="s">
        <v>447</v>
      </c>
      <c r="D495" s="321" t="s">
        <v>16</v>
      </c>
      <c r="E495" s="321" t="s">
        <v>88</v>
      </c>
      <c r="F495" s="321">
        <v>-2</v>
      </c>
      <c r="G495" s="321">
        <v>-20.3</v>
      </c>
      <c r="H495" s="405">
        <v>-10.64</v>
      </c>
      <c r="I495" s="321" t="s">
        <v>30</v>
      </c>
      <c r="J495" s="321" t="s">
        <v>23</v>
      </c>
      <c r="K495" s="224">
        <f>H495/F495</f>
        <v>5.32</v>
      </c>
    </row>
    <row r="496" spans="1:11">
      <c r="A496" s="321">
        <v>288</v>
      </c>
      <c r="B496" s="321" t="s">
        <v>441</v>
      </c>
      <c r="C496" s="321" t="s">
        <v>442</v>
      </c>
      <c r="D496" s="321" t="s">
        <v>16</v>
      </c>
      <c r="E496" s="321" t="s">
        <v>88</v>
      </c>
      <c r="F496" s="321">
        <v>0</v>
      </c>
      <c r="G496" s="405">
        <v>0</v>
      </c>
      <c r="H496" s="405">
        <v>-399.12</v>
      </c>
      <c r="I496" s="321" t="s">
        <v>35</v>
      </c>
      <c r="J496" s="321" t="s">
        <v>19</v>
      </c>
      <c r="K496" s="224" t="e">
        <f>H496/F496</f>
        <v>#DIV/0!</v>
      </c>
    </row>
    <row r="497" spans="1:13">
      <c r="A497" s="321">
        <v>288</v>
      </c>
      <c r="B497" s="321" t="s">
        <v>399</v>
      </c>
      <c r="C497" s="321" t="s">
        <v>400</v>
      </c>
      <c r="D497" s="321" t="s">
        <v>43</v>
      </c>
      <c r="E497" s="321"/>
      <c r="F497" s="321">
        <v>-0.02</v>
      </c>
      <c r="G497" s="321">
        <v>0</v>
      </c>
      <c r="H497" s="405">
        <v>0</v>
      </c>
      <c r="I497" s="321" t="s">
        <v>44</v>
      </c>
      <c r="J497" s="321" t="s">
        <v>19</v>
      </c>
      <c r="K497" s="224">
        <f>H497/F497</f>
        <v>0</v>
      </c>
    </row>
    <row r="498" spans="1:13" ht="12.75" customHeight="1">
      <c r="A498" s="321">
        <v>223</v>
      </c>
      <c r="B498" s="321" t="s">
        <v>39</v>
      </c>
      <c r="C498" s="321" t="s">
        <v>40</v>
      </c>
      <c r="D498" s="321" t="s">
        <v>16</v>
      </c>
      <c r="E498" s="321" t="s">
        <v>22</v>
      </c>
      <c r="F498" s="321">
        <v>40000</v>
      </c>
      <c r="G498" s="405">
        <v>4</v>
      </c>
      <c r="H498" s="405">
        <v>536</v>
      </c>
      <c r="I498" s="321" t="s">
        <v>18</v>
      </c>
      <c r="J498" s="321" t="s">
        <v>19</v>
      </c>
      <c r="K498" s="224">
        <f>H498/F498</f>
        <v>1.34E-2</v>
      </c>
      <c r="L498" s="215"/>
    </row>
    <row r="499" spans="1:13" ht="12.75" customHeight="1">
      <c r="A499" s="321">
        <v>1</v>
      </c>
      <c r="B499" s="321">
        <v>4845</v>
      </c>
      <c r="C499" s="321" t="s">
        <v>445</v>
      </c>
      <c r="D499" s="321" t="s">
        <v>43</v>
      </c>
      <c r="E499" s="321" t="s">
        <v>446</v>
      </c>
      <c r="F499" s="321">
        <v>188.4</v>
      </c>
      <c r="G499" s="405">
        <v>188.4</v>
      </c>
      <c r="H499" s="405">
        <v>58.84</v>
      </c>
      <c r="I499" s="321" t="s">
        <v>30</v>
      </c>
      <c r="J499" s="321" t="s">
        <v>23</v>
      </c>
      <c r="K499" s="224">
        <f>H499/F499</f>
        <v>0.31231422505307854</v>
      </c>
      <c r="L499" s="215"/>
    </row>
    <row r="500" spans="1:13" ht="15">
      <c r="A500" s="321">
        <v>288</v>
      </c>
      <c r="B500" s="321" t="s">
        <v>411</v>
      </c>
      <c r="C500" s="321" t="s">
        <v>412</v>
      </c>
      <c r="D500" s="321" t="s">
        <v>16</v>
      </c>
      <c r="E500" s="321" t="s">
        <v>22</v>
      </c>
      <c r="F500" s="321">
        <v>-606</v>
      </c>
      <c r="G500" s="405">
        <v>-0.06</v>
      </c>
      <c r="H500" s="405">
        <v>-8.1199999999999992</v>
      </c>
      <c r="I500" s="321" t="s">
        <v>18</v>
      </c>
      <c r="J500" s="321" t="s">
        <v>19</v>
      </c>
      <c r="K500" s="224">
        <f>H500/F500</f>
        <v>1.3399339933993398E-2</v>
      </c>
      <c r="M500" s="215"/>
    </row>
    <row r="501" spans="1:13" ht="15">
      <c r="A501" s="321">
        <v>211</v>
      </c>
      <c r="B501" s="321" t="s">
        <v>441</v>
      </c>
      <c r="C501" s="321" t="s">
        <v>442</v>
      </c>
      <c r="D501" s="321" t="s">
        <v>16</v>
      </c>
      <c r="E501" s="321" t="s">
        <v>88</v>
      </c>
      <c r="F501" s="405">
        <v>9207</v>
      </c>
      <c r="G501" s="405">
        <v>6444.9</v>
      </c>
      <c r="H501" s="405">
        <v>4696.49</v>
      </c>
      <c r="I501" s="321" t="s">
        <v>35</v>
      </c>
      <c r="J501" s="321" t="s">
        <v>19</v>
      </c>
      <c r="K501" s="224">
        <f>H501/F501</f>
        <v>0.51009992397089166</v>
      </c>
      <c r="M501" s="215"/>
    </row>
    <row r="502" spans="1:13" ht="15">
      <c r="A502" s="321">
        <v>99</v>
      </c>
      <c r="B502" s="321" t="s">
        <v>2347</v>
      </c>
      <c r="C502" s="321" t="s">
        <v>2348</v>
      </c>
      <c r="D502" s="321" t="s">
        <v>187</v>
      </c>
      <c r="E502" s="321" t="s">
        <v>188</v>
      </c>
      <c r="F502" s="405">
        <v>2</v>
      </c>
      <c r="G502" s="321">
        <v>5502.8</v>
      </c>
      <c r="H502" s="321">
        <v>2636.98</v>
      </c>
      <c r="I502" s="321" t="s">
        <v>30</v>
      </c>
      <c r="J502" s="321" t="s">
        <v>59</v>
      </c>
      <c r="K502" s="224">
        <f>H502/F502</f>
        <v>1318.49</v>
      </c>
      <c r="M502" s="215"/>
    </row>
    <row r="503" spans="1:13">
      <c r="A503" s="321">
        <v>11</v>
      </c>
      <c r="B503" s="321">
        <v>1701</v>
      </c>
      <c r="C503" s="321" t="s">
        <v>2911</v>
      </c>
      <c r="D503" s="321" t="s">
        <v>28</v>
      </c>
      <c r="E503" s="321" t="s">
        <v>56</v>
      </c>
      <c r="F503" s="405">
        <v>1589</v>
      </c>
      <c r="G503" s="405">
        <v>24279.919999999998</v>
      </c>
      <c r="H503" s="405">
        <v>29377.75</v>
      </c>
      <c r="I503" s="321" t="s">
        <v>30</v>
      </c>
      <c r="J503" s="321" t="s">
        <v>23</v>
      </c>
      <c r="K503" s="224">
        <f>H503/F503</f>
        <v>18.488200125865323</v>
      </c>
    </row>
    <row r="504" spans="1:13" ht="12.75" customHeight="1">
      <c r="A504" s="321">
        <v>11</v>
      </c>
      <c r="B504" s="321">
        <v>9454</v>
      </c>
      <c r="C504" s="321" t="s">
        <v>447</v>
      </c>
      <c r="D504" s="321" t="s">
        <v>28</v>
      </c>
      <c r="E504" s="321" t="s">
        <v>29</v>
      </c>
      <c r="F504" s="405">
        <v>274</v>
      </c>
      <c r="G504" s="405">
        <v>11088.78</v>
      </c>
      <c r="H504" s="405">
        <v>5832.8</v>
      </c>
      <c r="I504" s="321" t="s">
        <v>30</v>
      </c>
      <c r="J504" s="321" t="s">
        <v>23</v>
      </c>
      <c r="K504" s="224">
        <f>H504/F504</f>
        <v>21.287591240875912</v>
      </c>
    </row>
    <row r="505" spans="1:13" ht="12.75" customHeight="1">
      <c r="A505" s="321">
        <v>1</v>
      </c>
      <c r="B505" s="321" t="s">
        <v>431</v>
      </c>
      <c r="C505" s="321" t="s">
        <v>432</v>
      </c>
      <c r="D505" s="321" t="s">
        <v>16</v>
      </c>
      <c r="E505" s="321" t="s">
        <v>22</v>
      </c>
      <c r="F505" s="405">
        <v>9176</v>
      </c>
      <c r="G505" s="405">
        <v>0.92</v>
      </c>
      <c r="H505" s="405">
        <v>158.74</v>
      </c>
      <c r="I505" s="321" t="s">
        <v>18</v>
      </c>
      <c r="J505" s="321" t="s">
        <v>23</v>
      </c>
      <c r="K505" s="224">
        <f>H505/F505</f>
        <v>1.7299476896251092E-2</v>
      </c>
    </row>
    <row r="506" spans="1:13" ht="15">
      <c r="A506" s="321">
        <v>205</v>
      </c>
      <c r="B506" s="321" t="s">
        <v>448</v>
      </c>
      <c r="C506" s="321" t="s">
        <v>449</v>
      </c>
      <c r="D506" s="321" t="s">
        <v>34</v>
      </c>
      <c r="E506" s="321" t="s">
        <v>450</v>
      </c>
      <c r="F506" s="405">
        <v>682.25</v>
      </c>
      <c r="G506" s="405">
        <v>6993.06</v>
      </c>
      <c r="H506" s="405">
        <v>31223.58</v>
      </c>
      <c r="I506" s="321" t="s">
        <v>44</v>
      </c>
      <c r="J506" s="321" t="s">
        <v>19</v>
      </c>
      <c r="K506" s="224">
        <f>H506/F506</f>
        <v>45.765599120556985</v>
      </c>
      <c r="M506" s="215"/>
    </row>
    <row r="507" spans="1:13" ht="15">
      <c r="A507" s="321">
        <v>11</v>
      </c>
      <c r="B507" s="321">
        <v>197</v>
      </c>
      <c r="C507" s="321" t="s">
        <v>413</v>
      </c>
      <c r="D507" s="321" t="s">
        <v>28</v>
      </c>
      <c r="E507" s="321" t="s">
        <v>56</v>
      </c>
      <c r="F507" s="405">
        <v>156</v>
      </c>
      <c r="G507" s="405">
        <v>2109.12</v>
      </c>
      <c r="H507" s="405">
        <v>538.75</v>
      </c>
      <c r="I507" s="321" t="s">
        <v>30</v>
      </c>
      <c r="J507" s="321" t="s">
        <v>23</v>
      </c>
      <c r="K507" s="224">
        <f>H507/F507</f>
        <v>3.453525641025641</v>
      </c>
      <c r="M507" s="215"/>
    </row>
    <row r="508" spans="1:13">
      <c r="A508" s="321">
        <v>201</v>
      </c>
      <c r="B508" s="321">
        <v>5014</v>
      </c>
      <c r="C508" s="321" t="s">
        <v>561</v>
      </c>
      <c r="D508" s="321" t="s">
        <v>28</v>
      </c>
      <c r="E508" s="321" t="s">
        <v>56</v>
      </c>
      <c r="F508" s="405">
        <v>1</v>
      </c>
      <c r="G508" s="405">
        <v>28.4</v>
      </c>
      <c r="H508" s="405">
        <v>10.55</v>
      </c>
      <c r="I508" s="321" t="s">
        <v>30</v>
      </c>
      <c r="J508" s="321" t="s">
        <v>19</v>
      </c>
      <c r="K508" s="224">
        <f>H508/F508</f>
        <v>10.55</v>
      </c>
    </row>
    <row r="509" spans="1:13" ht="12.75" customHeight="1">
      <c r="A509" s="321">
        <v>211</v>
      </c>
      <c r="B509" s="321">
        <v>4141</v>
      </c>
      <c r="C509" s="321" t="s">
        <v>466</v>
      </c>
      <c r="D509" s="321" t="s">
        <v>28</v>
      </c>
      <c r="E509" s="321" t="s">
        <v>29</v>
      </c>
      <c r="F509" s="321">
        <v>299</v>
      </c>
      <c r="G509" s="321">
        <v>10731.11</v>
      </c>
      <c r="H509" s="321">
        <v>4823.7700000000004</v>
      </c>
      <c r="I509" s="321" t="s">
        <v>30</v>
      </c>
      <c r="J509" s="321" t="s">
        <v>59</v>
      </c>
      <c r="K509" s="224">
        <f>H509/F509</f>
        <v>16.133010033444819</v>
      </c>
    </row>
    <row r="510" spans="1:13" ht="12.75" customHeight="1">
      <c r="A510" s="321">
        <v>11</v>
      </c>
      <c r="B510" s="321" t="s">
        <v>409</v>
      </c>
      <c r="C510" s="321" t="s">
        <v>410</v>
      </c>
      <c r="D510" s="321" t="s">
        <v>16</v>
      </c>
      <c r="E510" s="321" t="s">
        <v>22</v>
      </c>
      <c r="F510" s="405">
        <v>30000</v>
      </c>
      <c r="G510" s="405">
        <v>3</v>
      </c>
      <c r="H510" s="405">
        <v>402</v>
      </c>
      <c r="I510" s="321" t="s">
        <v>18</v>
      </c>
      <c r="J510" s="321" t="s">
        <v>23</v>
      </c>
      <c r="K510" s="224">
        <f>H510/F510</f>
        <v>1.34E-2</v>
      </c>
    </row>
    <row r="511" spans="1:13" ht="12.75" customHeight="1">
      <c r="A511" s="321">
        <v>201</v>
      </c>
      <c r="B511" s="321" t="s">
        <v>451</v>
      </c>
      <c r="C511" s="321" t="s">
        <v>452</v>
      </c>
      <c r="D511" s="321" t="s">
        <v>34</v>
      </c>
      <c r="E511" s="321"/>
      <c r="F511" s="405">
        <v>424.6</v>
      </c>
      <c r="G511" s="405">
        <v>3710.62</v>
      </c>
      <c r="H511" s="405">
        <v>2399.52</v>
      </c>
      <c r="I511" s="321" t="s">
        <v>35</v>
      </c>
      <c r="J511" s="321" t="s">
        <v>19</v>
      </c>
      <c r="K511" s="224">
        <f>H511/F511</f>
        <v>5.6512482336316534</v>
      </c>
    </row>
    <row r="512" spans="1:13" ht="12.75" customHeight="1">
      <c r="A512" s="321">
        <v>11</v>
      </c>
      <c r="B512" s="321" t="s">
        <v>386</v>
      </c>
      <c r="C512" s="321" t="s">
        <v>387</v>
      </c>
      <c r="D512" s="321" t="s">
        <v>16</v>
      </c>
      <c r="E512" s="321" t="s">
        <v>22</v>
      </c>
      <c r="F512" s="405">
        <v>20000</v>
      </c>
      <c r="G512" s="405">
        <v>2</v>
      </c>
      <c r="H512" s="405">
        <v>236</v>
      </c>
      <c r="I512" s="321" t="s">
        <v>18</v>
      </c>
      <c r="J512" s="321" t="s">
        <v>23</v>
      </c>
      <c r="K512" s="224">
        <f>H512/F512</f>
        <v>1.18E-2</v>
      </c>
    </row>
    <row r="513" spans="1:12">
      <c r="A513" s="321">
        <v>288</v>
      </c>
      <c r="B513" s="321">
        <v>4141</v>
      </c>
      <c r="C513" s="321" t="s">
        <v>466</v>
      </c>
      <c r="D513" s="321" t="s">
        <v>28</v>
      </c>
      <c r="E513" s="321" t="s">
        <v>29</v>
      </c>
      <c r="F513" s="405">
        <v>-31</v>
      </c>
      <c r="G513" s="405">
        <v>-1112.5899999999999</v>
      </c>
      <c r="H513" s="405">
        <v>-480.71</v>
      </c>
      <c r="I513" s="321" t="s">
        <v>30</v>
      </c>
      <c r="J513" s="321" t="s">
        <v>59</v>
      </c>
      <c r="K513" s="224">
        <f>H513/F513</f>
        <v>15.506774193548386</v>
      </c>
    </row>
    <row r="514" spans="1:12" ht="12.75" customHeight="1">
      <c r="A514" s="321">
        <v>11</v>
      </c>
      <c r="B514" s="321" t="s">
        <v>433</v>
      </c>
      <c r="C514" s="321" t="s">
        <v>434</v>
      </c>
      <c r="D514" s="321" t="s">
        <v>16</v>
      </c>
      <c r="E514" s="321" t="s">
        <v>22</v>
      </c>
      <c r="F514" s="321">
        <v>20000</v>
      </c>
      <c r="G514" s="321">
        <v>2</v>
      </c>
      <c r="H514" s="321">
        <v>268</v>
      </c>
      <c r="I514" s="321" t="s">
        <v>18</v>
      </c>
      <c r="J514" s="321" t="s">
        <v>23</v>
      </c>
      <c r="K514" s="224">
        <f>H514/F514</f>
        <v>1.34E-2</v>
      </c>
    </row>
    <row r="515" spans="1:12">
      <c r="A515" s="321">
        <v>201</v>
      </c>
      <c r="B515" s="321" t="s">
        <v>384</v>
      </c>
      <c r="C515" s="321" t="s">
        <v>385</v>
      </c>
      <c r="D515" s="321" t="s">
        <v>16</v>
      </c>
      <c r="E515" s="321" t="s">
        <v>22</v>
      </c>
      <c r="F515" s="405">
        <v>43507</v>
      </c>
      <c r="G515" s="405">
        <v>4.3499999999999996</v>
      </c>
      <c r="H515" s="405">
        <v>582.99</v>
      </c>
      <c r="I515" s="321" t="s">
        <v>18</v>
      </c>
      <c r="J515" s="321" t="s">
        <v>19</v>
      </c>
      <c r="K515" s="224">
        <f>H515/F515</f>
        <v>1.3399912657733239E-2</v>
      </c>
    </row>
    <row r="516" spans="1:12" ht="12.75" customHeight="1">
      <c r="A516" s="321">
        <v>201</v>
      </c>
      <c r="B516" s="321" t="s">
        <v>453</v>
      </c>
      <c r="C516" s="321" t="s">
        <v>454</v>
      </c>
      <c r="D516" s="321" t="s">
        <v>16</v>
      </c>
      <c r="E516" s="321" t="s">
        <v>455</v>
      </c>
      <c r="F516" s="321">
        <v>301148</v>
      </c>
      <c r="G516" s="405">
        <v>30114.799999999999</v>
      </c>
      <c r="H516" s="321">
        <v>26651.87</v>
      </c>
      <c r="I516" s="321" t="s">
        <v>18</v>
      </c>
      <c r="J516" s="321" t="s">
        <v>19</v>
      </c>
      <c r="K516" s="224">
        <f>H516/F516</f>
        <v>8.8500903210381607E-2</v>
      </c>
    </row>
    <row r="517" spans="1:12">
      <c r="A517" s="321">
        <v>201</v>
      </c>
      <c r="B517" s="321" t="s">
        <v>467</v>
      </c>
      <c r="C517" s="321" t="s">
        <v>468</v>
      </c>
      <c r="D517" s="321" t="s">
        <v>16</v>
      </c>
      <c r="E517" s="321" t="s">
        <v>22</v>
      </c>
      <c r="F517" s="321">
        <v>20342</v>
      </c>
      <c r="G517" s="405">
        <v>2.0299999999999998</v>
      </c>
      <c r="H517" s="321">
        <v>272.58</v>
      </c>
      <c r="I517" s="321" t="s">
        <v>18</v>
      </c>
      <c r="J517" s="321" t="s">
        <v>19</v>
      </c>
      <c r="K517" s="224">
        <f>H517/F517</f>
        <v>1.3399862353750859E-2</v>
      </c>
    </row>
    <row r="518" spans="1:12">
      <c r="A518" s="321">
        <v>223</v>
      </c>
      <c r="B518" s="321" t="s">
        <v>45</v>
      </c>
      <c r="C518" s="321" t="s">
        <v>46</v>
      </c>
      <c r="D518" s="321" t="s">
        <v>16</v>
      </c>
      <c r="E518" s="321" t="s">
        <v>22</v>
      </c>
      <c r="F518" s="321">
        <v>370000</v>
      </c>
      <c r="G518" s="321">
        <v>37</v>
      </c>
      <c r="H518" s="321">
        <v>2442</v>
      </c>
      <c r="I518" s="321" t="s">
        <v>18</v>
      </c>
      <c r="J518" s="321" t="s">
        <v>19</v>
      </c>
      <c r="K518" s="224">
        <f>H518/F518</f>
        <v>6.6E-3</v>
      </c>
    </row>
    <row r="519" spans="1:12" ht="12.75" customHeight="1">
      <c r="A519" s="321">
        <v>201</v>
      </c>
      <c r="B519" s="321" t="s">
        <v>456</v>
      </c>
      <c r="C519" s="321" t="s">
        <v>457</v>
      </c>
      <c r="D519" s="321" t="s">
        <v>16</v>
      </c>
      <c r="E519" s="321" t="s">
        <v>458</v>
      </c>
      <c r="F519" s="405">
        <v>73790</v>
      </c>
      <c r="G519" s="321">
        <v>10574.11</v>
      </c>
      <c r="H519" s="321">
        <v>22358.38</v>
      </c>
      <c r="I519" s="321" t="s">
        <v>18</v>
      </c>
      <c r="J519" s="321" t="s">
        <v>19</v>
      </c>
      <c r="K519" s="224">
        <f>H519/F519</f>
        <v>0.30300013551971811</v>
      </c>
      <c r="L519" s="215"/>
    </row>
    <row r="520" spans="1:12">
      <c r="A520" s="321">
        <v>288</v>
      </c>
      <c r="B520" s="321" t="s">
        <v>2895</v>
      </c>
      <c r="C520" s="321" t="s">
        <v>2896</v>
      </c>
      <c r="D520" s="321" t="s">
        <v>16</v>
      </c>
      <c r="E520" s="321" t="s">
        <v>241</v>
      </c>
      <c r="F520" s="405">
        <v>-128</v>
      </c>
      <c r="G520" s="321">
        <v>-2.56</v>
      </c>
      <c r="H520" s="321">
        <v>-37.85</v>
      </c>
      <c r="I520" s="321" t="s">
        <v>18</v>
      </c>
      <c r="J520" s="321" t="s">
        <v>19</v>
      </c>
      <c r="K520" s="224">
        <f>H520/F520</f>
        <v>0.29570312500000001</v>
      </c>
    </row>
    <row r="521" spans="1:12" ht="12.75" customHeight="1">
      <c r="A521" s="321">
        <v>11</v>
      </c>
      <c r="B521" s="321" t="s">
        <v>461</v>
      </c>
      <c r="C521" s="321" t="s">
        <v>462</v>
      </c>
      <c r="D521" s="321" t="s">
        <v>16</v>
      </c>
      <c r="E521" s="321" t="s">
        <v>22</v>
      </c>
      <c r="F521" s="405">
        <v>35000</v>
      </c>
      <c r="G521" s="321">
        <v>3.5</v>
      </c>
      <c r="H521" s="321">
        <v>976.5</v>
      </c>
      <c r="I521" s="321" t="s">
        <v>18</v>
      </c>
      <c r="J521" s="321" t="s">
        <v>59</v>
      </c>
      <c r="K521" s="224">
        <f>H521/F521</f>
        <v>2.7900000000000001E-2</v>
      </c>
    </row>
    <row r="522" spans="1:12" ht="12.75" customHeight="1">
      <c r="A522" s="321">
        <v>601</v>
      </c>
      <c r="B522" s="321">
        <v>4102</v>
      </c>
      <c r="C522" s="321" t="s">
        <v>463</v>
      </c>
      <c r="D522" s="321" t="s">
        <v>28</v>
      </c>
      <c r="E522" s="321" t="s">
        <v>54</v>
      </c>
      <c r="F522" s="405">
        <v>3</v>
      </c>
      <c r="G522" s="321">
        <v>126</v>
      </c>
      <c r="H522" s="321">
        <v>136.08000000000001</v>
      </c>
      <c r="I522" s="321" t="s">
        <v>30</v>
      </c>
      <c r="J522" s="262" t="s">
        <v>59</v>
      </c>
      <c r="K522" s="224">
        <f>H522/F522</f>
        <v>45.360000000000007</v>
      </c>
    </row>
    <row r="523" spans="1:12">
      <c r="A523" s="321">
        <v>1</v>
      </c>
      <c r="B523" s="321" t="s">
        <v>464</v>
      </c>
      <c r="C523" s="321" t="s">
        <v>465</v>
      </c>
      <c r="D523" s="321" t="s">
        <v>16</v>
      </c>
      <c r="E523" s="321" t="s">
        <v>22</v>
      </c>
      <c r="F523" s="405">
        <v>19202</v>
      </c>
      <c r="G523" s="321">
        <v>1.92</v>
      </c>
      <c r="H523" s="321">
        <v>257.31</v>
      </c>
      <c r="I523" s="321" t="s">
        <v>18</v>
      </c>
      <c r="J523" s="321" t="s">
        <v>23</v>
      </c>
      <c r="K523" s="224">
        <f>H523/F523</f>
        <v>1.3400166649307365E-2</v>
      </c>
    </row>
    <row r="524" spans="1:12" ht="12.75" customHeight="1">
      <c r="A524" s="321">
        <v>1</v>
      </c>
      <c r="B524" s="321" t="s">
        <v>336</v>
      </c>
      <c r="C524" s="321" t="s">
        <v>337</v>
      </c>
      <c r="D524" s="321" t="s">
        <v>43</v>
      </c>
      <c r="E524" s="321" t="s">
        <v>338</v>
      </c>
      <c r="F524" s="405">
        <v>52.89</v>
      </c>
      <c r="G524" s="321">
        <v>52.89</v>
      </c>
      <c r="H524" s="321">
        <v>1770.23</v>
      </c>
      <c r="I524" s="321" t="s">
        <v>44</v>
      </c>
      <c r="J524" s="321" t="s">
        <v>23</v>
      </c>
      <c r="K524" s="224">
        <f>H524/F524</f>
        <v>33.470032142181886</v>
      </c>
    </row>
    <row r="525" spans="1:12">
      <c r="A525" s="321">
        <v>201</v>
      </c>
      <c r="B525" s="321" t="s">
        <v>464</v>
      </c>
      <c r="C525" s="321" t="s">
        <v>465</v>
      </c>
      <c r="D525" s="321" t="s">
        <v>16</v>
      </c>
      <c r="E525" s="321" t="s">
        <v>22</v>
      </c>
      <c r="F525" s="405">
        <v>42832</v>
      </c>
      <c r="G525" s="321">
        <v>4.28</v>
      </c>
      <c r="H525" s="321">
        <v>573.95000000000005</v>
      </c>
      <c r="I525" s="321" t="s">
        <v>18</v>
      </c>
      <c r="J525" s="321" t="s">
        <v>19</v>
      </c>
      <c r="K525" s="224">
        <f>H525/F525</f>
        <v>1.340002801643631E-2</v>
      </c>
    </row>
    <row r="526" spans="1:12">
      <c r="A526" s="321">
        <v>1</v>
      </c>
      <c r="B526" s="321" t="s">
        <v>297</v>
      </c>
      <c r="C526" s="321" t="s">
        <v>298</v>
      </c>
      <c r="D526" s="321" t="s">
        <v>34</v>
      </c>
      <c r="E526" s="321" t="s">
        <v>299</v>
      </c>
      <c r="F526" s="405">
        <v>66</v>
      </c>
      <c r="G526" s="321">
        <v>694.98</v>
      </c>
      <c r="H526" s="321">
        <v>894.97</v>
      </c>
      <c r="I526" s="321" t="s">
        <v>44</v>
      </c>
      <c r="J526" s="321" t="s">
        <v>23</v>
      </c>
      <c r="K526" s="224">
        <f>H526/F526</f>
        <v>13.560151515151516</v>
      </c>
    </row>
    <row r="527" spans="1:12" ht="12.75" customHeight="1">
      <c r="A527" s="321">
        <v>288</v>
      </c>
      <c r="B527" s="321" t="s">
        <v>428</v>
      </c>
      <c r="C527" s="321" t="s">
        <v>429</v>
      </c>
      <c r="D527" s="321" t="s">
        <v>16</v>
      </c>
      <c r="E527" s="321" t="s">
        <v>430</v>
      </c>
      <c r="F527" s="405">
        <v>-2</v>
      </c>
      <c r="G527" s="321">
        <v>-2</v>
      </c>
      <c r="H527" s="321">
        <v>-187.18</v>
      </c>
      <c r="I527" s="321" t="s">
        <v>18</v>
      </c>
      <c r="J527" s="321" t="s">
        <v>19</v>
      </c>
      <c r="K527" s="224">
        <f>H527/F527</f>
        <v>93.59</v>
      </c>
    </row>
    <row r="528" spans="1:12" ht="12.75" customHeight="1">
      <c r="A528" s="321">
        <v>201</v>
      </c>
      <c r="B528" s="321">
        <v>9091</v>
      </c>
      <c r="C528" s="321" t="s">
        <v>699</v>
      </c>
      <c r="D528" s="321" t="s">
        <v>28</v>
      </c>
      <c r="E528" s="321" t="s">
        <v>29</v>
      </c>
      <c r="F528" s="405">
        <v>12</v>
      </c>
      <c r="G528" s="321">
        <v>436.8</v>
      </c>
      <c r="H528" s="321">
        <v>93.64</v>
      </c>
      <c r="I528" s="321" t="s">
        <v>30</v>
      </c>
      <c r="J528" s="321" t="s">
        <v>19</v>
      </c>
      <c r="K528" s="224">
        <f>H528/F528</f>
        <v>7.8033333333333337</v>
      </c>
    </row>
    <row r="529" spans="1:12" ht="12.75" customHeight="1">
      <c r="A529" s="321">
        <v>11</v>
      </c>
      <c r="B529" s="321">
        <v>9955</v>
      </c>
      <c r="C529" s="321" t="s">
        <v>469</v>
      </c>
      <c r="D529" s="321" t="s">
        <v>187</v>
      </c>
      <c r="E529" s="321" t="s">
        <v>188</v>
      </c>
      <c r="F529" s="405">
        <v>8</v>
      </c>
      <c r="G529" s="321">
        <v>22458.400000000001</v>
      </c>
      <c r="H529" s="321">
        <v>10977</v>
      </c>
      <c r="I529" s="321" t="s">
        <v>30</v>
      </c>
      <c r="J529" s="321" t="s">
        <v>23</v>
      </c>
      <c r="K529" s="224">
        <f>H529/F529</f>
        <v>1372.125</v>
      </c>
    </row>
    <row r="530" spans="1:12">
      <c r="A530" s="321">
        <v>1</v>
      </c>
      <c r="B530" s="321" t="s">
        <v>467</v>
      </c>
      <c r="C530" s="321" t="s">
        <v>468</v>
      </c>
      <c r="D530" s="321" t="s">
        <v>16</v>
      </c>
      <c r="E530" s="321" t="s">
        <v>22</v>
      </c>
      <c r="F530" s="405">
        <v>18452</v>
      </c>
      <c r="G530" s="321">
        <v>1.85</v>
      </c>
      <c r="H530" s="321">
        <v>247.26</v>
      </c>
      <c r="I530" s="321" t="s">
        <v>18</v>
      </c>
      <c r="J530" s="321" t="s">
        <v>23</v>
      </c>
      <c r="K530" s="224">
        <f>H530/F530</f>
        <v>1.3400173422935183E-2</v>
      </c>
    </row>
    <row r="531" spans="1:12">
      <c r="A531" s="321">
        <v>201</v>
      </c>
      <c r="B531" s="321">
        <v>9314</v>
      </c>
      <c r="C531" s="321" t="s">
        <v>636</v>
      </c>
      <c r="D531" s="321" t="s">
        <v>28</v>
      </c>
      <c r="E531" s="321" t="s">
        <v>56</v>
      </c>
      <c r="F531" s="405">
        <v>1</v>
      </c>
      <c r="G531" s="321">
        <v>27.5</v>
      </c>
      <c r="H531" s="321">
        <v>6.07</v>
      </c>
      <c r="I531" s="321" t="s">
        <v>30</v>
      </c>
      <c r="J531" s="321" t="s">
        <v>19</v>
      </c>
      <c r="K531" s="224">
        <f>H531/F531</f>
        <v>6.07</v>
      </c>
    </row>
    <row r="532" spans="1:12" ht="12.75" customHeight="1">
      <c r="A532" s="321">
        <v>1</v>
      </c>
      <c r="B532" s="321" t="s">
        <v>456</v>
      </c>
      <c r="C532" s="321" t="s">
        <v>457</v>
      </c>
      <c r="D532" s="321" t="s">
        <v>16</v>
      </c>
      <c r="E532" s="321" t="s">
        <v>458</v>
      </c>
      <c r="F532" s="405">
        <v>31968</v>
      </c>
      <c r="G532" s="321">
        <v>4581.0200000000004</v>
      </c>
      <c r="H532" s="321">
        <v>11364.56</v>
      </c>
      <c r="I532" s="321" t="s">
        <v>18</v>
      </c>
      <c r="J532" s="321" t="s">
        <v>23</v>
      </c>
      <c r="K532" s="224">
        <f>H532/F532</f>
        <v>0.35549799799799797</v>
      </c>
    </row>
    <row r="533" spans="1:12" ht="12.75" customHeight="1">
      <c r="A533" s="321">
        <v>1</v>
      </c>
      <c r="B533" s="321" t="s">
        <v>470</v>
      </c>
      <c r="C533" s="321" t="s">
        <v>471</v>
      </c>
      <c r="D533" s="321" t="s">
        <v>16</v>
      </c>
      <c r="E533" s="321" t="s">
        <v>22</v>
      </c>
      <c r="F533" s="405">
        <v>10174</v>
      </c>
      <c r="G533" s="321">
        <v>1.02</v>
      </c>
      <c r="H533" s="321">
        <v>176.01</v>
      </c>
      <c r="I533" s="321" t="s">
        <v>18</v>
      </c>
      <c r="J533" s="321" t="s">
        <v>23</v>
      </c>
      <c r="K533" s="224">
        <f>H533/F533</f>
        <v>1.7299980342048358E-2</v>
      </c>
    </row>
    <row r="534" spans="1:12" ht="12.75" customHeight="1">
      <c r="A534" s="321">
        <v>201</v>
      </c>
      <c r="B534" s="321" t="s">
        <v>472</v>
      </c>
      <c r="C534" s="321" t="s">
        <v>473</v>
      </c>
      <c r="D534" s="321" t="s">
        <v>16</v>
      </c>
      <c r="E534" s="321" t="s">
        <v>17</v>
      </c>
      <c r="F534" s="405">
        <v>1267</v>
      </c>
      <c r="G534" s="321">
        <v>1267</v>
      </c>
      <c r="H534" s="321">
        <v>596.88</v>
      </c>
      <c r="I534" s="321" t="s">
        <v>18</v>
      </c>
      <c r="J534" s="321" t="s">
        <v>19</v>
      </c>
      <c r="K534" s="224">
        <f>H534/F534</f>
        <v>0.47109707971586423</v>
      </c>
    </row>
    <row r="535" spans="1:12" ht="12.75" customHeight="1">
      <c r="A535" s="321">
        <v>11</v>
      </c>
      <c r="B535" s="321" t="s">
        <v>2747</v>
      </c>
      <c r="C535" s="321" t="s">
        <v>2748</v>
      </c>
      <c r="D535" s="321" t="s">
        <v>16</v>
      </c>
      <c r="E535" s="321" t="s">
        <v>22</v>
      </c>
      <c r="F535" s="405">
        <v>20000</v>
      </c>
      <c r="G535" s="321">
        <v>2</v>
      </c>
      <c r="H535" s="321">
        <v>236</v>
      </c>
      <c r="I535" s="321" t="s">
        <v>18</v>
      </c>
      <c r="J535" s="321" t="s">
        <v>23</v>
      </c>
      <c r="K535" s="224">
        <f>H535/F535</f>
        <v>1.18E-2</v>
      </c>
    </row>
    <row r="536" spans="1:12" ht="12.75" customHeight="1">
      <c r="A536" s="321">
        <v>201</v>
      </c>
      <c r="B536" s="321" t="s">
        <v>360</v>
      </c>
      <c r="C536" s="321" t="s">
        <v>361</v>
      </c>
      <c r="D536" s="321" t="s">
        <v>43</v>
      </c>
      <c r="E536" s="321"/>
      <c r="F536" s="405">
        <v>42.48</v>
      </c>
      <c r="G536" s="321">
        <v>42.48</v>
      </c>
      <c r="H536" s="321">
        <v>191.15</v>
      </c>
      <c r="I536" s="321" t="s">
        <v>44</v>
      </c>
      <c r="J536" s="321" t="s">
        <v>19</v>
      </c>
      <c r="K536" s="224">
        <f>H536/F536</f>
        <v>4.4997645951035787</v>
      </c>
    </row>
    <row r="537" spans="1:12">
      <c r="A537" s="321">
        <v>201</v>
      </c>
      <c r="B537" s="321" t="s">
        <v>470</v>
      </c>
      <c r="C537" s="321" t="s">
        <v>471</v>
      </c>
      <c r="D537" s="321" t="s">
        <v>16</v>
      </c>
      <c r="E537" s="321" t="s">
        <v>22</v>
      </c>
      <c r="F537" s="405">
        <v>19089</v>
      </c>
      <c r="G537" s="321">
        <v>1.91</v>
      </c>
      <c r="H537" s="321">
        <v>389.42</v>
      </c>
      <c r="I537" s="321" t="s">
        <v>18</v>
      </c>
      <c r="J537" s="321" t="s">
        <v>19</v>
      </c>
      <c r="K537" s="224">
        <f>H537/F537</f>
        <v>2.0400230499240401E-2</v>
      </c>
    </row>
    <row r="538" spans="1:12" ht="12.75" customHeight="1">
      <c r="A538" s="321">
        <v>288</v>
      </c>
      <c r="B538" s="321" t="s">
        <v>453</v>
      </c>
      <c r="C538" s="321" t="s">
        <v>454</v>
      </c>
      <c r="D538" s="321" t="s">
        <v>16</v>
      </c>
      <c r="E538" s="321" t="s">
        <v>455</v>
      </c>
      <c r="F538" s="405">
        <v>-1163</v>
      </c>
      <c r="G538" s="321">
        <v>-116.3</v>
      </c>
      <c r="H538" s="321">
        <v>-88.45</v>
      </c>
      <c r="I538" s="321" t="s">
        <v>18</v>
      </c>
      <c r="J538" s="321" t="s">
        <v>19</v>
      </c>
      <c r="K538" s="224">
        <f>H538/F538</f>
        <v>7.6053310404127258E-2</v>
      </c>
    </row>
    <row r="539" spans="1:12" ht="12.75" customHeight="1">
      <c r="A539" s="321">
        <v>1</v>
      </c>
      <c r="B539" s="321" t="s">
        <v>472</v>
      </c>
      <c r="C539" s="321" t="s">
        <v>473</v>
      </c>
      <c r="D539" s="321" t="s">
        <v>16</v>
      </c>
      <c r="E539" s="321" t="s">
        <v>17</v>
      </c>
      <c r="F539" s="405">
        <v>1540</v>
      </c>
      <c r="G539" s="321">
        <v>1540</v>
      </c>
      <c r="H539" s="321">
        <v>734.73</v>
      </c>
      <c r="I539" s="321" t="s">
        <v>18</v>
      </c>
      <c r="J539" s="321" t="s">
        <v>23</v>
      </c>
      <c r="K539" s="224">
        <f>H539/F539</f>
        <v>0.47709740259740263</v>
      </c>
    </row>
    <row r="540" spans="1:12">
      <c r="A540" s="321">
        <v>288</v>
      </c>
      <c r="B540" s="321" t="s">
        <v>456</v>
      </c>
      <c r="C540" s="321" t="s">
        <v>457</v>
      </c>
      <c r="D540" s="321" t="s">
        <v>16</v>
      </c>
      <c r="E540" s="321" t="s">
        <v>458</v>
      </c>
      <c r="F540" s="405">
        <v>-48</v>
      </c>
      <c r="G540" s="321">
        <v>-6.88</v>
      </c>
      <c r="H540" s="321">
        <v>-11.42</v>
      </c>
      <c r="I540" s="321" t="s">
        <v>18</v>
      </c>
      <c r="J540" s="321" t="s">
        <v>19</v>
      </c>
      <c r="K540" s="224">
        <f>H540/F540</f>
        <v>0.23791666666666667</v>
      </c>
    </row>
    <row r="541" spans="1:12" ht="12.75" customHeight="1">
      <c r="A541" s="321">
        <v>11</v>
      </c>
      <c r="B541" s="321" t="s">
        <v>472</v>
      </c>
      <c r="C541" s="321" t="s">
        <v>473</v>
      </c>
      <c r="D541" s="321" t="s">
        <v>16</v>
      </c>
      <c r="E541" s="321" t="s">
        <v>17</v>
      </c>
      <c r="F541" s="405">
        <v>6050</v>
      </c>
      <c r="G541" s="321">
        <v>6050</v>
      </c>
      <c r="H541" s="321">
        <v>2885.85</v>
      </c>
      <c r="I541" s="321" t="s">
        <v>18</v>
      </c>
      <c r="J541" s="321" t="s">
        <v>23</v>
      </c>
      <c r="K541" s="224">
        <f>H541/F541</f>
        <v>0.47699999999999998</v>
      </c>
    </row>
    <row r="542" spans="1:12" ht="12.75" customHeight="1">
      <c r="A542" s="321">
        <v>88</v>
      </c>
      <c r="B542" s="321" t="s">
        <v>456</v>
      </c>
      <c r="C542" s="321" t="s">
        <v>457</v>
      </c>
      <c r="D542" s="321" t="s">
        <v>16</v>
      </c>
      <c r="E542" s="321" t="s">
        <v>458</v>
      </c>
      <c r="F542" s="405">
        <v>-8036</v>
      </c>
      <c r="G542" s="321">
        <v>-1151.56</v>
      </c>
      <c r="H542" s="321">
        <v>-2855.91</v>
      </c>
      <c r="I542" s="321" t="s">
        <v>18</v>
      </c>
      <c r="J542" s="321" t="s">
        <v>23</v>
      </c>
      <c r="K542" s="224">
        <f>H542/F542</f>
        <v>0.35538949726231955</v>
      </c>
    </row>
    <row r="543" spans="1:12" ht="12.75" customHeight="1">
      <c r="A543" s="321">
        <v>205</v>
      </c>
      <c r="B543" s="321" t="s">
        <v>135</v>
      </c>
      <c r="C543" s="321" t="s">
        <v>136</v>
      </c>
      <c r="D543" s="321" t="s">
        <v>43</v>
      </c>
      <c r="E543" s="321"/>
      <c r="F543" s="405">
        <v>31374</v>
      </c>
      <c r="G543" s="321">
        <v>31374</v>
      </c>
      <c r="H543" s="321">
        <v>12364.5</v>
      </c>
      <c r="I543" s="321" t="s">
        <v>44</v>
      </c>
      <c r="J543" s="321" t="s">
        <v>19</v>
      </c>
      <c r="K543" s="224">
        <f>H543/F543</f>
        <v>0.3941002103652706</v>
      </c>
      <c r="L543" s="215"/>
    </row>
    <row r="544" spans="1:12" ht="12.75" customHeight="1">
      <c r="A544" s="321">
        <v>11</v>
      </c>
      <c r="B544" s="321" t="s">
        <v>464</v>
      </c>
      <c r="C544" s="321" t="s">
        <v>465</v>
      </c>
      <c r="D544" s="321" t="s">
        <v>16</v>
      </c>
      <c r="E544" s="321" t="s">
        <v>22</v>
      </c>
      <c r="F544" s="405">
        <v>10000</v>
      </c>
      <c r="G544" s="321">
        <v>1</v>
      </c>
      <c r="H544" s="321">
        <v>134</v>
      </c>
      <c r="I544" s="321" t="s">
        <v>18</v>
      </c>
      <c r="J544" s="321" t="s">
        <v>23</v>
      </c>
      <c r="K544" s="224">
        <f>H544/F544</f>
        <v>1.34E-2</v>
      </c>
    </row>
    <row r="545" spans="1:12">
      <c r="A545" s="321">
        <v>11</v>
      </c>
      <c r="B545" s="321">
        <v>9952</v>
      </c>
      <c r="C545" s="321" t="s">
        <v>2822</v>
      </c>
      <c r="D545" s="321" t="s">
        <v>288</v>
      </c>
      <c r="E545" s="321" t="s">
        <v>289</v>
      </c>
      <c r="F545" s="405">
        <v>0</v>
      </c>
      <c r="G545" s="321">
        <v>0</v>
      </c>
      <c r="H545" s="321">
        <v>0</v>
      </c>
      <c r="I545" s="321" t="s">
        <v>30</v>
      </c>
      <c r="J545" s="321" t="s">
        <v>23</v>
      </c>
      <c r="K545" s="224" t="e">
        <f>H545/F545</f>
        <v>#DIV/0!</v>
      </c>
    </row>
    <row r="546" spans="1:12" ht="12.75" customHeight="1">
      <c r="A546" s="321">
        <v>201</v>
      </c>
      <c r="B546" s="321" t="s">
        <v>231</v>
      </c>
      <c r="C546" s="321" t="s">
        <v>232</v>
      </c>
      <c r="D546" s="321" t="s">
        <v>43</v>
      </c>
      <c r="E546" s="321"/>
      <c r="F546" s="405">
        <v>7635</v>
      </c>
      <c r="G546" s="321">
        <v>7635</v>
      </c>
      <c r="H546" s="321">
        <v>7277.68</v>
      </c>
      <c r="I546" s="321" t="s">
        <v>44</v>
      </c>
      <c r="J546" s="321" t="s">
        <v>19</v>
      </c>
      <c r="K546" s="224">
        <f>H546/F546</f>
        <v>0.95319973804846103</v>
      </c>
    </row>
    <row r="547" spans="1:12" ht="12.75" customHeight="1">
      <c r="A547" s="321">
        <v>201</v>
      </c>
      <c r="B547" s="321" t="s">
        <v>475</v>
      </c>
      <c r="C547" s="321" t="s">
        <v>476</v>
      </c>
      <c r="D547" s="321" t="s">
        <v>43</v>
      </c>
      <c r="E547" s="321"/>
      <c r="F547" s="405">
        <v>550</v>
      </c>
      <c r="G547" s="321">
        <v>550</v>
      </c>
      <c r="H547" s="321">
        <v>27920.2</v>
      </c>
      <c r="I547" s="321" t="s">
        <v>44</v>
      </c>
      <c r="J547" s="321" t="s">
        <v>19</v>
      </c>
      <c r="K547" s="224">
        <f>H547/F547</f>
        <v>50.764000000000003</v>
      </c>
      <c r="L547" s="215"/>
    </row>
    <row r="548" spans="1:12">
      <c r="A548" s="321">
        <v>1</v>
      </c>
      <c r="B548" s="321" t="s">
        <v>175</v>
      </c>
      <c r="C548" s="321" t="s">
        <v>176</v>
      </c>
      <c r="D548" s="321" t="s">
        <v>43</v>
      </c>
      <c r="E548" s="321"/>
      <c r="F548" s="405">
        <v>44</v>
      </c>
      <c r="G548" s="321">
        <v>44</v>
      </c>
      <c r="H548" s="321">
        <v>305.36</v>
      </c>
      <c r="I548" s="321" t="s">
        <v>44</v>
      </c>
      <c r="J548" s="321" t="s">
        <v>23</v>
      </c>
      <c r="K548" s="224">
        <f>H548/F548</f>
        <v>6.94</v>
      </c>
    </row>
    <row r="549" spans="1:12">
      <c r="A549" s="321">
        <v>11</v>
      </c>
      <c r="B549" s="321" t="s">
        <v>478</v>
      </c>
      <c r="C549" s="321" t="s">
        <v>479</v>
      </c>
      <c r="D549" s="321" t="s">
        <v>16</v>
      </c>
      <c r="E549" s="321" t="s">
        <v>26</v>
      </c>
      <c r="F549" s="405">
        <v>192500</v>
      </c>
      <c r="G549" s="321">
        <v>192.5</v>
      </c>
      <c r="H549" s="321">
        <v>4158</v>
      </c>
      <c r="I549" s="321" t="s">
        <v>18</v>
      </c>
      <c r="J549" s="321" t="s">
        <v>23</v>
      </c>
      <c r="K549" s="224">
        <f>H549/F549</f>
        <v>2.1600000000000001E-2</v>
      </c>
    </row>
    <row r="550" spans="1:12">
      <c r="A550" s="321">
        <v>223</v>
      </c>
      <c r="B550" s="321" t="s">
        <v>2838</v>
      </c>
      <c r="C550" s="321" t="s">
        <v>2860</v>
      </c>
      <c r="D550" s="321" t="s">
        <v>16</v>
      </c>
      <c r="E550" s="321" t="s">
        <v>22</v>
      </c>
      <c r="F550" s="405">
        <v>15000</v>
      </c>
      <c r="G550" s="321">
        <v>1.5</v>
      </c>
      <c r="H550" s="321">
        <v>204</v>
      </c>
      <c r="I550" s="321" t="s">
        <v>18</v>
      </c>
      <c r="J550" s="321" t="s">
        <v>19</v>
      </c>
      <c r="K550" s="224">
        <f>H550/F550</f>
        <v>1.3599999999999999E-2</v>
      </c>
    </row>
    <row r="551" spans="1:12" ht="12.75" customHeight="1">
      <c r="A551" s="321">
        <v>201</v>
      </c>
      <c r="B551" s="321" t="s">
        <v>482</v>
      </c>
      <c r="C551" s="321" t="s">
        <v>483</v>
      </c>
      <c r="D551" s="321" t="s">
        <v>43</v>
      </c>
      <c r="E551" s="321"/>
      <c r="F551" s="405">
        <v>40.35</v>
      </c>
      <c r="G551" s="321">
        <v>40.35</v>
      </c>
      <c r="H551" s="321">
        <v>1489.55</v>
      </c>
      <c r="I551" s="321" t="s">
        <v>44</v>
      </c>
      <c r="J551" s="321" t="s">
        <v>19</v>
      </c>
      <c r="K551" s="224">
        <f>H551/F551</f>
        <v>36.915737298636927</v>
      </c>
      <c r="L551" s="215"/>
    </row>
    <row r="552" spans="1:12" ht="12.75" customHeight="1">
      <c r="A552" s="321">
        <v>11</v>
      </c>
      <c r="B552" s="321" t="s">
        <v>470</v>
      </c>
      <c r="C552" s="321" t="s">
        <v>471</v>
      </c>
      <c r="D552" s="321" t="s">
        <v>16</v>
      </c>
      <c r="E552" s="321" t="s">
        <v>22</v>
      </c>
      <c r="F552" s="405">
        <v>40000</v>
      </c>
      <c r="G552" s="321">
        <v>4</v>
      </c>
      <c r="H552" s="321">
        <v>692</v>
      </c>
      <c r="I552" s="321" t="s">
        <v>18</v>
      </c>
      <c r="J552" s="321" t="s">
        <v>23</v>
      </c>
      <c r="K552" s="224">
        <f>H552/F552</f>
        <v>1.7299999999999999E-2</v>
      </c>
    </row>
    <row r="553" spans="1:12">
      <c r="A553" s="321">
        <v>11</v>
      </c>
      <c r="B553" s="321" t="s">
        <v>484</v>
      </c>
      <c r="C553" s="321" t="s">
        <v>485</v>
      </c>
      <c r="D553" s="321" t="s">
        <v>16</v>
      </c>
      <c r="E553" s="321" t="s">
        <v>26</v>
      </c>
      <c r="F553" s="405">
        <v>162500</v>
      </c>
      <c r="G553" s="321">
        <v>162.5</v>
      </c>
      <c r="H553" s="321">
        <v>3445</v>
      </c>
      <c r="I553" s="321" t="s">
        <v>18</v>
      </c>
      <c r="J553" s="321" t="s">
        <v>23</v>
      </c>
      <c r="K553" s="224">
        <f>H553/F553</f>
        <v>2.12E-2</v>
      </c>
    </row>
    <row r="554" spans="1:12">
      <c r="A554" s="321">
        <v>201</v>
      </c>
      <c r="B554" s="321" t="s">
        <v>175</v>
      </c>
      <c r="C554" s="321" t="s">
        <v>176</v>
      </c>
      <c r="D554" s="321" t="s">
        <v>43</v>
      </c>
      <c r="E554" s="321"/>
      <c r="F554" s="405">
        <v>23.4</v>
      </c>
      <c r="G554" s="321">
        <v>23.4</v>
      </c>
      <c r="H554" s="321">
        <v>180.58</v>
      </c>
      <c r="I554" s="321" t="s">
        <v>44</v>
      </c>
      <c r="J554" s="321" t="s">
        <v>19</v>
      </c>
      <c r="K554" s="224">
        <f>H554/F554</f>
        <v>7.7170940170940181</v>
      </c>
    </row>
    <row r="555" spans="1:12" ht="12.75" customHeight="1">
      <c r="A555" s="321">
        <v>288</v>
      </c>
      <c r="B555" s="321" t="s">
        <v>443</v>
      </c>
      <c r="C555" s="321" t="s">
        <v>444</v>
      </c>
      <c r="D555" s="321" t="s">
        <v>43</v>
      </c>
      <c r="E555" s="321"/>
      <c r="F555" s="405">
        <v>-308</v>
      </c>
      <c r="G555" s="321">
        <v>-308</v>
      </c>
      <c r="H555" s="321">
        <v>-301.83999999999997</v>
      </c>
      <c r="I555" s="321" t="s">
        <v>44</v>
      </c>
      <c r="J555" s="321" t="s">
        <v>19</v>
      </c>
      <c r="K555" s="224">
        <f>H555/F555</f>
        <v>0.97999999999999987</v>
      </c>
    </row>
    <row r="556" spans="1:12" ht="12.75" customHeight="1">
      <c r="A556" s="321">
        <v>201</v>
      </c>
      <c r="B556" s="321" t="s">
        <v>459</v>
      </c>
      <c r="C556" s="321" t="s">
        <v>460</v>
      </c>
      <c r="D556" s="321" t="s">
        <v>16</v>
      </c>
      <c r="E556" s="321"/>
      <c r="F556" s="405">
        <v>37</v>
      </c>
      <c r="G556" s="321">
        <v>0.04</v>
      </c>
      <c r="H556" s="321">
        <v>18.5</v>
      </c>
      <c r="I556" s="321" t="s">
        <v>18</v>
      </c>
      <c r="J556" s="321" t="s">
        <v>19</v>
      </c>
      <c r="K556" s="224">
        <f>H556/F556</f>
        <v>0.5</v>
      </c>
    </row>
    <row r="557" spans="1:12" ht="12.75" customHeight="1">
      <c r="A557" s="321">
        <v>201</v>
      </c>
      <c r="B557" s="321" t="s">
        <v>488</v>
      </c>
      <c r="C557" s="321" t="s">
        <v>489</v>
      </c>
      <c r="D557" s="321" t="s">
        <v>16</v>
      </c>
      <c r="E557" s="321" t="s">
        <v>22</v>
      </c>
      <c r="F557" s="405">
        <v>5995</v>
      </c>
      <c r="G557" s="321">
        <v>0.6</v>
      </c>
      <c r="H557" s="321">
        <v>41.96</v>
      </c>
      <c r="I557" s="321" t="s">
        <v>18</v>
      </c>
      <c r="J557" s="321" t="s">
        <v>19</v>
      </c>
      <c r="K557" s="224">
        <f>H557/F557</f>
        <v>6.9991659716430359E-3</v>
      </c>
    </row>
    <row r="558" spans="1:12" ht="12.75" customHeight="1">
      <c r="A558" s="321">
        <v>201</v>
      </c>
      <c r="B558" s="321" t="s">
        <v>461</v>
      </c>
      <c r="C558" s="321" t="s">
        <v>462</v>
      </c>
      <c r="D558" s="321" t="s">
        <v>16</v>
      </c>
      <c r="E558" s="321" t="s">
        <v>22</v>
      </c>
      <c r="F558" s="405">
        <v>16045</v>
      </c>
      <c r="G558" s="321">
        <v>1.6</v>
      </c>
      <c r="H558" s="321">
        <v>447.66</v>
      </c>
      <c r="I558" s="321" t="s">
        <v>18</v>
      </c>
      <c r="J558" s="321" t="s">
        <v>59</v>
      </c>
      <c r="K558" s="224">
        <f>H558/F558</f>
        <v>2.7900280461202867E-2</v>
      </c>
    </row>
    <row r="559" spans="1:12">
      <c r="A559" s="321">
        <v>201</v>
      </c>
      <c r="B559" s="321" t="s">
        <v>486</v>
      </c>
      <c r="C559" s="321" t="s">
        <v>487</v>
      </c>
      <c r="D559" s="321" t="s">
        <v>43</v>
      </c>
      <c r="E559" s="321"/>
      <c r="F559" s="405">
        <v>118</v>
      </c>
      <c r="G559" s="321">
        <v>118</v>
      </c>
      <c r="H559" s="321">
        <v>141.61000000000001</v>
      </c>
      <c r="I559" s="321" t="s">
        <v>44</v>
      </c>
      <c r="J559" s="321" t="s">
        <v>19</v>
      </c>
      <c r="K559" s="224">
        <f>H559/F559</f>
        <v>1.200084745762712</v>
      </c>
    </row>
    <row r="560" spans="1:12" ht="12.75" customHeight="1">
      <c r="A560" s="321">
        <v>201</v>
      </c>
      <c r="B560" s="321" t="s">
        <v>490</v>
      </c>
      <c r="C560" s="321" t="s">
        <v>491</v>
      </c>
      <c r="D560" s="321" t="s">
        <v>16</v>
      </c>
      <c r="E560" s="321" t="s">
        <v>22</v>
      </c>
      <c r="F560" s="321">
        <v>25000</v>
      </c>
      <c r="G560" s="321">
        <v>2.5</v>
      </c>
      <c r="H560" s="321">
        <v>335</v>
      </c>
      <c r="I560" s="321" t="s">
        <v>18</v>
      </c>
      <c r="J560" s="321" t="s">
        <v>19</v>
      </c>
      <c r="K560" s="224">
        <f>H560/F560</f>
        <v>1.34E-2</v>
      </c>
    </row>
    <row r="561" spans="1:13" ht="12.75" customHeight="1">
      <c r="A561" s="321">
        <v>11</v>
      </c>
      <c r="B561" s="321" t="s">
        <v>492</v>
      </c>
      <c r="C561" s="321" t="s">
        <v>493</v>
      </c>
      <c r="D561" s="321" t="s">
        <v>16</v>
      </c>
      <c r="E561" s="321" t="s">
        <v>22</v>
      </c>
      <c r="F561" s="405">
        <v>50000</v>
      </c>
      <c r="G561" s="405">
        <v>5</v>
      </c>
      <c r="H561" s="405">
        <v>670</v>
      </c>
      <c r="I561" s="321" t="s">
        <v>18</v>
      </c>
      <c r="J561" s="321" t="s">
        <v>23</v>
      </c>
      <c r="K561" s="224">
        <f>H561/F561</f>
        <v>1.34E-2</v>
      </c>
    </row>
    <row r="562" spans="1:13">
      <c r="A562" s="321">
        <v>201</v>
      </c>
      <c r="B562" s="321" t="s">
        <v>2895</v>
      </c>
      <c r="C562" s="321" t="s">
        <v>2896</v>
      </c>
      <c r="D562" s="321" t="s">
        <v>16</v>
      </c>
      <c r="E562" s="321" t="s">
        <v>241</v>
      </c>
      <c r="F562" s="405">
        <v>2728</v>
      </c>
      <c r="G562" s="405">
        <v>54.56</v>
      </c>
      <c r="H562" s="405">
        <v>806.67</v>
      </c>
      <c r="I562" s="321" t="s">
        <v>18</v>
      </c>
      <c r="J562" s="321" t="s">
        <v>19</v>
      </c>
      <c r="K562" s="224">
        <f>H562/F562</f>
        <v>0.29570014662756594</v>
      </c>
    </row>
    <row r="563" spans="1:13" ht="12.75" customHeight="1">
      <c r="A563" s="321">
        <v>1</v>
      </c>
      <c r="B563" s="321" t="s">
        <v>459</v>
      </c>
      <c r="C563" s="321" t="s">
        <v>460</v>
      </c>
      <c r="D563" s="321" t="s">
        <v>16</v>
      </c>
      <c r="E563" s="321"/>
      <c r="F563" s="405">
        <v>155</v>
      </c>
      <c r="G563" s="405">
        <v>0.16</v>
      </c>
      <c r="H563" s="405">
        <v>77.5</v>
      </c>
      <c r="I563" s="321" t="s">
        <v>18</v>
      </c>
      <c r="J563" s="321" t="s">
        <v>23</v>
      </c>
      <c r="K563" s="224">
        <f>H563/F563</f>
        <v>0.5</v>
      </c>
    </row>
    <row r="564" spans="1:13" ht="12.75" customHeight="1">
      <c r="A564" s="321">
        <v>1</v>
      </c>
      <c r="B564" s="321" t="s">
        <v>461</v>
      </c>
      <c r="C564" s="321" t="s">
        <v>462</v>
      </c>
      <c r="D564" s="321" t="s">
        <v>16</v>
      </c>
      <c r="E564" s="321" t="s">
        <v>22</v>
      </c>
      <c r="F564" s="321">
        <v>5166</v>
      </c>
      <c r="G564" s="321">
        <v>0.52</v>
      </c>
      <c r="H564" s="321">
        <v>144.13</v>
      </c>
      <c r="I564" s="321" t="s">
        <v>18</v>
      </c>
      <c r="J564" s="321" t="s">
        <v>59</v>
      </c>
      <c r="K564" s="224">
        <f>H564/F564</f>
        <v>2.7899728997289971E-2</v>
      </c>
    </row>
    <row r="565" spans="1:13" ht="12.75" customHeight="1">
      <c r="A565" s="321">
        <v>288</v>
      </c>
      <c r="B565" s="321" t="s">
        <v>472</v>
      </c>
      <c r="C565" s="321" t="s">
        <v>473</v>
      </c>
      <c r="D565" s="321" t="s">
        <v>16</v>
      </c>
      <c r="E565" s="321" t="s">
        <v>17</v>
      </c>
      <c r="F565" s="321">
        <v>0</v>
      </c>
      <c r="G565" s="321">
        <v>0</v>
      </c>
      <c r="H565" s="405">
        <v>0</v>
      </c>
      <c r="I565" s="321" t="s">
        <v>18</v>
      </c>
      <c r="J565" s="321" t="s">
        <v>19</v>
      </c>
      <c r="K565" s="224" t="e">
        <f>H565/F565</f>
        <v>#DIV/0!</v>
      </c>
    </row>
    <row r="566" spans="1:13">
      <c r="A566" s="321">
        <v>288</v>
      </c>
      <c r="B566" s="321" t="s">
        <v>459</v>
      </c>
      <c r="C566" s="321" t="s">
        <v>460</v>
      </c>
      <c r="D566" s="321" t="s">
        <v>16</v>
      </c>
      <c r="E566" s="321"/>
      <c r="F566" s="405">
        <v>-2</v>
      </c>
      <c r="G566" s="405">
        <v>0</v>
      </c>
      <c r="H566" s="405">
        <v>-1</v>
      </c>
      <c r="I566" s="321" t="s">
        <v>18</v>
      </c>
      <c r="J566" s="321" t="s">
        <v>19</v>
      </c>
      <c r="K566" s="224">
        <f>H566/F566</f>
        <v>0.5</v>
      </c>
    </row>
    <row r="567" spans="1:13" ht="15">
      <c r="A567" s="321">
        <v>11</v>
      </c>
      <c r="B567" s="321" t="s">
        <v>133</v>
      </c>
      <c r="C567" s="321" t="s">
        <v>134</v>
      </c>
      <c r="D567" s="321" t="s">
        <v>16</v>
      </c>
      <c r="E567" s="321" t="s">
        <v>26</v>
      </c>
      <c r="F567" s="405">
        <v>175000</v>
      </c>
      <c r="G567" s="405">
        <v>175</v>
      </c>
      <c r="H567" s="405">
        <v>4182.5</v>
      </c>
      <c r="I567" s="321" t="s">
        <v>18</v>
      </c>
      <c r="J567" s="321" t="s">
        <v>23</v>
      </c>
      <c r="K567" s="224">
        <f>H567/F567</f>
        <v>2.3900000000000001E-2</v>
      </c>
      <c r="M567" s="215"/>
    </row>
    <row r="568" spans="1:13" ht="12.75" customHeight="1">
      <c r="A568" s="321">
        <v>201</v>
      </c>
      <c r="B568" s="321" t="s">
        <v>2838</v>
      </c>
      <c r="C568" s="321" t="s">
        <v>2860</v>
      </c>
      <c r="D568" s="321" t="s">
        <v>16</v>
      </c>
      <c r="E568" s="321" t="s">
        <v>22</v>
      </c>
      <c r="F568" s="405">
        <v>51770</v>
      </c>
      <c r="G568" s="405">
        <v>5.18</v>
      </c>
      <c r="H568" s="405">
        <v>704.07</v>
      </c>
      <c r="I568" s="321" t="s">
        <v>18</v>
      </c>
      <c r="J568" s="321" t="s">
        <v>19</v>
      </c>
      <c r="K568" s="224">
        <f>H568/F568</f>
        <v>1.3599961367587407E-2</v>
      </c>
    </row>
    <row r="569" spans="1:13" ht="12.75" customHeight="1">
      <c r="A569" s="321">
        <v>201</v>
      </c>
      <c r="B569" s="321" t="s">
        <v>496</v>
      </c>
      <c r="C569" s="321" t="s">
        <v>497</v>
      </c>
      <c r="D569" s="321" t="s">
        <v>16</v>
      </c>
      <c r="E569" s="321" t="s">
        <v>22</v>
      </c>
      <c r="F569" s="405">
        <v>46066</v>
      </c>
      <c r="G569" s="405">
        <v>4.6100000000000003</v>
      </c>
      <c r="H569" s="405">
        <v>612.67999999999995</v>
      </c>
      <c r="I569" s="321" t="s">
        <v>18</v>
      </c>
      <c r="J569" s="321" t="s">
        <v>19</v>
      </c>
      <c r="K569" s="224">
        <f>H569/F569</f>
        <v>1.3300047757565232E-2</v>
      </c>
    </row>
    <row r="570" spans="1:13" ht="12.75" customHeight="1">
      <c r="A570" s="321">
        <v>201</v>
      </c>
      <c r="B570" s="321" t="s">
        <v>492</v>
      </c>
      <c r="C570" s="321" t="s">
        <v>493</v>
      </c>
      <c r="D570" s="321" t="s">
        <v>16</v>
      </c>
      <c r="E570" s="321" t="s">
        <v>22</v>
      </c>
      <c r="F570" s="405">
        <v>35447</v>
      </c>
      <c r="G570" s="405">
        <v>3.54</v>
      </c>
      <c r="H570" s="405">
        <v>474.99</v>
      </c>
      <c r="I570" s="321" t="s">
        <v>18</v>
      </c>
      <c r="J570" s="321" t="s">
        <v>19</v>
      </c>
      <c r="K570" s="224">
        <f>H570/F570</f>
        <v>1.3400005642226423E-2</v>
      </c>
    </row>
    <row r="571" spans="1:13" ht="15">
      <c r="A571" s="321">
        <v>1</v>
      </c>
      <c r="B571" s="321" t="s">
        <v>492</v>
      </c>
      <c r="C571" s="321" t="s">
        <v>493</v>
      </c>
      <c r="D571" s="321" t="s">
        <v>16</v>
      </c>
      <c r="E571" s="321" t="s">
        <v>22</v>
      </c>
      <c r="F571" s="405">
        <v>16904</v>
      </c>
      <c r="G571" s="405">
        <v>1.69</v>
      </c>
      <c r="H571" s="405">
        <v>226.51</v>
      </c>
      <c r="I571" s="321" t="s">
        <v>18</v>
      </c>
      <c r="J571" s="321" t="s">
        <v>23</v>
      </c>
      <c r="K571" s="224">
        <f>H571/F571</f>
        <v>1.3399787032654993E-2</v>
      </c>
      <c r="M571" s="215"/>
    </row>
    <row r="572" spans="1:13" ht="12.75" customHeight="1">
      <c r="A572" s="321">
        <v>11</v>
      </c>
      <c r="B572" s="321" t="s">
        <v>498</v>
      </c>
      <c r="C572" s="321" t="s">
        <v>499</v>
      </c>
      <c r="D572" s="321" t="s">
        <v>16</v>
      </c>
      <c r="E572" s="321" t="s">
        <v>26</v>
      </c>
      <c r="F572" s="405">
        <v>262500</v>
      </c>
      <c r="G572" s="405">
        <v>262.5</v>
      </c>
      <c r="H572" s="405">
        <v>5643.75</v>
      </c>
      <c r="I572" s="321" t="s">
        <v>18</v>
      </c>
      <c r="J572" s="321" t="s">
        <v>23</v>
      </c>
      <c r="K572" s="224">
        <f>H572/F572</f>
        <v>2.1499999999999998E-2</v>
      </c>
    </row>
    <row r="573" spans="1:13">
      <c r="A573" s="321">
        <v>223</v>
      </c>
      <c r="B573" s="321" t="s">
        <v>2759</v>
      </c>
      <c r="C573" s="321" t="s">
        <v>2760</v>
      </c>
      <c r="D573" s="321" t="s">
        <v>16</v>
      </c>
      <c r="E573" s="321" t="s">
        <v>22</v>
      </c>
      <c r="F573" s="405">
        <v>40000</v>
      </c>
      <c r="G573" s="405">
        <v>4</v>
      </c>
      <c r="H573" s="405">
        <v>528</v>
      </c>
      <c r="I573" s="321" t="s">
        <v>18</v>
      </c>
      <c r="J573" s="321" t="s">
        <v>19</v>
      </c>
      <c r="K573" s="224">
        <f>H573/F573</f>
        <v>1.32E-2</v>
      </c>
    </row>
    <row r="574" spans="1:13" ht="12.75" customHeight="1">
      <c r="A574" s="321">
        <v>1</v>
      </c>
      <c r="B574" s="321" t="s">
        <v>663</v>
      </c>
      <c r="C574" s="321" t="s">
        <v>664</v>
      </c>
      <c r="D574" s="321" t="s">
        <v>34</v>
      </c>
      <c r="E574" s="321"/>
      <c r="F574" s="405">
        <v>360</v>
      </c>
      <c r="G574" s="405">
        <v>3204</v>
      </c>
      <c r="H574" s="405">
        <v>1231.31</v>
      </c>
      <c r="I574" s="321" t="s">
        <v>35</v>
      </c>
      <c r="J574" s="321" t="s">
        <v>23</v>
      </c>
      <c r="K574" s="224">
        <f>H574/F574</f>
        <v>3.4203055555555553</v>
      </c>
    </row>
    <row r="575" spans="1:13" ht="15">
      <c r="A575" s="321">
        <v>201</v>
      </c>
      <c r="B575" s="321">
        <v>9630</v>
      </c>
      <c r="C575" s="321" t="s">
        <v>506</v>
      </c>
      <c r="D575" s="321" t="s">
        <v>28</v>
      </c>
      <c r="E575" s="321" t="s">
        <v>32</v>
      </c>
      <c r="F575" s="321">
        <v>1223</v>
      </c>
      <c r="G575" s="321">
        <v>38471.910000000003</v>
      </c>
      <c r="H575" s="321">
        <v>20734.38</v>
      </c>
      <c r="I575" s="321" t="s">
        <v>30</v>
      </c>
      <c r="J575" s="321" t="s">
        <v>19</v>
      </c>
      <c r="K575" s="224">
        <f>H575/F575</f>
        <v>16.953704006541294</v>
      </c>
      <c r="M575" s="215"/>
    </row>
    <row r="576" spans="1:13" ht="12.75" customHeight="1">
      <c r="A576" s="321">
        <v>205</v>
      </c>
      <c r="B576" s="321" t="s">
        <v>451</v>
      </c>
      <c r="C576" s="321" t="s">
        <v>452</v>
      </c>
      <c r="D576" s="321" t="s">
        <v>34</v>
      </c>
      <c r="E576" s="321"/>
      <c r="F576" s="321">
        <v>9244.7999999999993</v>
      </c>
      <c r="G576" s="321">
        <v>80791.23</v>
      </c>
      <c r="H576" s="321">
        <v>51907.7</v>
      </c>
      <c r="I576" s="321" t="s">
        <v>35</v>
      </c>
      <c r="J576" s="321" t="s">
        <v>19</v>
      </c>
      <c r="K576" s="224">
        <f>H576/F576</f>
        <v>5.6147996711664936</v>
      </c>
    </row>
    <row r="577" spans="1:13" ht="12.75" customHeight="1">
      <c r="A577" s="321">
        <v>201</v>
      </c>
      <c r="B577" s="321" t="s">
        <v>2915</v>
      </c>
      <c r="C577" s="321" t="s">
        <v>2916</v>
      </c>
      <c r="D577" s="321" t="s">
        <v>43</v>
      </c>
      <c r="E577" s="321"/>
      <c r="F577" s="405">
        <v>1200</v>
      </c>
      <c r="G577" s="405">
        <v>1200</v>
      </c>
      <c r="H577" s="405">
        <v>1044</v>
      </c>
      <c r="I577" s="321" t="s">
        <v>44</v>
      </c>
      <c r="J577" s="321" t="s">
        <v>19</v>
      </c>
      <c r="K577" s="224">
        <f>H577/F577</f>
        <v>0.87</v>
      </c>
    </row>
    <row r="578" spans="1:13" ht="12.75" customHeight="1">
      <c r="A578" s="321">
        <v>201</v>
      </c>
      <c r="B578" s="321" t="s">
        <v>277</v>
      </c>
      <c r="C578" s="321" t="s">
        <v>278</v>
      </c>
      <c r="D578" s="321" t="s">
        <v>43</v>
      </c>
      <c r="E578" s="321"/>
      <c r="F578" s="405">
        <v>69.400000000000006</v>
      </c>
      <c r="G578" s="405">
        <v>69.400000000000006</v>
      </c>
      <c r="H578" s="405">
        <v>372.55</v>
      </c>
      <c r="I578" s="321" t="s">
        <v>44</v>
      </c>
      <c r="J578" s="321" t="s">
        <v>19</v>
      </c>
      <c r="K578" s="224">
        <f>H578/F578</f>
        <v>5.3681556195965419</v>
      </c>
    </row>
    <row r="579" spans="1:13" ht="12.75" customHeight="1">
      <c r="A579" s="321">
        <v>288</v>
      </c>
      <c r="B579" s="321" t="s">
        <v>478</v>
      </c>
      <c r="C579" s="321" t="s">
        <v>479</v>
      </c>
      <c r="D579" s="321" t="s">
        <v>16</v>
      </c>
      <c r="E579" s="321" t="s">
        <v>26</v>
      </c>
      <c r="F579" s="405">
        <v>-7500</v>
      </c>
      <c r="G579" s="405">
        <v>-7.5</v>
      </c>
      <c r="H579" s="405">
        <v>-162</v>
      </c>
      <c r="I579" s="321" t="s">
        <v>18</v>
      </c>
      <c r="J579" s="321" t="s">
        <v>19</v>
      </c>
      <c r="K579" s="224">
        <f>H579/F579</f>
        <v>2.1600000000000001E-2</v>
      </c>
    </row>
    <row r="580" spans="1:13" ht="12.75" customHeight="1">
      <c r="A580" s="321">
        <v>201</v>
      </c>
      <c r="B580" s="321" t="s">
        <v>478</v>
      </c>
      <c r="C580" s="321" t="s">
        <v>479</v>
      </c>
      <c r="D580" s="321" t="s">
        <v>16</v>
      </c>
      <c r="E580" s="321" t="s">
        <v>26</v>
      </c>
      <c r="F580" s="321">
        <v>111950</v>
      </c>
      <c r="G580" s="321">
        <v>111.95</v>
      </c>
      <c r="H580" s="321">
        <v>2418.12</v>
      </c>
      <c r="I580" s="321" t="s">
        <v>18</v>
      </c>
      <c r="J580" s="321" t="s">
        <v>19</v>
      </c>
      <c r="K580" s="224">
        <f>H580/F580</f>
        <v>2.1599999999999998E-2</v>
      </c>
    </row>
    <row r="581" spans="1:13" ht="12.75" customHeight="1">
      <c r="A581" s="321">
        <v>223</v>
      </c>
      <c r="B581" s="321" t="s">
        <v>351</v>
      </c>
      <c r="C581" s="321" t="s">
        <v>352</v>
      </c>
      <c r="D581" s="321" t="s">
        <v>34</v>
      </c>
      <c r="E581" s="321"/>
      <c r="F581" s="405">
        <v>20</v>
      </c>
      <c r="G581" s="405">
        <v>219.54</v>
      </c>
      <c r="H581" s="405">
        <v>1780</v>
      </c>
      <c r="I581" s="321" t="s">
        <v>44</v>
      </c>
      <c r="J581" s="321" t="s">
        <v>19</v>
      </c>
      <c r="K581" s="224">
        <f>H581/F581</f>
        <v>89</v>
      </c>
    </row>
    <row r="582" spans="1:13" ht="12.75" customHeight="1">
      <c r="A582" s="321">
        <v>1</v>
      </c>
      <c r="B582" s="321" t="s">
        <v>478</v>
      </c>
      <c r="C582" s="321" t="s">
        <v>479</v>
      </c>
      <c r="D582" s="321" t="s">
        <v>16</v>
      </c>
      <c r="E582" s="321" t="s">
        <v>26</v>
      </c>
      <c r="F582" s="405">
        <v>24083</v>
      </c>
      <c r="G582" s="405">
        <v>24.08</v>
      </c>
      <c r="H582" s="405">
        <v>520.19000000000005</v>
      </c>
      <c r="I582" s="321" t="s">
        <v>18</v>
      </c>
      <c r="J582" s="321" t="s">
        <v>23</v>
      </c>
      <c r="K582" s="224">
        <f>H582/F582</f>
        <v>2.1599883735415024E-2</v>
      </c>
    </row>
    <row r="583" spans="1:13">
      <c r="A583" s="321">
        <v>11</v>
      </c>
      <c r="B583" s="321" t="s">
        <v>500</v>
      </c>
      <c r="C583" s="321" t="s">
        <v>501</v>
      </c>
      <c r="D583" s="321" t="s">
        <v>16</v>
      </c>
      <c r="E583" s="321" t="s">
        <v>17</v>
      </c>
      <c r="F583" s="405">
        <v>15250</v>
      </c>
      <c r="G583" s="405">
        <v>15250</v>
      </c>
      <c r="H583" s="405">
        <v>7109.55</v>
      </c>
      <c r="I583" s="321" t="s">
        <v>18</v>
      </c>
      <c r="J583" s="321" t="s">
        <v>23</v>
      </c>
      <c r="K583" s="224">
        <f>H583/F583</f>
        <v>0.4662</v>
      </c>
    </row>
    <row r="584" spans="1:13" ht="12.75" customHeight="1">
      <c r="A584" s="321">
        <v>601</v>
      </c>
      <c r="B584" s="321">
        <v>4141</v>
      </c>
      <c r="C584" s="321" t="s">
        <v>466</v>
      </c>
      <c r="D584" s="321" t="s">
        <v>28</v>
      </c>
      <c r="E584" s="321" t="s">
        <v>29</v>
      </c>
      <c r="F584" s="405">
        <v>362</v>
      </c>
      <c r="G584" s="405">
        <v>12992.18</v>
      </c>
      <c r="H584" s="405">
        <v>5809.45</v>
      </c>
      <c r="I584" s="321" t="s">
        <v>30</v>
      </c>
      <c r="J584" s="321" t="s">
        <v>59</v>
      </c>
      <c r="K584" s="224">
        <f>H584/F584</f>
        <v>16.048204419889501</v>
      </c>
    </row>
    <row r="585" spans="1:13">
      <c r="A585" s="321">
        <v>11</v>
      </c>
      <c r="B585" s="321">
        <v>4116</v>
      </c>
      <c r="C585" s="321" t="s">
        <v>2828</v>
      </c>
      <c r="D585" s="321" t="s">
        <v>28</v>
      </c>
      <c r="E585" s="321" t="s">
        <v>32</v>
      </c>
      <c r="F585" s="405">
        <v>78</v>
      </c>
      <c r="G585" s="405">
        <v>865.8</v>
      </c>
      <c r="H585" s="405">
        <v>506.55</v>
      </c>
      <c r="I585" s="321" t="s">
        <v>30</v>
      </c>
      <c r="J585" s="321" t="s">
        <v>23</v>
      </c>
      <c r="K585" s="224">
        <f>H585/F585</f>
        <v>6.4942307692307697</v>
      </c>
    </row>
    <row r="586" spans="1:13" ht="12.75" customHeight="1">
      <c r="A586" s="321">
        <v>201</v>
      </c>
      <c r="B586" s="321" t="s">
        <v>376</v>
      </c>
      <c r="C586" s="321" t="s">
        <v>377</v>
      </c>
      <c r="D586" s="321" t="s">
        <v>43</v>
      </c>
      <c r="E586" s="321"/>
      <c r="F586" s="405">
        <v>18252</v>
      </c>
      <c r="G586" s="405">
        <v>18252</v>
      </c>
      <c r="H586" s="405">
        <v>9113.2199999999993</v>
      </c>
      <c r="I586" s="321" t="s">
        <v>44</v>
      </c>
      <c r="J586" s="321" t="s">
        <v>19</v>
      </c>
      <c r="K586" s="224">
        <f>H586/F586</f>
        <v>0.49929980276134117</v>
      </c>
    </row>
    <row r="587" spans="1:13">
      <c r="A587" s="321">
        <v>11</v>
      </c>
      <c r="B587" s="321" t="s">
        <v>494</v>
      </c>
      <c r="C587" s="321" t="s">
        <v>2757</v>
      </c>
      <c r="D587" s="321" t="s">
        <v>34</v>
      </c>
      <c r="E587" s="321"/>
      <c r="F587" s="405">
        <v>137596</v>
      </c>
      <c r="G587" s="405">
        <v>1224604.3999999999</v>
      </c>
      <c r="H587" s="405">
        <v>421236.39</v>
      </c>
      <c r="I587" s="321" t="s">
        <v>35</v>
      </c>
      <c r="J587" s="321" t="s">
        <v>23</v>
      </c>
      <c r="K587" s="224">
        <f>H587/F587</f>
        <v>3.0613999680223265</v>
      </c>
    </row>
    <row r="588" spans="1:13" ht="12.75" customHeight="1">
      <c r="A588" s="321">
        <v>201</v>
      </c>
      <c r="B588" s="321" t="s">
        <v>502</v>
      </c>
      <c r="C588" s="321" t="s">
        <v>503</v>
      </c>
      <c r="D588" s="321" t="s">
        <v>16</v>
      </c>
      <c r="E588" s="321" t="s">
        <v>22</v>
      </c>
      <c r="F588" s="405">
        <v>42398</v>
      </c>
      <c r="G588" s="405">
        <v>4.24</v>
      </c>
      <c r="H588" s="405">
        <v>279.83</v>
      </c>
      <c r="I588" s="321" t="s">
        <v>18</v>
      </c>
      <c r="J588" s="321" t="s">
        <v>19</v>
      </c>
      <c r="K588" s="224">
        <f>H588/F588</f>
        <v>6.6000754752582663E-3</v>
      </c>
    </row>
    <row r="589" spans="1:13">
      <c r="A589" s="321">
        <v>288</v>
      </c>
      <c r="B589" s="321" t="s">
        <v>51</v>
      </c>
      <c r="C589" s="321" t="s">
        <v>52</v>
      </c>
      <c r="D589" s="321" t="s">
        <v>43</v>
      </c>
      <c r="E589" s="321"/>
      <c r="F589" s="405">
        <v>-275</v>
      </c>
      <c r="G589" s="405">
        <v>-275</v>
      </c>
      <c r="H589" s="405">
        <v>-85.08</v>
      </c>
      <c r="I589" s="321" t="s">
        <v>44</v>
      </c>
      <c r="J589" s="321" t="s">
        <v>19</v>
      </c>
      <c r="K589" s="224">
        <f>H589/F589</f>
        <v>0.3093818181818182</v>
      </c>
    </row>
    <row r="590" spans="1:13" ht="15">
      <c r="A590" s="321">
        <v>223</v>
      </c>
      <c r="B590" s="321" t="s">
        <v>568</v>
      </c>
      <c r="C590" s="321" t="s">
        <v>569</v>
      </c>
      <c r="D590" s="321" t="s">
        <v>16</v>
      </c>
      <c r="E590" s="321" t="s">
        <v>17</v>
      </c>
      <c r="F590" s="321">
        <v>6050</v>
      </c>
      <c r="G590" s="321">
        <v>6050</v>
      </c>
      <c r="H590" s="321">
        <v>3859.9</v>
      </c>
      <c r="I590" s="321" t="s">
        <v>18</v>
      </c>
      <c r="J590" s="321" t="s">
        <v>19</v>
      </c>
      <c r="K590" s="224">
        <f>H590/F590</f>
        <v>0.63800000000000001</v>
      </c>
      <c r="M590" s="215"/>
    </row>
    <row r="591" spans="1:13" ht="12.75" customHeight="1">
      <c r="A591" s="321">
        <v>201</v>
      </c>
      <c r="B591" s="321" t="s">
        <v>504</v>
      </c>
      <c r="C591" s="321" t="s">
        <v>505</v>
      </c>
      <c r="D591" s="321" t="s">
        <v>34</v>
      </c>
      <c r="E591" s="321"/>
      <c r="F591" s="321">
        <v>112</v>
      </c>
      <c r="G591" s="321">
        <v>981.06</v>
      </c>
      <c r="H591" s="321">
        <v>247.52</v>
      </c>
      <c r="I591" s="321" t="s">
        <v>35</v>
      </c>
      <c r="J591" s="321" t="s">
        <v>19</v>
      </c>
      <c r="K591" s="224">
        <f>H591/F591</f>
        <v>2.21</v>
      </c>
    </row>
    <row r="592" spans="1:13" ht="12.75" customHeight="1">
      <c r="A592" s="321">
        <v>1</v>
      </c>
      <c r="B592" s="321" t="s">
        <v>421</v>
      </c>
      <c r="C592" s="321" t="s">
        <v>2846</v>
      </c>
      <c r="D592" s="321" t="s">
        <v>34</v>
      </c>
      <c r="E592" s="321"/>
      <c r="F592" s="321">
        <v>74</v>
      </c>
      <c r="G592" s="321">
        <v>658.6</v>
      </c>
      <c r="H592" s="321">
        <v>237.52</v>
      </c>
      <c r="I592" s="321" t="s">
        <v>35</v>
      </c>
      <c r="J592" s="321" t="s">
        <v>23</v>
      </c>
      <c r="K592" s="224">
        <f>H592/F592</f>
        <v>3.2097297297297298</v>
      </c>
    </row>
    <row r="593" spans="1:13" ht="15">
      <c r="A593" s="321">
        <v>204</v>
      </c>
      <c r="B593" s="321">
        <v>9630</v>
      </c>
      <c r="C593" s="321" t="s">
        <v>506</v>
      </c>
      <c r="D593" s="321" t="s">
        <v>28</v>
      </c>
      <c r="E593" s="321" t="s">
        <v>32</v>
      </c>
      <c r="F593" s="321">
        <v>2178</v>
      </c>
      <c r="G593" s="321">
        <v>68513.350000000006</v>
      </c>
      <c r="H593" s="321">
        <v>38093.21</v>
      </c>
      <c r="I593" s="321" t="s">
        <v>30</v>
      </c>
      <c r="J593" s="321" t="s">
        <v>19</v>
      </c>
      <c r="K593" s="224">
        <f>H593/F593</f>
        <v>17.489995408631771</v>
      </c>
      <c r="M593" s="215"/>
    </row>
    <row r="594" spans="1:13" ht="12.75" customHeight="1">
      <c r="A594" s="321">
        <v>1</v>
      </c>
      <c r="B594" s="321" t="s">
        <v>2915</v>
      </c>
      <c r="C594" s="321" t="s">
        <v>2916</v>
      </c>
      <c r="D594" s="321" t="s">
        <v>43</v>
      </c>
      <c r="E594" s="321"/>
      <c r="F594" s="321">
        <v>37800</v>
      </c>
      <c r="G594" s="321">
        <v>37800</v>
      </c>
      <c r="H594" s="321">
        <v>32886</v>
      </c>
      <c r="I594" s="321" t="s">
        <v>44</v>
      </c>
      <c r="J594" s="321" t="s">
        <v>23</v>
      </c>
      <c r="K594" s="224">
        <f>H594/F594</f>
        <v>0.87</v>
      </c>
    </row>
    <row r="595" spans="1:13">
      <c r="A595" s="321">
        <v>288</v>
      </c>
      <c r="B595" s="321" t="s">
        <v>376</v>
      </c>
      <c r="C595" s="321" t="s">
        <v>377</v>
      </c>
      <c r="D595" s="321" t="s">
        <v>43</v>
      </c>
      <c r="E595" s="321"/>
      <c r="F595" s="321">
        <v>-36</v>
      </c>
      <c r="G595" s="321">
        <v>-36</v>
      </c>
      <c r="H595" s="321">
        <v>-17.97</v>
      </c>
      <c r="I595" s="321" t="s">
        <v>44</v>
      </c>
      <c r="J595" s="321" t="s">
        <v>19</v>
      </c>
      <c r="K595" s="224">
        <f>H595/F595</f>
        <v>0.49916666666666665</v>
      </c>
    </row>
    <row r="596" spans="1:13">
      <c r="A596" s="321">
        <v>201</v>
      </c>
      <c r="B596" s="321" t="s">
        <v>500</v>
      </c>
      <c r="C596" s="321" t="s">
        <v>501</v>
      </c>
      <c r="D596" s="321" t="s">
        <v>16</v>
      </c>
      <c r="E596" s="321" t="s">
        <v>17</v>
      </c>
      <c r="F596" s="321">
        <v>1620</v>
      </c>
      <c r="G596" s="321">
        <v>1620</v>
      </c>
      <c r="H596" s="321">
        <v>895.53</v>
      </c>
      <c r="I596" s="321" t="s">
        <v>18</v>
      </c>
      <c r="J596" s="321" t="s">
        <v>19</v>
      </c>
      <c r="K596" s="224">
        <f>H596/F596</f>
        <v>0.55279629629629623</v>
      </c>
    </row>
    <row r="597" spans="1:13" ht="12.75" customHeight="1">
      <c r="A597" s="321">
        <v>602</v>
      </c>
      <c r="B597" s="321">
        <v>4141</v>
      </c>
      <c r="C597" s="321" t="s">
        <v>466</v>
      </c>
      <c r="D597" s="321" t="s">
        <v>28</v>
      </c>
      <c r="E597" s="321" t="s">
        <v>29</v>
      </c>
      <c r="F597" s="321">
        <v>36</v>
      </c>
      <c r="G597" s="321">
        <v>1292.04</v>
      </c>
      <c r="H597" s="321">
        <v>577.74</v>
      </c>
      <c r="I597" s="321" t="s">
        <v>30</v>
      </c>
      <c r="J597" s="321" t="s">
        <v>59</v>
      </c>
      <c r="K597" s="224">
        <f>H597/F597</f>
        <v>16.048333333333332</v>
      </c>
    </row>
    <row r="598" spans="1:13" ht="12.75" customHeight="1">
      <c r="A598" s="321">
        <v>1</v>
      </c>
      <c r="B598" s="321" t="s">
        <v>500</v>
      </c>
      <c r="C598" s="321" t="s">
        <v>501</v>
      </c>
      <c r="D598" s="321" t="s">
        <v>16</v>
      </c>
      <c r="E598" s="321" t="s">
        <v>17</v>
      </c>
      <c r="F598" s="321">
        <v>1830</v>
      </c>
      <c r="G598" s="321">
        <v>1830</v>
      </c>
      <c r="H598" s="321">
        <v>821.67</v>
      </c>
      <c r="I598" s="321" t="s">
        <v>18</v>
      </c>
      <c r="J598" s="321" t="s">
        <v>23</v>
      </c>
      <c r="K598" s="224">
        <f>H598/F598</f>
        <v>0.44899999999999995</v>
      </c>
      <c r="L598" s="215"/>
    </row>
    <row r="599" spans="1:13">
      <c r="A599" s="321">
        <v>11</v>
      </c>
      <c r="B599" s="321" t="s">
        <v>2915</v>
      </c>
      <c r="C599" s="321" t="s">
        <v>2916</v>
      </c>
      <c r="D599" s="321" t="s">
        <v>43</v>
      </c>
      <c r="E599" s="321"/>
      <c r="F599" s="321">
        <v>5400</v>
      </c>
      <c r="G599" s="321">
        <v>5400</v>
      </c>
      <c r="H599" s="321">
        <v>4698</v>
      </c>
      <c r="I599" s="321" t="s">
        <v>44</v>
      </c>
      <c r="J599" s="321" t="s">
        <v>23</v>
      </c>
      <c r="K599" s="224">
        <f>H599/F599</f>
        <v>0.87</v>
      </c>
    </row>
    <row r="600" spans="1:13">
      <c r="A600" s="321">
        <v>201</v>
      </c>
      <c r="B600" s="321" t="s">
        <v>2774</v>
      </c>
      <c r="C600" s="321" t="s">
        <v>2775</v>
      </c>
      <c r="D600" s="321" t="s">
        <v>16</v>
      </c>
      <c r="E600" s="321" t="s">
        <v>22</v>
      </c>
      <c r="F600" s="321">
        <v>27558</v>
      </c>
      <c r="G600" s="321">
        <v>2.76</v>
      </c>
      <c r="H600" s="321">
        <v>275.58</v>
      </c>
      <c r="I600" s="321" t="s">
        <v>18</v>
      </c>
      <c r="J600" s="321" t="s">
        <v>19</v>
      </c>
      <c r="K600" s="224">
        <f>H600/F600</f>
        <v>0.01</v>
      </c>
    </row>
    <row r="601" spans="1:13">
      <c r="A601" s="321">
        <v>223</v>
      </c>
      <c r="B601" s="321" t="s">
        <v>314</v>
      </c>
      <c r="C601" s="321" t="s">
        <v>315</v>
      </c>
      <c r="D601" s="321" t="s">
        <v>16</v>
      </c>
      <c r="E601" s="321" t="s">
        <v>156</v>
      </c>
      <c r="F601" s="321">
        <v>52200</v>
      </c>
      <c r="G601" s="321">
        <v>5.22</v>
      </c>
      <c r="H601" s="321">
        <v>1644.3</v>
      </c>
      <c r="I601" s="321" t="s">
        <v>18</v>
      </c>
      <c r="J601" s="321" t="s">
        <v>19</v>
      </c>
      <c r="K601" s="224">
        <f>H601/F601</f>
        <v>3.15E-2</v>
      </c>
    </row>
    <row r="602" spans="1:13" ht="12.75" customHeight="1">
      <c r="A602" s="321">
        <v>603</v>
      </c>
      <c r="B602" s="321">
        <v>4141</v>
      </c>
      <c r="C602" s="321" t="s">
        <v>466</v>
      </c>
      <c r="D602" s="321" t="s">
        <v>28</v>
      </c>
      <c r="E602" s="321" t="s">
        <v>29</v>
      </c>
      <c r="F602" s="321">
        <v>53</v>
      </c>
      <c r="G602" s="321">
        <v>1902.17</v>
      </c>
      <c r="H602" s="321">
        <v>845.69</v>
      </c>
      <c r="I602" s="321" t="s">
        <v>30</v>
      </c>
      <c r="J602" s="321" t="s">
        <v>59</v>
      </c>
      <c r="K602" s="224">
        <f>H602/F602</f>
        <v>15.956415094339624</v>
      </c>
      <c r="L602" s="215"/>
    </row>
    <row r="603" spans="1:13" ht="15">
      <c r="A603" s="321">
        <v>1</v>
      </c>
      <c r="B603" s="321" t="s">
        <v>2774</v>
      </c>
      <c r="C603" s="321" t="s">
        <v>2775</v>
      </c>
      <c r="D603" s="321" t="s">
        <v>16</v>
      </c>
      <c r="E603" s="321" t="s">
        <v>22</v>
      </c>
      <c r="F603" s="321">
        <v>15261</v>
      </c>
      <c r="G603" s="321">
        <v>1.53</v>
      </c>
      <c r="H603" s="321">
        <v>152.61000000000001</v>
      </c>
      <c r="I603" s="321" t="s">
        <v>18</v>
      </c>
      <c r="J603" s="321" t="s">
        <v>23</v>
      </c>
      <c r="K603" s="224">
        <f>H603/F603</f>
        <v>0.01</v>
      </c>
      <c r="M603" s="215"/>
    </row>
    <row r="604" spans="1:13" ht="12.75" customHeight="1">
      <c r="A604" s="321">
        <v>201</v>
      </c>
      <c r="B604" s="321">
        <v>7515</v>
      </c>
      <c r="C604" s="321" t="s">
        <v>108</v>
      </c>
      <c r="D604" s="321" t="s">
        <v>28</v>
      </c>
      <c r="E604" s="321" t="s">
        <v>56</v>
      </c>
      <c r="F604" s="321">
        <v>21</v>
      </c>
      <c r="G604" s="321">
        <v>588</v>
      </c>
      <c r="H604" s="321">
        <v>421.56</v>
      </c>
      <c r="I604" s="321" t="s">
        <v>30</v>
      </c>
      <c r="J604" s="321" t="s">
        <v>19</v>
      </c>
      <c r="K604" s="224">
        <f>H604/F604</f>
        <v>20.074285714285715</v>
      </c>
      <c r="L604" s="215"/>
    </row>
    <row r="605" spans="1:13" ht="12.75" customHeight="1">
      <c r="A605" s="321">
        <v>11</v>
      </c>
      <c r="B605" s="321" t="s">
        <v>509</v>
      </c>
      <c r="C605" s="321" t="s">
        <v>272</v>
      </c>
      <c r="D605" s="321" t="s">
        <v>16</v>
      </c>
      <c r="E605" s="321" t="s">
        <v>22</v>
      </c>
      <c r="F605" s="321">
        <v>50000</v>
      </c>
      <c r="G605" s="321">
        <v>5</v>
      </c>
      <c r="H605" s="321">
        <v>670</v>
      </c>
      <c r="I605" s="321" t="s">
        <v>18</v>
      </c>
      <c r="J605" s="321" t="s">
        <v>23</v>
      </c>
      <c r="K605" s="224">
        <f>H605/F605</f>
        <v>1.34E-2</v>
      </c>
    </row>
    <row r="606" spans="1:13" ht="12.75" customHeight="1">
      <c r="A606" s="321">
        <v>288</v>
      </c>
      <c r="B606" s="321" t="s">
        <v>2774</v>
      </c>
      <c r="C606" s="321" t="s">
        <v>2775</v>
      </c>
      <c r="D606" s="321" t="s">
        <v>16</v>
      </c>
      <c r="E606" s="321" t="s">
        <v>22</v>
      </c>
      <c r="F606" s="321">
        <v>235</v>
      </c>
      <c r="G606" s="321">
        <v>0.02</v>
      </c>
      <c r="H606" s="321">
        <v>2.35</v>
      </c>
      <c r="I606" s="321" t="s">
        <v>18</v>
      </c>
      <c r="J606" s="321" t="s">
        <v>19</v>
      </c>
      <c r="K606" s="224">
        <f>H606/F606</f>
        <v>0.01</v>
      </c>
      <c r="L606" s="215"/>
    </row>
    <row r="607" spans="1:13" ht="12.75" customHeight="1">
      <c r="A607" s="321">
        <v>288</v>
      </c>
      <c r="B607" s="321" t="s">
        <v>135</v>
      </c>
      <c r="C607" s="321" t="s">
        <v>136</v>
      </c>
      <c r="D607" s="321" t="s">
        <v>43</v>
      </c>
      <c r="E607" s="321"/>
      <c r="F607" s="321">
        <v>-6481.63</v>
      </c>
      <c r="G607" s="321">
        <v>-6481.64</v>
      </c>
      <c r="H607" s="321">
        <v>-2553.77</v>
      </c>
      <c r="I607" s="321" t="s">
        <v>44</v>
      </c>
      <c r="J607" s="321" t="s">
        <v>19</v>
      </c>
      <c r="K607" s="224">
        <f>H607/F607</f>
        <v>0.39400120031535274</v>
      </c>
    </row>
    <row r="608" spans="1:13" ht="12.75" customHeight="1">
      <c r="A608" s="321">
        <v>11</v>
      </c>
      <c r="B608" s="321" t="s">
        <v>312</v>
      </c>
      <c r="C608" s="321" t="s">
        <v>313</v>
      </c>
      <c r="D608" s="321" t="s">
        <v>28</v>
      </c>
      <c r="E608" s="321" t="s">
        <v>29</v>
      </c>
      <c r="F608" s="321">
        <v>571</v>
      </c>
      <c r="G608" s="321">
        <v>19723.48</v>
      </c>
      <c r="H608" s="321">
        <v>8229.31</v>
      </c>
      <c r="I608" s="321" t="s">
        <v>30</v>
      </c>
      <c r="J608" s="321" t="s">
        <v>23</v>
      </c>
      <c r="K608" s="224">
        <f>H608/F608</f>
        <v>14.412101576182136</v>
      </c>
      <c r="L608" s="215"/>
    </row>
    <row r="609" spans="1:13">
      <c r="A609" s="321">
        <v>1</v>
      </c>
      <c r="B609" s="321" t="s">
        <v>509</v>
      </c>
      <c r="C609" s="321" t="s">
        <v>272</v>
      </c>
      <c r="D609" s="321" t="s">
        <v>16</v>
      </c>
      <c r="E609" s="321" t="s">
        <v>22</v>
      </c>
      <c r="F609" s="321">
        <v>5612</v>
      </c>
      <c r="G609" s="321">
        <v>0.56000000000000005</v>
      </c>
      <c r="H609" s="321">
        <v>75.2</v>
      </c>
      <c r="I609" s="321" t="s">
        <v>18</v>
      </c>
      <c r="J609" s="321" t="s">
        <v>23</v>
      </c>
      <c r="K609" s="224">
        <f>H609/F609</f>
        <v>1.3399857448325019E-2</v>
      </c>
    </row>
    <row r="610" spans="1:13" ht="12.75" customHeight="1">
      <c r="A610" s="321">
        <v>11</v>
      </c>
      <c r="B610" s="321">
        <v>5315</v>
      </c>
      <c r="C610" s="321" t="s">
        <v>508</v>
      </c>
      <c r="D610" s="321" t="s">
        <v>28</v>
      </c>
      <c r="E610" s="321" t="s">
        <v>56</v>
      </c>
      <c r="F610" s="321">
        <v>328</v>
      </c>
      <c r="G610" s="321">
        <v>8862.56</v>
      </c>
      <c r="H610" s="321">
        <v>3022.68</v>
      </c>
      <c r="I610" s="321" t="s">
        <v>30</v>
      </c>
      <c r="J610" s="321" t="s">
        <v>23</v>
      </c>
      <c r="K610" s="224">
        <f>H610/F610</f>
        <v>9.2154878048780482</v>
      </c>
    </row>
    <row r="611" spans="1:13" ht="15">
      <c r="A611" s="321">
        <v>88</v>
      </c>
      <c r="B611" s="321" t="s">
        <v>2915</v>
      </c>
      <c r="C611" s="321" t="s">
        <v>2916</v>
      </c>
      <c r="D611" s="321" t="s">
        <v>43</v>
      </c>
      <c r="E611" s="321"/>
      <c r="F611" s="321">
        <v>-12600</v>
      </c>
      <c r="G611" s="321">
        <v>-12600</v>
      </c>
      <c r="H611" s="321">
        <v>-10962</v>
      </c>
      <c r="I611" s="321" t="s">
        <v>44</v>
      </c>
      <c r="J611" s="321" t="s">
        <v>23</v>
      </c>
      <c r="K611" s="224">
        <f>H611/F611</f>
        <v>0.87</v>
      </c>
      <c r="M611" s="215"/>
    </row>
    <row r="612" spans="1:13">
      <c r="A612" s="321">
        <v>11</v>
      </c>
      <c r="B612" s="321" t="s">
        <v>2774</v>
      </c>
      <c r="C612" s="321" t="s">
        <v>2775</v>
      </c>
      <c r="D612" s="321" t="s">
        <v>16</v>
      </c>
      <c r="E612" s="321" t="s">
        <v>22</v>
      </c>
      <c r="F612" s="405">
        <v>40000</v>
      </c>
      <c r="G612" s="405">
        <v>4</v>
      </c>
      <c r="H612" s="405">
        <v>400</v>
      </c>
      <c r="I612" s="321" t="s">
        <v>18</v>
      </c>
      <c r="J612" s="321" t="s">
        <v>23</v>
      </c>
      <c r="K612" s="224">
        <f>H612/F612</f>
        <v>0.01</v>
      </c>
    </row>
    <row r="613" spans="1:13" ht="12.75" customHeight="1">
      <c r="A613" s="321">
        <v>11</v>
      </c>
      <c r="B613" s="321">
        <v>6591</v>
      </c>
      <c r="C613" s="321" t="s">
        <v>507</v>
      </c>
      <c r="D613" s="321" t="s">
        <v>28</v>
      </c>
      <c r="E613" s="321" t="s">
        <v>29</v>
      </c>
      <c r="F613" s="321">
        <v>2054</v>
      </c>
      <c r="G613" s="321">
        <v>74765.600000000006</v>
      </c>
      <c r="H613" s="321">
        <v>31177.05</v>
      </c>
      <c r="I613" s="321" t="s">
        <v>30</v>
      </c>
      <c r="J613" s="321" t="s">
        <v>23</v>
      </c>
      <c r="K613" s="224">
        <f>H613/F613</f>
        <v>15.178700097370983</v>
      </c>
    </row>
    <row r="614" spans="1:13" ht="12.75" customHeight="1">
      <c r="A614" s="321">
        <v>601</v>
      </c>
      <c r="B614" s="321">
        <v>4114</v>
      </c>
      <c r="C614" s="321" t="s">
        <v>510</v>
      </c>
      <c r="D614" s="321" t="s">
        <v>28</v>
      </c>
      <c r="E614" s="321" t="s">
        <v>32</v>
      </c>
      <c r="F614" s="321">
        <v>1</v>
      </c>
      <c r="G614" s="321">
        <v>15</v>
      </c>
      <c r="H614" s="405">
        <v>22.2</v>
      </c>
      <c r="I614" s="321" t="s">
        <v>30</v>
      </c>
      <c r="J614" s="321" t="s">
        <v>59</v>
      </c>
      <c r="K614" s="224">
        <f>H614/F614</f>
        <v>22.2</v>
      </c>
    </row>
    <row r="615" spans="1:13" ht="15">
      <c r="A615" s="321">
        <v>223</v>
      </c>
      <c r="B615" s="321" t="s">
        <v>51</v>
      </c>
      <c r="C615" s="321" t="s">
        <v>52</v>
      </c>
      <c r="D615" s="321" t="s">
        <v>43</v>
      </c>
      <c r="E615" s="321"/>
      <c r="F615" s="321">
        <v>2204.6</v>
      </c>
      <c r="G615" s="321">
        <v>2204.6</v>
      </c>
      <c r="H615" s="321">
        <v>709.44</v>
      </c>
      <c r="I615" s="321" t="s">
        <v>44</v>
      </c>
      <c r="J615" s="321" t="s">
        <v>19</v>
      </c>
      <c r="K615" s="224">
        <f>H615/F615</f>
        <v>0.32179987299283319</v>
      </c>
      <c r="M615" s="215"/>
    </row>
    <row r="616" spans="1:13" ht="12.75" customHeight="1">
      <c r="A616" s="321">
        <v>204</v>
      </c>
      <c r="B616" s="321">
        <v>198</v>
      </c>
      <c r="C616" s="321" t="s">
        <v>511</v>
      </c>
      <c r="D616" s="321" t="s">
        <v>28</v>
      </c>
      <c r="E616" s="321" t="s">
        <v>56</v>
      </c>
      <c r="F616" s="321">
        <v>163</v>
      </c>
      <c r="G616" s="321">
        <v>2638.97</v>
      </c>
      <c r="H616" s="321">
        <v>1512.64</v>
      </c>
      <c r="I616" s="321" t="s">
        <v>30</v>
      </c>
      <c r="J616" s="321" t="s">
        <v>19</v>
      </c>
      <c r="K616" s="224">
        <f>H616/F616</f>
        <v>9.2800000000000011</v>
      </c>
    </row>
    <row r="617" spans="1:13">
      <c r="A617" s="321">
        <v>201</v>
      </c>
      <c r="B617" s="321" t="s">
        <v>421</v>
      </c>
      <c r="C617" s="321" t="s">
        <v>2846</v>
      </c>
      <c r="D617" s="321" t="s">
        <v>34</v>
      </c>
      <c r="E617" s="321"/>
      <c r="F617" s="405">
        <v>809</v>
      </c>
      <c r="G617" s="405">
        <v>7200.1</v>
      </c>
      <c r="H617" s="405">
        <v>2350.31</v>
      </c>
      <c r="I617" s="321" t="s">
        <v>35</v>
      </c>
      <c r="J617" s="321" t="s">
        <v>19</v>
      </c>
      <c r="K617" s="224">
        <f>H617/F617</f>
        <v>2.9052039555006179</v>
      </c>
    </row>
    <row r="618" spans="1:13" ht="12.75" customHeight="1">
      <c r="A618" s="321">
        <v>11</v>
      </c>
      <c r="B618" s="321">
        <v>7593</v>
      </c>
      <c r="C618" s="321" t="s">
        <v>516</v>
      </c>
      <c r="D618" s="321" t="s">
        <v>16</v>
      </c>
      <c r="E618" s="321" t="s">
        <v>88</v>
      </c>
      <c r="F618" s="405">
        <v>-2</v>
      </c>
      <c r="G618" s="405">
        <v>-18.2</v>
      </c>
      <c r="H618" s="405">
        <v>-12.2</v>
      </c>
      <c r="I618" s="321" t="s">
        <v>30</v>
      </c>
      <c r="J618" s="321" t="s">
        <v>23</v>
      </c>
      <c r="K618" s="224">
        <f>H618/F618</f>
        <v>6.1</v>
      </c>
    </row>
    <row r="619" spans="1:13" ht="12.75" customHeight="1">
      <c r="A619" s="321">
        <v>1</v>
      </c>
      <c r="B619" s="321" t="s">
        <v>512</v>
      </c>
      <c r="C619" s="321" t="s">
        <v>513</v>
      </c>
      <c r="D619" s="321" t="s">
        <v>34</v>
      </c>
      <c r="E619" s="321"/>
      <c r="F619" s="405">
        <v>589</v>
      </c>
      <c r="G619" s="405">
        <v>5595.5</v>
      </c>
      <c r="H619" s="405">
        <v>2838.04</v>
      </c>
      <c r="I619" s="321" t="s">
        <v>35</v>
      </c>
      <c r="J619" s="321" t="s">
        <v>23</v>
      </c>
      <c r="K619" s="224">
        <f>H619/F619</f>
        <v>4.8184040747028858</v>
      </c>
    </row>
    <row r="620" spans="1:13" ht="12.75" customHeight="1">
      <c r="A620" s="321">
        <v>201</v>
      </c>
      <c r="B620" s="321" t="s">
        <v>514</v>
      </c>
      <c r="C620" s="321" t="s">
        <v>515</v>
      </c>
      <c r="D620" s="321" t="s">
        <v>16</v>
      </c>
      <c r="E620" s="321" t="s">
        <v>22</v>
      </c>
      <c r="F620" s="321">
        <v>9047</v>
      </c>
      <c r="G620" s="321">
        <v>0.9</v>
      </c>
      <c r="H620" s="321">
        <v>124.84</v>
      </c>
      <c r="I620" s="321" t="s">
        <v>18</v>
      </c>
      <c r="J620" s="321" t="s">
        <v>19</v>
      </c>
      <c r="K620" s="224">
        <f>H620/F620</f>
        <v>1.379904940864375E-2</v>
      </c>
    </row>
    <row r="621" spans="1:13" ht="15">
      <c r="A621" s="321">
        <v>11</v>
      </c>
      <c r="B621" s="321">
        <v>7593</v>
      </c>
      <c r="C621" s="321" t="s">
        <v>516</v>
      </c>
      <c r="D621" s="321" t="s">
        <v>28</v>
      </c>
      <c r="E621" s="321" t="s">
        <v>29</v>
      </c>
      <c r="F621" s="405">
        <v>2105</v>
      </c>
      <c r="G621" s="405">
        <v>76622</v>
      </c>
      <c r="H621" s="405">
        <v>51363.08</v>
      </c>
      <c r="I621" s="321" t="s">
        <v>30</v>
      </c>
      <c r="J621" s="321" t="s">
        <v>23</v>
      </c>
      <c r="K621" s="224">
        <f>H621/F621</f>
        <v>24.400513064133019</v>
      </c>
      <c r="M621" s="215"/>
    </row>
    <row r="622" spans="1:13" ht="12.75" customHeight="1">
      <c r="A622" s="321">
        <v>11</v>
      </c>
      <c r="B622" s="321" t="s">
        <v>226</v>
      </c>
      <c r="C622" s="321" t="s">
        <v>227</v>
      </c>
      <c r="D622" s="321" t="s">
        <v>16</v>
      </c>
      <c r="E622" s="321" t="s">
        <v>228</v>
      </c>
      <c r="F622" s="405">
        <v>13466</v>
      </c>
      <c r="G622" s="405">
        <v>592504</v>
      </c>
      <c r="H622" s="405">
        <v>377048</v>
      </c>
      <c r="I622" s="321" t="s">
        <v>35</v>
      </c>
      <c r="J622" s="321" t="s">
        <v>23</v>
      </c>
      <c r="K622" s="224">
        <f>H622/F622</f>
        <v>28</v>
      </c>
    </row>
    <row r="623" spans="1:13" ht="12.75" customHeight="1">
      <c r="A623" s="321">
        <v>211</v>
      </c>
      <c r="B623" s="321">
        <v>5315</v>
      </c>
      <c r="C623" s="321" t="s">
        <v>508</v>
      </c>
      <c r="D623" s="321" t="s">
        <v>28</v>
      </c>
      <c r="E623" s="321" t="s">
        <v>56</v>
      </c>
      <c r="F623" s="405">
        <v>193</v>
      </c>
      <c r="G623" s="405">
        <v>5214.8599999999997</v>
      </c>
      <c r="H623" s="405">
        <v>1693.75</v>
      </c>
      <c r="I623" s="321" t="s">
        <v>30</v>
      </c>
      <c r="J623" s="321" t="s">
        <v>19</v>
      </c>
      <c r="K623" s="224">
        <f>H623/F623</f>
        <v>8.7759067357512954</v>
      </c>
    </row>
    <row r="624" spans="1:13" ht="12.75" customHeight="1">
      <c r="A624" s="321">
        <v>288</v>
      </c>
      <c r="B624" s="321" t="s">
        <v>522</v>
      </c>
      <c r="C624" s="321" t="s">
        <v>523</v>
      </c>
      <c r="D624" s="321" t="s">
        <v>16</v>
      </c>
      <c r="E624" s="321" t="s">
        <v>22</v>
      </c>
      <c r="F624" s="405">
        <v>-67637</v>
      </c>
      <c r="G624" s="405">
        <v>-6.76</v>
      </c>
      <c r="H624" s="405">
        <v>-480.22</v>
      </c>
      <c r="I624" s="321" t="s">
        <v>18</v>
      </c>
      <c r="J624" s="321" t="s">
        <v>19</v>
      </c>
      <c r="K624" s="224">
        <f>H624/F624</f>
        <v>7.0999600810207437E-3</v>
      </c>
    </row>
    <row r="625" spans="1:13" ht="12.75" customHeight="1">
      <c r="A625" s="321">
        <v>201</v>
      </c>
      <c r="B625" s="321">
        <v>4116</v>
      </c>
      <c r="C625" s="321" t="s">
        <v>2828</v>
      </c>
      <c r="D625" s="321" t="s">
        <v>28</v>
      </c>
      <c r="E625" s="321" t="s">
        <v>32</v>
      </c>
      <c r="F625" s="405">
        <v>74</v>
      </c>
      <c r="G625" s="405">
        <v>821.4</v>
      </c>
      <c r="H625" s="405">
        <v>479.36</v>
      </c>
      <c r="I625" s="321" t="s">
        <v>30</v>
      </c>
      <c r="J625" s="321" t="s">
        <v>19</v>
      </c>
      <c r="K625" s="224">
        <f>H625/F625</f>
        <v>6.4778378378378383</v>
      </c>
    </row>
    <row r="626" spans="1:13" ht="12.75" customHeight="1">
      <c r="A626" s="321">
        <v>201</v>
      </c>
      <c r="B626" s="321" t="s">
        <v>517</v>
      </c>
      <c r="C626" s="321" t="s">
        <v>518</v>
      </c>
      <c r="D626" s="321" t="s">
        <v>16</v>
      </c>
      <c r="E626" s="321" t="s">
        <v>22</v>
      </c>
      <c r="F626" s="405">
        <v>36147</v>
      </c>
      <c r="G626" s="405">
        <v>3.61</v>
      </c>
      <c r="H626" s="405">
        <v>484.37</v>
      </c>
      <c r="I626" s="321" t="s">
        <v>18</v>
      </c>
      <c r="J626" s="321" t="s">
        <v>19</v>
      </c>
      <c r="K626" s="224">
        <f>H626/F626</f>
        <v>1.3400005532962625E-2</v>
      </c>
    </row>
    <row r="627" spans="1:13">
      <c r="A627" s="321">
        <v>1</v>
      </c>
      <c r="B627" s="321" t="s">
        <v>517</v>
      </c>
      <c r="C627" s="321" t="s">
        <v>518</v>
      </c>
      <c r="D627" s="321" t="s">
        <v>16</v>
      </c>
      <c r="E627" s="321" t="s">
        <v>22</v>
      </c>
      <c r="F627" s="405">
        <v>12812</v>
      </c>
      <c r="G627" s="405">
        <v>1.28</v>
      </c>
      <c r="H627" s="405">
        <v>171.68</v>
      </c>
      <c r="I627" s="321" t="s">
        <v>18</v>
      </c>
      <c r="J627" s="321" t="s">
        <v>23</v>
      </c>
      <c r="K627" s="224">
        <f>H627/F627</f>
        <v>1.339993755853887E-2</v>
      </c>
    </row>
    <row r="628" spans="1:13" ht="12.75" customHeight="1">
      <c r="A628" s="321">
        <v>11</v>
      </c>
      <c r="B628" s="321">
        <v>4116</v>
      </c>
      <c r="C628" s="321" t="s">
        <v>2828</v>
      </c>
      <c r="D628" s="321" t="s">
        <v>16</v>
      </c>
      <c r="E628" s="321" t="s">
        <v>88</v>
      </c>
      <c r="F628" s="405">
        <v>-3</v>
      </c>
      <c r="G628" s="405">
        <v>-2.4300000000000002</v>
      </c>
      <c r="H628" s="405">
        <v>-1.62</v>
      </c>
      <c r="I628" s="321" t="s">
        <v>30</v>
      </c>
      <c r="J628" s="321" t="s">
        <v>23</v>
      </c>
      <c r="K628" s="224">
        <f>H628/F628</f>
        <v>0.54</v>
      </c>
    </row>
    <row r="629" spans="1:13" ht="12.75" customHeight="1">
      <c r="A629" s="321">
        <v>288</v>
      </c>
      <c r="B629" s="321" t="s">
        <v>2917</v>
      </c>
      <c r="C629" s="321" t="s">
        <v>2918</v>
      </c>
      <c r="D629" s="321" t="s">
        <v>34</v>
      </c>
      <c r="E629" s="321"/>
      <c r="F629" s="405">
        <v>3625</v>
      </c>
      <c r="G629" s="405">
        <v>41216.25</v>
      </c>
      <c r="H629" s="405">
        <v>25401.1</v>
      </c>
      <c r="I629" s="321" t="s">
        <v>35</v>
      </c>
      <c r="J629" s="321" t="s">
        <v>19</v>
      </c>
      <c r="K629" s="224">
        <f>H629/F629</f>
        <v>7.0071999999999992</v>
      </c>
    </row>
    <row r="630" spans="1:13" ht="12.75" customHeight="1">
      <c r="A630" s="321">
        <v>201</v>
      </c>
      <c r="B630" s="321" t="s">
        <v>182</v>
      </c>
      <c r="C630" s="321" t="s">
        <v>183</v>
      </c>
      <c r="D630" s="321" t="s">
        <v>34</v>
      </c>
      <c r="E630" s="321"/>
      <c r="F630" s="405">
        <v>3036</v>
      </c>
      <c r="G630" s="405">
        <v>24288</v>
      </c>
      <c r="H630" s="405">
        <v>30922.57</v>
      </c>
      <c r="I630" s="321" t="s">
        <v>44</v>
      </c>
      <c r="J630" s="321" t="s">
        <v>19</v>
      </c>
      <c r="K630" s="224">
        <f>H630/F630</f>
        <v>10.185299736495388</v>
      </c>
    </row>
    <row r="631" spans="1:13" ht="12.75" customHeight="1">
      <c r="A631" s="321">
        <v>1</v>
      </c>
      <c r="B631" s="321" t="s">
        <v>277</v>
      </c>
      <c r="C631" s="321" t="s">
        <v>278</v>
      </c>
      <c r="D631" s="321" t="s">
        <v>43</v>
      </c>
      <c r="E631" s="321"/>
      <c r="F631" s="321">
        <v>9.56</v>
      </c>
      <c r="G631" s="321">
        <v>9.56</v>
      </c>
      <c r="H631" s="321">
        <v>51.5</v>
      </c>
      <c r="I631" s="321" t="s">
        <v>44</v>
      </c>
      <c r="J631" s="321" t="s">
        <v>23</v>
      </c>
      <c r="K631" s="224">
        <f>H631/F631</f>
        <v>5.3870292887029283</v>
      </c>
      <c r="L631" s="215"/>
    </row>
    <row r="632" spans="1:13">
      <c r="A632" s="321">
        <v>204</v>
      </c>
      <c r="B632" s="321">
        <v>9131</v>
      </c>
      <c r="C632" s="321" t="s">
        <v>99</v>
      </c>
      <c r="D632" s="321" t="s">
        <v>28</v>
      </c>
      <c r="E632" s="321" t="s">
        <v>56</v>
      </c>
      <c r="F632" s="405">
        <v>901</v>
      </c>
      <c r="G632" s="405">
        <v>30267.29</v>
      </c>
      <c r="H632" s="405">
        <v>16418.919999999998</v>
      </c>
      <c r="I632" s="321" t="s">
        <v>30</v>
      </c>
      <c r="J632" s="321" t="s">
        <v>19</v>
      </c>
      <c r="K632" s="224">
        <f>H632/F632</f>
        <v>18.222996670366257</v>
      </c>
    </row>
    <row r="633" spans="1:13" ht="15">
      <c r="A633" s="321">
        <v>201</v>
      </c>
      <c r="B633" s="321" t="s">
        <v>519</v>
      </c>
      <c r="C633" s="321" t="s">
        <v>520</v>
      </c>
      <c r="D633" s="321" t="s">
        <v>16</v>
      </c>
      <c r="E633" s="321" t="s">
        <v>521</v>
      </c>
      <c r="F633" s="405">
        <v>132827</v>
      </c>
      <c r="G633" s="405">
        <v>9669.81</v>
      </c>
      <c r="H633" s="405">
        <v>26233.48</v>
      </c>
      <c r="I633" s="321" t="s">
        <v>18</v>
      </c>
      <c r="J633" s="321" t="s">
        <v>19</v>
      </c>
      <c r="K633" s="224">
        <f>H633/F633</f>
        <v>0.19750111046699842</v>
      </c>
      <c r="M633" s="215"/>
    </row>
    <row r="634" spans="1:13" ht="12.75" customHeight="1">
      <c r="A634" s="321">
        <v>11</v>
      </c>
      <c r="B634" s="321" t="s">
        <v>418</v>
      </c>
      <c r="C634" s="321" t="s">
        <v>419</v>
      </c>
      <c r="D634" s="321" t="s">
        <v>16</v>
      </c>
      <c r="E634" s="321" t="s">
        <v>420</v>
      </c>
      <c r="F634" s="405">
        <v>29376</v>
      </c>
      <c r="G634" s="405">
        <v>3043.35</v>
      </c>
      <c r="H634" s="405">
        <v>7802.27</v>
      </c>
      <c r="I634" s="321" t="s">
        <v>18</v>
      </c>
      <c r="J634" s="321" t="s">
        <v>23</v>
      </c>
      <c r="K634" s="224">
        <f>H634/F634</f>
        <v>0.26560014978213509</v>
      </c>
    </row>
    <row r="635" spans="1:13" ht="12.75" customHeight="1">
      <c r="A635" s="321">
        <v>201</v>
      </c>
      <c r="B635" s="321" t="s">
        <v>522</v>
      </c>
      <c r="C635" s="321" t="s">
        <v>523</v>
      </c>
      <c r="D635" s="321" t="s">
        <v>16</v>
      </c>
      <c r="E635" s="321" t="s">
        <v>22</v>
      </c>
      <c r="F635" s="405">
        <v>145820</v>
      </c>
      <c r="G635" s="405">
        <v>14.58</v>
      </c>
      <c r="H635" s="405">
        <v>1035.32</v>
      </c>
      <c r="I635" s="321" t="s">
        <v>18</v>
      </c>
      <c r="J635" s="321" t="s">
        <v>19</v>
      </c>
      <c r="K635" s="224">
        <f>H635/F635</f>
        <v>7.099986284460293E-3</v>
      </c>
    </row>
    <row r="636" spans="1:13" ht="12.75" customHeight="1">
      <c r="A636" s="321">
        <v>211</v>
      </c>
      <c r="B636" s="321">
        <v>4116</v>
      </c>
      <c r="C636" s="321" t="s">
        <v>2828</v>
      </c>
      <c r="D636" s="321" t="s">
        <v>28</v>
      </c>
      <c r="E636" s="321" t="s">
        <v>32</v>
      </c>
      <c r="F636" s="321">
        <v>102</v>
      </c>
      <c r="G636" s="321">
        <v>1132.2</v>
      </c>
      <c r="H636" s="321">
        <v>660.81</v>
      </c>
      <c r="I636" s="321" t="s">
        <v>30</v>
      </c>
      <c r="J636" s="321" t="s">
        <v>19</v>
      </c>
      <c r="K636" s="224">
        <f>H636/F636</f>
        <v>6.478529411764705</v>
      </c>
    </row>
    <row r="637" spans="1:13">
      <c r="A637" s="321">
        <v>1</v>
      </c>
      <c r="B637" s="321" t="s">
        <v>482</v>
      </c>
      <c r="C637" s="321" t="s">
        <v>483</v>
      </c>
      <c r="D637" s="321" t="s">
        <v>43</v>
      </c>
      <c r="E637" s="321"/>
      <c r="F637" s="405">
        <v>36.799999999999997</v>
      </c>
      <c r="G637" s="405">
        <v>36.799999999999997</v>
      </c>
      <c r="H637" s="405">
        <v>1353.24</v>
      </c>
      <c r="I637" s="321" t="s">
        <v>44</v>
      </c>
      <c r="J637" s="321" t="s">
        <v>23</v>
      </c>
      <c r="K637" s="224">
        <f>H637/F637</f>
        <v>36.772826086956528</v>
      </c>
    </row>
    <row r="638" spans="1:13" ht="12.75" customHeight="1">
      <c r="A638" s="321">
        <v>211</v>
      </c>
      <c r="B638" s="321">
        <v>4116</v>
      </c>
      <c r="C638" s="321" t="s">
        <v>2828</v>
      </c>
      <c r="D638" s="321" t="s">
        <v>16</v>
      </c>
      <c r="E638" s="321" t="s">
        <v>88</v>
      </c>
      <c r="F638" s="321">
        <v>-3</v>
      </c>
      <c r="G638" s="321">
        <v>-2.4300000000000002</v>
      </c>
      <c r="H638" s="405">
        <v>-1.62</v>
      </c>
      <c r="I638" s="321" t="s">
        <v>30</v>
      </c>
      <c r="J638" s="321" t="s">
        <v>19</v>
      </c>
      <c r="K638" s="224">
        <f>H638/F638</f>
        <v>0.54</v>
      </c>
    </row>
    <row r="639" spans="1:13">
      <c r="A639" s="321">
        <v>88</v>
      </c>
      <c r="B639" s="321" t="s">
        <v>519</v>
      </c>
      <c r="C639" s="321" t="s">
        <v>520</v>
      </c>
      <c r="D639" s="321" t="s">
        <v>16</v>
      </c>
      <c r="E639" s="321" t="s">
        <v>521</v>
      </c>
      <c r="F639" s="405">
        <v>0</v>
      </c>
      <c r="G639" s="405">
        <v>0</v>
      </c>
      <c r="H639" s="405">
        <v>0</v>
      </c>
      <c r="I639" s="321" t="s">
        <v>18</v>
      </c>
      <c r="J639" s="321" t="s">
        <v>23</v>
      </c>
      <c r="K639" s="224" t="e">
        <f>H639/F639</f>
        <v>#DIV/0!</v>
      </c>
    </row>
    <row r="640" spans="1:13">
      <c r="A640" s="321">
        <v>11</v>
      </c>
      <c r="B640" s="321" t="s">
        <v>517</v>
      </c>
      <c r="C640" s="321" t="s">
        <v>518</v>
      </c>
      <c r="D640" s="321" t="s">
        <v>16</v>
      </c>
      <c r="E640" s="321" t="s">
        <v>22</v>
      </c>
      <c r="F640" s="321">
        <v>70000</v>
      </c>
      <c r="G640" s="321">
        <v>7</v>
      </c>
      <c r="H640" s="321">
        <v>938</v>
      </c>
      <c r="I640" s="321" t="s">
        <v>18</v>
      </c>
      <c r="J640" s="321" t="s">
        <v>23</v>
      </c>
      <c r="K640" s="224">
        <f>H640/F640</f>
        <v>1.34E-2</v>
      </c>
    </row>
    <row r="641" spans="1:13" ht="12.75" customHeight="1">
      <c r="A641" s="321">
        <v>201</v>
      </c>
      <c r="B641" s="321" t="s">
        <v>524</v>
      </c>
      <c r="C641" s="321" t="s">
        <v>525</v>
      </c>
      <c r="D641" s="321" t="s">
        <v>16</v>
      </c>
      <c r="E641" s="321" t="s">
        <v>22</v>
      </c>
      <c r="F641" s="321">
        <v>56075</v>
      </c>
      <c r="G641" s="321">
        <v>5.61</v>
      </c>
      <c r="H641" s="321">
        <v>728.98</v>
      </c>
      <c r="I641" s="321" t="s">
        <v>18</v>
      </c>
      <c r="J641" s="321" t="s">
        <v>59</v>
      </c>
      <c r="K641" s="224">
        <f>H641/F641</f>
        <v>1.300008916629514E-2</v>
      </c>
    </row>
    <row r="642" spans="1:13" ht="15">
      <c r="A642" s="321">
        <v>201</v>
      </c>
      <c r="B642" s="321">
        <v>4143</v>
      </c>
      <c r="C642" s="321" t="s">
        <v>553</v>
      </c>
      <c r="D642" s="321" t="s">
        <v>28</v>
      </c>
      <c r="E642" s="321" t="s">
        <v>32</v>
      </c>
      <c r="F642" s="321">
        <v>3</v>
      </c>
      <c r="G642" s="321">
        <v>82.77</v>
      </c>
      <c r="H642" s="405">
        <v>41.9</v>
      </c>
      <c r="I642" s="321" t="s">
        <v>30</v>
      </c>
      <c r="J642" s="321" t="s">
        <v>59</v>
      </c>
      <c r="K642" s="224">
        <f>H642/F642</f>
        <v>13.966666666666667</v>
      </c>
      <c r="M642" s="215"/>
    </row>
    <row r="643" spans="1:13" ht="12.75" customHeight="1">
      <c r="A643" s="321">
        <v>201</v>
      </c>
      <c r="B643" s="321" t="s">
        <v>526</v>
      </c>
      <c r="C643" s="321" t="s">
        <v>527</v>
      </c>
      <c r="D643" s="321" t="s">
        <v>16</v>
      </c>
      <c r="E643" s="321" t="s">
        <v>17</v>
      </c>
      <c r="F643" s="405">
        <v>577</v>
      </c>
      <c r="G643" s="405">
        <v>577</v>
      </c>
      <c r="H643" s="405">
        <v>467.43</v>
      </c>
      <c r="I643" s="321" t="s">
        <v>18</v>
      </c>
      <c r="J643" s="321" t="s">
        <v>19</v>
      </c>
      <c r="K643" s="224">
        <f>H643/F643</f>
        <v>0.81010398613518197</v>
      </c>
    </row>
    <row r="644" spans="1:13" ht="15">
      <c r="A644" s="321">
        <v>1</v>
      </c>
      <c r="B644" s="321" t="s">
        <v>526</v>
      </c>
      <c r="C644" s="321" t="s">
        <v>527</v>
      </c>
      <c r="D644" s="321" t="s">
        <v>16</v>
      </c>
      <c r="E644" s="321" t="s">
        <v>17</v>
      </c>
      <c r="F644" s="405">
        <v>10691</v>
      </c>
      <c r="G644" s="405">
        <v>10691</v>
      </c>
      <c r="H644" s="405">
        <v>7020.85</v>
      </c>
      <c r="I644" s="321" t="s">
        <v>18</v>
      </c>
      <c r="J644" s="321" t="s">
        <v>23</v>
      </c>
      <c r="K644" s="224">
        <f>H644/F644</f>
        <v>0.65670657562435697</v>
      </c>
      <c r="M644" s="215"/>
    </row>
    <row r="645" spans="1:13" ht="12.75" customHeight="1">
      <c r="A645" s="321">
        <v>1</v>
      </c>
      <c r="B645" s="321">
        <v>7900</v>
      </c>
      <c r="C645" s="321" t="s">
        <v>528</v>
      </c>
      <c r="D645" s="321" t="s">
        <v>43</v>
      </c>
      <c r="E645" s="321" t="s">
        <v>88</v>
      </c>
      <c r="F645" s="405">
        <v>388</v>
      </c>
      <c r="G645" s="405">
        <v>388</v>
      </c>
      <c r="H645" s="405">
        <v>59.25</v>
      </c>
      <c r="I645" s="321" t="s">
        <v>30</v>
      </c>
      <c r="J645" s="321" t="s">
        <v>23</v>
      </c>
      <c r="K645" s="224">
        <f>H645/F645</f>
        <v>0.15270618556701032</v>
      </c>
    </row>
    <row r="646" spans="1:13" ht="12.75" customHeight="1">
      <c r="A646" s="321">
        <v>201</v>
      </c>
      <c r="B646" s="321" t="s">
        <v>49</v>
      </c>
      <c r="C646" s="321" t="s">
        <v>50</v>
      </c>
      <c r="D646" s="321" t="s">
        <v>43</v>
      </c>
      <c r="E646" s="321"/>
      <c r="F646" s="405">
        <v>20.5</v>
      </c>
      <c r="G646" s="405">
        <v>20.5</v>
      </c>
      <c r="H646" s="405">
        <v>62.6</v>
      </c>
      <c r="I646" s="321" t="s">
        <v>44</v>
      </c>
      <c r="J646" s="321" t="s">
        <v>19</v>
      </c>
      <c r="K646" s="224">
        <f>H646/F646</f>
        <v>3.0536585365853659</v>
      </c>
      <c r="L646" s="215"/>
    </row>
    <row r="647" spans="1:13" ht="12.75" customHeight="1">
      <c r="A647" s="321">
        <v>11</v>
      </c>
      <c r="B647" s="321" t="s">
        <v>526</v>
      </c>
      <c r="C647" s="321" t="s">
        <v>527</v>
      </c>
      <c r="D647" s="321" t="s">
        <v>16</v>
      </c>
      <c r="E647" s="321" t="s">
        <v>17</v>
      </c>
      <c r="F647" s="321">
        <v>8250</v>
      </c>
      <c r="G647" s="321">
        <v>8250</v>
      </c>
      <c r="H647" s="405">
        <v>5420.25</v>
      </c>
      <c r="I647" s="321" t="s">
        <v>18</v>
      </c>
      <c r="J647" s="321" t="s">
        <v>23</v>
      </c>
      <c r="K647" s="224">
        <f>H647/F647</f>
        <v>0.65700000000000003</v>
      </c>
    </row>
    <row r="648" spans="1:13">
      <c r="A648" s="321">
        <v>201</v>
      </c>
      <c r="B648" s="321" t="s">
        <v>530</v>
      </c>
      <c r="C648" s="321" t="s">
        <v>531</v>
      </c>
      <c r="D648" s="321" t="s">
        <v>43</v>
      </c>
      <c r="E648" s="321"/>
      <c r="F648" s="321">
        <v>110</v>
      </c>
      <c r="G648" s="321">
        <v>110</v>
      </c>
      <c r="H648" s="321">
        <v>1490.48</v>
      </c>
      <c r="I648" s="321" t="s">
        <v>44</v>
      </c>
      <c r="J648" s="321" t="s">
        <v>19</v>
      </c>
      <c r="K648" s="224">
        <f>H648/F648</f>
        <v>13.549818181818182</v>
      </c>
    </row>
    <row r="649" spans="1:13" ht="12.75" customHeight="1">
      <c r="A649" s="321">
        <v>11</v>
      </c>
      <c r="B649" s="321">
        <v>198</v>
      </c>
      <c r="C649" s="321" t="s">
        <v>511</v>
      </c>
      <c r="D649" s="321" t="s">
        <v>28</v>
      </c>
      <c r="E649" s="321" t="s">
        <v>56</v>
      </c>
      <c r="F649" s="321">
        <v>116</v>
      </c>
      <c r="G649" s="321">
        <v>1878.04</v>
      </c>
      <c r="H649" s="321">
        <v>1076.48</v>
      </c>
      <c r="I649" s="321" t="s">
        <v>30</v>
      </c>
      <c r="J649" s="321" t="s">
        <v>23</v>
      </c>
      <c r="K649" s="224">
        <f>H649/F649</f>
        <v>9.2799999999999994</v>
      </c>
    </row>
    <row r="650" spans="1:13" ht="12.75" customHeight="1">
      <c r="A650" s="321">
        <v>1</v>
      </c>
      <c r="B650" s="321" t="s">
        <v>519</v>
      </c>
      <c r="C650" s="321" t="s">
        <v>520</v>
      </c>
      <c r="D650" s="321" t="s">
        <v>16</v>
      </c>
      <c r="E650" s="321" t="s">
        <v>521</v>
      </c>
      <c r="F650" s="321">
        <v>3152</v>
      </c>
      <c r="G650" s="321">
        <v>229.47</v>
      </c>
      <c r="H650" s="321">
        <v>719.55</v>
      </c>
      <c r="I650" s="321" t="s">
        <v>18</v>
      </c>
      <c r="J650" s="321" t="s">
        <v>23</v>
      </c>
      <c r="K650" s="224">
        <f>H650/F650</f>
        <v>0.22828362944162436</v>
      </c>
    </row>
    <row r="651" spans="1:13" ht="12.75" customHeight="1">
      <c r="A651" s="321">
        <v>11</v>
      </c>
      <c r="B651" s="321" t="s">
        <v>524</v>
      </c>
      <c r="C651" s="321" t="s">
        <v>525</v>
      </c>
      <c r="D651" s="321" t="s">
        <v>16</v>
      </c>
      <c r="E651" s="321" t="s">
        <v>22</v>
      </c>
      <c r="F651" s="321">
        <v>80000</v>
      </c>
      <c r="G651" s="321">
        <v>8</v>
      </c>
      <c r="H651" s="321">
        <v>1040</v>
      </c>
      <c r="I651" s="321" t="s">
        <v>18</v>
      </c>
      <c r="J651" s="321" t="s">
        <v>59</v>
      </c>
      <c r="K651" s="224">
        <f>H651/F651</f>
        <v>1.2999999999999999E-2</v>
      </c>
    </row>
    <row r="652" spans="1:13" ht="12.75" customHeight="1">
      <c r="A652" s="321">
        <v>11</v>
      </c>
      <c r="B652" s="321">
        <v>4502</v>
      </c>
      <c r="C652" s="321" t="s">
        <v>89</v>
      </c>
      <c r="D652" s="321" t="s">
        <v>28</v>
      </c>
      <c r="E652" s="321" t="s">
        <v>29</v>
      </c>
      <c r="F652" s="321">
        <v>2719</v>
      </c>
      <c r="G652" s="321">
        <v>98971.6</v>
      </c>
      <c r="H652" s="321">
        <v>41752.379999999997</v>
      </c>
      <c r="I652" s="321" t="s">
        <v>30</v>
      </c>
      <c r="J652" s="321" t="s">
        <v>23</v>
      </c>
      <c r="K652" s="224">
        <f>H652/F652</f>
        <v>15.355785215152629</v>
      </c>
    </row>
    <row r="653" spans="1:13" ht="12.75" customHeight="1">
      <c r="A653" s="321">
        <v>11</v>
      </c>
      <c r="B653" s="321">
        <v>5315</v>
      </c>
      <c r="C653" s="321" t="s">
        <v>508</v>
      </c>
      <c r="D653" s="321" t="s">
        <v>16</v>
      </c>
      <c r="E653" s="321" t="s">
        <v>88</v>
      </c>
      <c r="F653" s="405">
        <v>-3</v>
      </c>
      <c r="G653" s="405">
        <v>-13.5</v>
      </c>
      <c r="H653" s="405">
        <v>-4.49</v>
      </c>
      <c r="I653" s="321" t="s">
        <v>30</v>
      </c>
      <c r="J653" s="321" t="s">
        <v>23</v>
      </c>
      <c r="K653" s="224">
        <f>H653/F653</f>
        <v>1.4966666666666668</v>
      </c>
    </row>
    <row r="654" spans="1:13">
      <c r="A654" s="321">
        <v>223</v>
      </c>
      <c r="B654" s="321" t="s">
        <v>2839</v>
      </c>
      <c r="C654" s="321" t="s">
        <v>2861</v>
      </c>
      <c r="D654" s="321" t="s">
        <v>16</v>
      </c>
      <c r="E654" s="321" t="s">
        <v>22</v>
      </c>
      <c r="F654" s="321">
        <v>15000</v>
      </c>
      <c r="G654" s="321">
        <v>1.5</v>
      </c>
      <c r="H654" s="321">
        <v>205.5</v>
      </c>
      <c r="I654" s="321" t="s">
        <v>18</v>
      </c>
      <c r="J654" s="321" t="s">
        <v>19</v>
      </c>
      <c r="K654" s="224">
        <f>H654/F654</f>
        <v>1.37E-2</v>
      </c>
    </row>
    <row r="655" spans="1:13" ht="12.75" customHeight="1">
      <c r="A655" s="321">
        <v>288</v>
      </c>
      <c r="B655" s="321" t="s">
        <v>519</v>
      </c>
      <c r="C655" s="321" t="s">
        <v>520</v>
      </c>
      <c r="D655" s="321" t="s">
        <v>16</v>
      </c>
      <c r="E655" s="321" t="s">
        <v>521</v>
      </c>
      <c r="F655" s="321">
        <v>0</v>
      </c>
      <c r="G655" s="321">
        <v>0</v>
      </c>
      <c r="H655" s="321">
        <v>3.71</v>
      </c>
      <c r="I655" s="321" t="s">
        <v>18</v>
      </c>
      <c r="J655" s="321" t="s">
        <v>19</v>
      </c>
      <c r="K655" s="224" t="e">
        <f>H655/F655</f>
        <v>#DIV/0!</v>
      </c>
    </row>
    <row r="656" spans="1:13">
      <c r="A656" s="321">
        <v>201</v>
      </c>
      <c r="B656" s="321" t="s">
        <v>533</v>
      </c>
      <c r="C656" s="321" t="s">
        <v>534</v>
      </c>
      <c r="D656" s="321" t="s">
        <v>43</v>
      </c>
      <c r="E656" s="321"/>
      <c r="F656" s="405">
        <v>342.35</v>
      </c>
      <c r="G656" s="405">
        <v>342.35</v>
      </c>
      <c r="H656" s="405">
        <v>1934.27</v>
      </c>
      <c r="I656" s="321" t="s">
        <v>44</v>
      </c>
      <c r="J656" s="321" t="s">
        <v>19</v>
      </c>
      <c r="K656" s="224">
        <f>H656/F656</f>
        <v>5.6499780925952967</v>
      </c>
    </row>
    <row r="657" spans="1:12">
      <c r="A657" s="321">
        <v>201</v>
      </c>
      <c r="B657" s="321" t="s">
        <v>537</v>
      </c>
      <c r="C657" s="321" t="s">
        <v>2758</v>
      </c>
      <c r="D657" s="321" t="s">
        <v>34</v>
      </c>
      <c r="E657" s="321" t="s">
        <v>198</v>
      </c>
      <c r="F657" s="405">
        <v>405</v>
      </c>
      <c r="G657" s="321">
        <v>3604.5</v>
      </c>
      <c r="H657" s="321">
        <v>1591.25</v>
      </c>
      <c r="I657" s="321" t="s">
        <v>35</v>
      </c>
      <c r="J657" s="321" t="s">
        <v>19</v>
      </c>
      <c r="K657" s="224">
        <f>H657/F657</f>
        <v>3.9290123456790123</v>
      </c>
    </row>
    <row r="658" spans="1:12" ht="12.75" customHeight="1">
      <c r="A658">
        <v>1</v>
      </c>
      <c r="B658" s="239" t="s">
        <v>524</v>
      </c>
      <c r="C658" s="230" t="s">
        <v>525</v>
      </c>
      <c r="D658" t="s">
        <v>16</v>
      </c>
      <c r="E658" t="s">
        <v>22</v>
      </c>
      <c r="F658" s="230">
        <v>4234</v>
      </c>
      <c r="G658" s="224">
        <v>0.42</v>
      </c>
      <c r="H658" s="230">
        <v>55.04</v>
      </c>
      <c r="I658" t="s">
        <v>18</v>
      </c>
      <c r="J658" t="s">
        <v>59</v>
      </c>
      <c r="K658" s="224">
        <f>H658/F658</f>
        <v>1.2999527633443551E-2</v>
      </c>
    </row>
    <row r="659" spans="1:12" ht="12.75" customHeight="1">
      <c r="A659">
        <v>1</v>
      </c>
      <c r="B659" s="239" t="s">
        <v>251</v>
      </c>
      <c r="C659" s="230" t="s">
        <v>252</v>
      </c>
      <c r="D659" t="s">
        <v>34</v>
      </c>
      <c r="E659" t="s">
        <v>146</v>
      </c>
      <c r="F659" s="230">
        <v>959</v>
      </c>
      <c r="G659" s="224">
        <v>8535.1</v>
      </c>
      <c r="H659" s="230">
        <v>6137.6</v>
      </c>
      <c r="I659" t="s">
        <v>35</v>
      </c>
      <c r="J659" t="s">
        <v>23</v>
      </c>
      <c r="K659" s="224">
        <f>H659/F659</f>
        <v>6.4</v>
      </c>
    </row>
    <row r="660" spans="1:12" ht="12.75" customHeight="1">
      <c r="A660" s="321">
        <v>1</v>
      </c>
      <c r="B660" s="239" t="s">
        <v>49</v>
      </c>
      <c r="C660" s="230" t="s">
        <v>50</v>
      </c>
      <c r="D660" t="s">
        <v>43</v>
      </c>
      <c r="F660" s="230">
        <v>38.6</v>
      </c>
      <c r="G660" s="224">
        <v>38.6</v>
      </c>
      <c r="H660" s="230">
        <v>104.72</v>
      </c>
      <c r="I660" t="s">
        <v>44</v>
      </c>
      <c r="J660" t="s">
        <v>23</v>
      </c>
      <c r="K660" s="224">
        <f>H660/F660</f>
        <v>2.7129533678756474</v>
      </c>
    </row>
    <row r="661" spans="1:12" ht="12.75" customHeight="1">
      <c r="A661" s="321">
        <v>11</v>
      </c>
      <c r="B661" s="321" t="s">
        <v>535</v>
      </c>
      <c r="C661" s="321" t="s">
        <v>536</v>
      </c>
      <c r="D661" s="321" t="s">
        <v>16</v>
      </c>
      <c r="E661" s="321" t="s">
        <v>17</v>
      </c>
      <c r="F661" s="405">
        <v>3500</v>
      </c>
      <c r="G661" s="321">
        <v>3500</v>
      </c>
      <c r="H661" s="405">
        <v>2352.6999999999998</v>
      </c>
      <c r="I661" s="321" t="s">
        <v>18</v>
      </c>
      <c r="J661" s="321" t="s">
        <v>23</v>
      </c>
      <c r="K661" s="224">
        <f>H661/F661</f>
        <v>0.67219999999999991</v>
      </c>
      <c r="L661" s="215"/>
    </row>
    <row r="662" spans="1:12" ht="12.75" customHeight="1">
      <c r="A662" s="321">
        <v>1</v>
      </c>
      <c r="B662" s="321" t="s">
        <v>537</v>
      </c>
      <c r="C662" s="321" t="s">
        <v>2758</v>
      </c>
      <c r="D662" s="321" t="s">
        <v>34</v>
      </c>
      <c r="E662" s="321" t="s">
        <v>198</v>
      </c>
      <c r="F662" s="405">
        <v>339</v>
      </c>
      <c r="G662" s="321">
        <v>3017.1</v>
      </c>
      <c r="H662" s="405">
        <v>1816.72</v>
      </c>
      <c r="I662" s="321" t="s">
        <v>35</v>
      </c>
      <c r="J662" s="321" t="s">
        <v>23</v>
      </c>
      <c r="K662" s="224">
        <f>H662/F662</f>
        <v>5.3590560471976403</v>
      </c>
    </row>
    <row r="663" spans="1:12" ht="12.75" customHeight="1">
      <c r="A663" s="321">
        <v>201</v>
      </c>
      <c r="B663" s="321" t="s">
        <v>538</v>
      </c>
      <c r="C663" s="321" t="s">
        <v>539</v>
      </c>
      <c r="D663" s="321" t="s">
        <v>16</v>
      </c>
      <c r="E663" s="321" t="s">
        <v>22</v>
      </c>
      <c r="F663" s="405">
        <v>32901</v>
      </c>
      <c r="G663" s="321">
        <v>3.29</v>
      </c>
      <c r="H663" s="405">
        <v>384.94</v>
      </c>
      <c r="I663" s="321" t="s">
        <v>18</v>
      </c>
      <c r="J663" s="321" t="s">
        <v>19</v>
      </c>
      <c r="K663" s="224">
        <f>H663/F663</f>
        <v>1.1699948329837999E-2</v>
      </c>
    </row>
    <row r="664" spans="1:12" ht="12.75" customHeight="1">
      <c r="A664" s="321">
        <v>88</v>
      </c>
      <c r="B664" s="321" t="s">
        <v>537</v>
      </c>
      <c r="C664" s="321" t="s">
        <v>2758</v>
      </c>
      <c r="D664" s="321" t="s">
        <v>34</v>
      </c>
      <c r="E664" s="321" t="s">
        <v>198</v>
      </c>
      <c r="F664" s="405">
        <v>1209</v>
      </c>
      <c r="G664" s="321">
        <v>10760.1</v>
      </c>
      <c r="H664" s="405">
        <v>2435.5700000000002</v>
      </c>
      <c r="I664" s="321" t="s">
        <v>35</v>
      </c>
      <c r="J664" s="321" t="s">
        <v>23</v>
      </c>
      <c r="K664" s="224">
        <f>H664/F664</f>
        <v>2.0145326716294458</v>
      </c>
    </row>
    <row r="665" spans="1:12" ht="12.75" customHeight="1">
      <c r="A665" s="321">
        <v>288</v>
      </c>
      <c r="B665" s="321" t="s">
        <v>526</v>
      </c>
      <c r="C665" s="321" t="s">
        <v>527</v>
      </c>
      <c r="D665" s="321" t="s">
        <v>16</v>
      </c>
      <c r="E665" s="321" t="s">
        <v>17</v>
      </c>
      <c r="F665" s="405">
        <v>0</v>
      </c>
      <c r="G665" s="405">
        <v>0</v>
      </c>
      <c r="H665" s="405">
        <v>-0.06</v>
      </c>
      <c r="I665" s="321" t="s">
        <v>18</v>
      </c>
      <c r="J665" s="321" t="s">
        <v>19</v>
      </c>
      <c r="K665" s="224" t="e">
        <f>H665/F665</f>
        <v>#DIV/0!</v>
      </c>
    </row>
    <row r="666" spans="1:12" ht="12.75" customHeight="1">
      <c r="A666" s="321">
        <v>1</v>
      </c>
      <c r="B666" s="321" t="s">
        <v>532</v>
      </c>
      <c r="C666" s="321" t="s">
        <v>422</v>
      </c>
      <c r="D666" s="321" t="s">
        <v>16</v>
      </c>
      <c r="E666" s="321" t="s">
        <v>17</v>
      </c>
      <c r="F666" s="321">
        <v>194</v>
      </c>
      <c r="G666" s="321">
        <v>194</v>
      </c>
      <c r="H666" s="321">
        <v>138.28</v>
      </c>
      <c r="I666" s="321" t="s">
        <v>18</v>
      </c>
      <c r="J666" s="321" t="s">
        <v>23</v>
      </c>
      <c r="K666" s="224">
        <f>H666/F666</f>
        <v>0.71278350515463917</v>
      </c>
    </row>
    <row r="667" spans="1:12" ht="12.75" customHeight="1">
      <c r="A667" s="321">
        <v>11</v>
      </c>
      <c r="B667" s="321" t="s">
        <v>456</v>
      </c>
      <c r="C667" s="321" t="s">
        <v>457</v>
      </c>
      <c r="D667" s="321" t="s">
        <v>16</v>
      </c>
      <c r="E667" s="321" t="s">
        <v>458</v>
      </c>
      <c r="F667" s="405">
        <v>78336</v>
      </c>
      <c r="G667" s="321">
        <v>11225.55</v>
      </c>
      <c r="H667" s="321">
        <v>27871.95</v>
      </c>
      <c r="I667" s="321" t="s">
        <v>18</v>
      </c>
      <c r="J667" s="321" t="s">
        <v>23</v>
      </c>
      <c r="K667" s="224">
        <f>H667/F667</f>
        <v>0.35580001531862748</v>
      </c>
    </row>
    <row r="668" spans="1:12" ht="12.75" customHeight="1">
      <c r="A668" s="321">
        <v>11</v>
      </c>
      <c r="B668" s="321" t="s">
        <v>538</v>
      </c>
      <c r="C668" s="321" t="s">
        <v>539</v>
      </c>
      <c r="D668" s="321" t="s">
        <v>16</v>
      </c>
      <c r="E668" s="321" t="s">
        <v>22</v>
      </c>
      <c r="F668" s="405">
        <v>160000</v>
      </c>
      <c r="G668" s="321">
        <v>16</v>
      </c>
      <c r="H668" s="405">
        <v>1872</v>
      </c>
      <c r="I668" s="321" t="s">
        <v>18</v>
      </c>
      <c r="J668" s="321" t="s">
        <v>23</v>
      </c>
      <c r="K668" s="224">
        <f>H668/F668</f>
        <v>1.17E-2</v>
      </c>
      <c r="L668" s="215"/>
    </row>
    <row r="669" spans="1:12" ht="12.75" customHeight="1">
      <c r="A669" s="321">
        <v>201</v>
      </c>
      <c r="B669" s="321" t="s">
        <v>2839</v>
      </c>
      <c r="C669" s="321" t="s">
        <v>2861</v>
      </c>
      <c r="D669" s="321" t="s">
        <v>16</v>
      </c>
      <c r="E669" s="321" t="s">
        <v>22</v>
      </c>
      <c r="F669" s="405">
        <v>36873</v>
      </c>
      <c r="G669" s="321">
        <v>3.69</v>
      </c>
      <c r="H669" s="405">
        <v>505.16</v>
      </c>
      <c r="I669" s="321" t="s">
        <v>18</v>
      </c>
      <c r="J669" s="321" t="s">
        <v>19</v>
      </c>
      <c r="K669" s="224">
        <f>H669/F669</f>
        <v>1.3699997287988501E-2</v>
      </c>
    </row>
    <row r="670" spans="1:12" ht="12.75" customHeight="1">
      <c r="A670" s="321">
        <v>88</v>
      </c>
      <c r="B670" s="321" t="s">
        <v>170</v>
      </c>
      <c r="C670" s="321" t="s">
        <v>2751</v>
      </c>
      <c r="D670" s="321" t="s">
        <v>43</v>
      </c>
      <c r="E670" s="321"/>
      <c r="F670" s="405">
        <v>-9218</v>
      </c>
      <c r="G670" s="321">
        <v>-9218</v>
      </c>
      <c r="H670" s="405">
        <v>-5352.89</v>
      </c>
      <c r="I670" s="321" t="s">
        <v>44</v>
      </c>
      <c r="J670" s="321" t="s">
        <v>23</v>
      </c>
      <c r="K670" s="224">
        <f>H670/F670</f>
        <v>0.58069971794315478</v>
      </c>
    </row>
    <row r="671" spans="1:12">
      <c r="A671" s="321">
        <v>1</v>
      </c>
      <c r="B671" s="321" t="s">
        <v>538</v>
      </c>
      <c r="C671" s="321" t="s">
        <v>539</v>
      </c>
      <c r="D671" s="321" t="s">
        <v>16</v>
      </c>
      <c r="E671" s="321" t="s">
        <v>22</v>
      </c>
      <c r="F671" s="405">
        <v>10501</v>
      </c>
      <c r="G671" s="321">
        <v>1.05</v>
      </c>
      <c r="H671" s="321">
        <v>122.86</v>
      </c>
      <c r="I671" s="321" t="s">
        <v>18</v>
      </c>
      <c r="J671" s="321" t="s">
        <v>23</v>
      </c>
      <c r="K671" s="224">
        <f>H671/F671</f>
        <v>1.1699838110656127E-2</v>
      </c>
    </row>
    <row r="672" spans="1:12">
      <c r="A672" s="321">
        <v>11</v>
      </c>
      <c r="B672" s="321" t="s">
        <v>540</v>
      </c>
      <c r="C672" s="321" t="s">
        <v>541</v>
      </c>
      <c r="D672" s="321" t="s">
        <v>16</v>
      </c>
      <c r="E672" s="321" t="s">
        <v>17</v>
      </c>
      <c r="F672" s="405">
        <v>4935</v>
      </c>
      <c r="G672" s="321">
        <v>4935</v>
      </c>
      <c r="H672" s="405">
        <v>2760.64</v>
      </c>
      <c r="I672" s="321" t="s">
        <v>18</v>
      </c>
      <c r="J672" s="321" t="s">
        <v>23</v>
      </c>
      <c r="K672" s="224">
        <f>H672/F672</f>
        <v>0.55940020263424517</v>
      </c>
    </row>
    <row r="673" spans="1:12" ht="12.75" customHeight="1">
      <c r="A673" s="321">
        <v>201</v>
      </c>
      <c r="B673" s="321" t="s">
        <v>542</v>
      </c>
      <c r="C673" s="321" t="s">
        <v>543</v>
      </c>
      <c r="D673" s="321" t="s">
        <v>16</v>
      </c>
      <c r="E673" s="321" t="s">
        <v>22</v>
      </c>
      <c r="F673" s="405">
        <v>148008</v>
      </c>
      <c r="G673" s="321">
        <v>14.8</v>
      </c>
      <c r="H673" s="405">
        <v>1050.8599999999999</v>
      </c>
      <c r="I673" s="321" t="s">
        <v>18</v>
      </c>
      <c r="J673" s="321" t="s">
        <v>19</v>
      </c>
      <c r="K673" s="224">
        <f>H673/F673</f>
        <v>7.1000216204529475E-3</v>
      </c>
    </row>
    <row r="674" spans="1:12">
      <c r="A674" s="321">
        <v>1</v>
      </c>
      <c r="B674" s="321" t="s">
        <v>544</v>
      </c>
      <c r="C674" s="321" t="s">
        <v>545</v>
      </c>
      <c r="D674" s="321" t="s">
        <v>16</v>
      </c>
      <c r="E674" s="321" t="s">
        <v>22</v>
      </c>
      <c r="F674" s="405">
        <v>13190</v>
      </c>
      <c r="G674" s="321">
        <v>1.32</v>
      </c>
      <c r="H674" s="321">
        <v>203.13</v>
      </c>
      <c r="I674" s="321" t="s">
        <v>18</v>
      </c>
      <c r="J674" s="321" t="s">
        <v>23</v>
      </c>
      <c r="K674" s="224">
        <f>H674/F674</f>
        <v>1.5400303260045489E-2</v>
      </c>
    </row>
    <row r="675" spans="1:12" ht="12.75" customHeight="1">
      <c r="A675" s="321">
        <v>11</v>
      </c>
      <c r="B675" s="321">
        <v>4516</v>
      </c>
      <c r="C675" s="321" t="s">
        <v>116</v>
      </c>
      <c r="D675" s="321" t="s">
        <v>28</v>
      </c>
      <c r="E675" s="321" t="s">
        <v>56</v>
      </c>
      <c r="F675" s="405">
        <v>2173</v>
      </c>
      <c r="G675" s="321">
        <v>29878.75</v>
      </c>
      <c r="H675" s="405">
        <v>14263.79</v>
      </c>
      <c r="I675" s="321" t="s">
        <v>30</v>
      </c>
      <c r="J675" s="321" t="s">
        <v>23</v>
      </c>
      <c r="K675" s="224">
        <f>H675/F675</f>
        <v>6.5641003221352969</v>
      </c>
      <c r="L675" s="215"/>
    </row>
    <row r="676" spans="1:12" ht="12.75" customHeight="1">
      <c r="A676" s="321">
        <v>11</v>
      </c>
      <c r="B676" s="321" t="s">
        <v>537</v>
      </c>
      <c r="C676" s="321" t="s">
        <v>2758</v>
      </c>
      <c r="D676" s="321" t="s">
        <v>34</v>
      </c>
      <c r="E676" s="321" t="s">
        <v>198</v>
      </c>
      <c r="F676" s="405">
        <v>181915</v>
      </c>
      <c r="G676" s="405">
        <v>1619043.5</v>
      </c>
      <c r="H676" s="405">
        <v>768190.64</v>
      </c>
      <c r="I676" s="321" t="s">
        <v>35</v>
      </c>
      <c r="J676" s="321" t="s">
        <v>23</v>
      </c>
      <c r="K676" s="224">
        <f>H676/F676</f>
        <v>4.2227998790643984</v>
      </c>
    </row>
    <row r="677" spans="1:12" ht="12.75" customHeight="1">
      <c r="A677" s="321">
        <v>88</v>
      </c>
      <c r="B677" s="321" t="s">
        <v>526</v>
      </c>
      <c r="C677" s="321" t="s">
        <v>527</v>
      </c>
      <c r="D677" s="321" t="s">
        <v>16</v>
      </c>
      <c r="E677" s="321" t="s">
        <v>17</v>
      </c>
      <c r="F677" s="405">
        <v>61</v>
      </c>
      <c r="G677" s="321">
        <v>61</v>
      </c>
      <c r="H677" s="405">
        <v>40.06</v>
      </c>
      <c r="I677" s="321" t="s">
        <v>18</v>
      </c>
      <c r="J677" s="321" t="s">
        <v>23</v>
      </c>
      <c r="K677" s="224">
        <f>H677/F677</f>
        <v>0.65672131147540991</v>
      </c>
    </row>
    <row r="678" spans="1:12">
      <c r="A678" s="321">
        <v>11</v>
      </c>
      <c r="B678" s="321">
        <v>5170</v>
      </c>
      <c r="C678" s="321" t="s">
        <v>548</v>
      </c>
      <c r="D678" s="321" t="s">
        <v>28</v>
      </c>
      <c r="E678" s="321" t="s">
        <v>29</v>
      </c>
      <c r="F678" s="405">
        <v>166</v>
      </c>
      <c r="G678" s="321">
        <v>6962.04</v>
      </c>
      <c r="H678" s="321">
        <v>3553.81</v>
      </c>
      <c r="I678" s="321" t="s">
        <v>30</v>
      </c>
      <c r="J678" s="321" t="s">
        <v>59</v>
      </c>
      <c r="K678" s="224">
        <f>H678/F678</f>
        <v>21.408493975903614</v>
      </c>
    </row>
    <row r="679" spans="1:12" ht="12.75" customHeight="1">
      <c r="A679" s="321">
        <v>201</v>
      </c>
      <c r="B679" s="321" t="s">
        <v>546</v>
      </c>
      <c r="C679" s="321" t="s">
        <v>547</v>
      </c>
      <c r="D679" s="321" t="s">
        <v>16</v>
      </c>
      <c r="E679" s="321" t="s">
        <v>22</v>
      </c>
      <c r="F679" s="405">
        <v>15277</v>
      </c>
      <c r="G679" s="321">
        <v>1.53</v>
      </c>
      <c r="H679" s="405">
        <v>204.71</v>
      </c>
      <c r="I679" s="321" t="s">
        <v>18</v>
      </c>
      <c r="J679" s="321" t="s">
        <v>19</v>
      </c>
      <c r="K679" s="224">
        <f>H679/F679</f>
        <v>1.3399882175819861E-2</v>
      </c>
    </row>
    <row r="680" spans="1:12">
      <c r="A680" s="321">
        <v>211</v>
      </c>
      <c r="B680" s="321">
        <v>4143</v>
      </c>
      <c r="C680" s="321" t="s">
        <v>553</v>
      </c>
      <c r="D680" s="321" t="s">
        <v>28</v>
      </c>
      <c r="E680" s="321" t="s">
        <v>32</v>
      </c>
      <c r="F680" s="405">
        <v>80</v>
      </c>
      <c r="G680" s="321">
        <v>2207.1999999999998</v>
      </c>
      <c r="H680" s="405">
        <v>1121.3800000000001</v>
      </c>
      <c r="I680" s="321" t="s">
        <v>30</v>
      </c>
      <c r="J680" s="321" t="s">
        <v>59</v>
      </c>
      <c r="K680" s="224">
        <f>H680/F680</f>
        <v>14.017250000000001</v>
      </c>
    </row>
    <row r="681" spans="1:12" ht="12.75" customHeight="1">
      <c r="A681" s="321">
        <v>201</v>
      </c>
      <c r="B681" s="321">
        <v>5170</v>
      </c>
      <c r="C681" s="321" t="s">
        <v>548</v>
      </c>
      <c r="D681" s="321" t="s">
        <v>28</v>
      </c>
      <c r="E681" s="321" t="s">
        <v>29</v>
      </c>
      <c r="F681" s="405">
        <v>4</v>
      </c>
      <c r="G681" s="321">
        <v>167.76</v>
      </c>
      <c r="H681" s="405">
        <v>83.82</v>
      </c>
      <c r="I681" s="321" t="s">
        <v>30</v>
      </c>
      <c r="J681" s="321" t="s">
        <v>59</v>
      </c>
      <c r="K681" s="224">
        <f>H681/F681</f>
        <v>20.954999999999998</v>
      </c>
    </row>
    <row r="682" spans="1:12">
      <c r="A682" s="321">
        <v>201</v>
      </c>
      <c r="B682" s="321" t="s">
        <v>544</v>
      </c>
      <c r="C682" s="321" t="s">
        <v>545</v>
      </c>
      <c r="D682" s="321" t="s">
        <v>16</v>
      </c>
      <c r="E682" s="321" t="s">
        <v>22</v>
      </c>
      <c r="F682" s="321">
        <v>3903</v>
      </c>
      <c r="G682" s="321">
        <v>0.39</v>
      </c>
      <c r="H682" s="321">
        <v>59.72</v>
      </c>
      <c r="I682" s="321" t="s">
        <v>18</v>
      </c>
      <c r="J682" s="321" t="s">
        <v>19</v>
      </c>
      <c r="K682" s="224">
        <f>H682/F682</f>
        <v>1.5301050473994363E-2</v>
      </c>
    </row>
    <row r="683" spans="1:12" ht="12.75" customHeight="1">
      <c r="A683" s="321">
        <v>288</v>
      </c>
      <c r="B683" s="321">
        <v>4143</v>
      </c>
      <c r="C683" s="321" t="s">
        <v>553</v>
      </c>
      <c r="D683" s="321" t="s">
        <v>28</v>
      </c>
      <c r="E683" s="321" t="s">
        <v>32</v>
      </c>
      <c r="F683" s="405">
        <v>-3</v>
      </c>
      <c r="G683" s="321">
        <v>-82.77</v>
      </c>
      <c r="H683" s="405">
        <v>-41.9</v>
      </c>
      <c r="I683" s="321" t="s">
        <v>30</v>
      </c>
      <c r="J683" s="321" t="s">
        <v>59</v>
      </c>
      <c r="K683" s="224">
        <f>H683/F683</f>
        <v>13.966666666666667</v>
      </c>
    </row>
    <row r="684" spans="1:12" ht="12.75" customHeight="1">
      <c r="A684" s="321">
        <v>201</v>
      </c>
      <c r="B684" s="321" t="s">
        <v>269</v>
      </c>
      <c r="C684" s="321" t="s">
        <v>270</v>
      </c>
      <c r="D684" s="321" t="s">
        <v>16</v>
      </c>
      <c r="E684" s="321" t="s">
        <v>228</v>
      </c>
      <c r="F684" s="321">
        <v>74</v>
      </c>
      <c r="G684" s="321">
        <v>3256</v>
      </c>
      <c r="H684" s="321">
        <v>3515.74</v>
      </c>
      <c r="I684" s="321" t="s">
        <v>35</v>
      </c>
      <c r="J684" s="321" t="s">
        <v>19</v>
      </c>
      <c r="K684" s="224">
        <f>H684/F684</f>
        <v>47.51</v>
      </c>
    </row>
    <row r="685" spans="1:12">
      <c r="A685" s="321">
        <v>11</v>
      </c>
      <c r="B685" s="321" t="s">
        <v>519</v>
      </c>
      <c r="C685" s="321" t="s">
        <v>520</v>
      </c>
      <c r="D685" s="321" t="s">
        <v>16</v>
      </c>
      <c r="E685" s="321" t="s">
        <v>521</v>
      </c>
      <c r="F685" s="405">
        <v>93312</v>
      </c>
      <c r="G685" s="321">
        <v>6793.11</v>
      </c>
      <c r="H685" s="405">
        <v>21321.79</v>
      </c>
      <c r="I685" s="321" t="s">
        <v>18</v>
      </c>
      <c r="J685" s="321" t="s">
        <v>23</v>
      </c>
      <c r="K685" s="224">
        <f>H685/F685</f>
        <v>0.22849997856652951</v>
      </c>
    </row>
    <row r="686" spans="1:12" ht="12.75" customHeight="1">
      <c r="A686" s="321">
        <v>201</v>
      </c>
      <c r="B686" s="321" t="s">
        <v>554</v>
      </c>
      <c r="C686" s="321" t="s">
        <v>555</v>
      </c>
      <c r="D686" s="321" t="s">
        <v>16</v>
      </c>
      <c r="E686" s="321" t="s">
        <v>22</v>
      </c>
      <c r="F686" s="405">
        <v>37994</v>
      </c>
      <c r="G686" s="321">
        <v>3.8</v>
      </c>
      <c r="H686" s="321">
        <v>509.12</v>
      </c>
      <c r="I686" s="321" t="s">
        <v>18</v>
      </c>
      <c r="J686" s="321" t="s">
        <v>19</v>
      </c>
      <c r="K686" s="224">
        <f>H686/F686</f>
        <v>1.3400010527978103E-2</v>
      </c>
    </row>
    <row r="687" spans="1:12">
      <c r="A687" s="321">
        <v>1</v>
      </c>
      <c r="B687" s="321">
        <v>4502</v>
      </c>
      <c r="C687" s="321" t="s">
        <v>89</v>
      </c>
      <c r="D687" s="321" t="s">
        <v>28</v>
      </c>
      <c r="E687" s="321" t="s">
        <v>29</v>
      </c>
      <c r="F687" s="405">
        <v>61</v>
      </c>
      <c r="G687" s="321">
        <v>2220.4</v>
      </c>
      <c r="H687" s="405">
        <v>944.39</v>
      </c>
      <c r="I687" s="321" t="s">
        <v>30</v>
      </c>
      <c r="J687" s="321" t="s">
        <v>23</v>
      </c>
      <c r="K687" s="224">
        <f>H687/F687</f>
        <v>15.481803278688524</v>
      </c>
    </row>
    <row r="688" spans="1:12" ht="12.75" customHeight="1">
      <c r="A688" s="321">
        <v>88</v>
      </c>
      <c r="B688" s="321">
        <v>7593</v>
      </c>
      <c r="C688" s="321" t="s">
        <v>516</v>
      </c>
      <c r="D688" s="321" t="s">
        <v>28</v>
      </c>
      <c r="E688" s="321" t="s">
        <v>29</v>
      </c>
      <c r="F688" s="405">
        <v>0</v>
      </c>
      <c r="G688" s="321">
        <v>0</v>
      </c>
      <c r="H688" s="321">
        <v>0</v>
      </c>
      <c r="I688" s="321" t="s">
        <v>30</v>
      </c>
      <c r="J688" s="321" t="s">
        <v>23</v>
      </c>
      <c r="K688" s="224" t="e">
        <f>H688/F688</f>
        <v>#DIV/0!</v>
      </c>
    </row>
    <row r="689" spans="1:12" ht="12.75" customHeight="1">
      <c r="A689" s="321">
        <v>1</v>
      </c>
      <c r="B689" s="321" t="s">
        <v>551</v>
      </c>
      <c r="C689" s="321" t="s">
        <v>552</v>
      </c>
      <c r="D689" s="321" t="s">
        <v>16</v>
      </c>
      <c r="E689" s="321" t="s">
        <v>65</v>
      </c>
      <c r="F689" s="405">
        <v>615</v>
      </c>
      <c r="G689" s="321">
        <v>615</v>
      </c>
      <c r="H689" s="405">
        <v>249.08</v>
      </c>
      <c r="I689" s="321" t="s">
        <v>18</v>
      </c>
      <c r="J689" s="321" t="s">
        <v>23</v>
      </c>
      <c r="K689" s="224">
        <f>H689/F689</f>
        <v>0.40500813008130082</v>
      </c>
    </row>
    <row r="690" spans="1:12" ht="12.75" customHeight="1">
      <c r="A690" s="321">
        <v>1</v>
      </c>
      <c r="B690" s="321" t="s">
        <v>554</v>
      </c>
      <c r="C690" s="321" t="s">
        <v>555</v>
      </c>
      <c r="D690" s="321" t="s">
        <v>16</v>
      </c>
      <c r="E690" s="321" t="s">
        <v>22</v>
      </c>
      <c r="F690" s="405">
        <v>18666</v>
      </c>
      <c r="G690" s="321">
        <v>1.87</v>
      </c>
      <c r="H690" s="321">
        <v>250.12</v>
      </c>
      <c r="I690" s="321" t="s">
        <v>18</v>
      </c>
      <c r="J690" s="321" t="s">
        <v>23</v>
      </c>
      <c r="K690" s="224">
        <f>H690/F690</f>
        <v>1.3399764277295619E-2</v>
      </c>
      <c r="L690" s="215"/>
    </row>
    <row r="691" spans="1:12">
      <c r="A691" s="321">
        <v>11</v>
      </c>
      <c r="B691" s="321" t="s">
        <v>546</v>
      </c>
      <c r="C691" s="321" t="s">
        <v>547</v>
      </c>
      <c r="D691" s="321" t="s">
        <v>16</v>
      </c>
      <c r="E691" s="321" t="s">
        <v>22</v>
      </c>
      <c r="F691" s="405">
        <v>60000</v>
      </c>
      <c r="G691" s="321">
        <v>6</v>
      </c>
      <c r="H691" s="405">
        <v>804</v>
      </c>
      <c r="I691" s="321" t="s">
        <v>18</v>
      </c>
      <c r="J691" s="321" t="s">
        <v>23</v>
      </c>
      <c r="K691" s="224">
        <f>H691/F691</f>
        <v>1.34E-2</v>
      </c>
    </row>
    <row r="692" spans="1:12">
      <c r="A692" s="321">
        <v>201</v>
      </c>
      <c r="B692" s="321" t="s">
        <v>551</v>
      </c>
      <c r="C692" s="321" t="s">
        <v>552</v>
      </c>
      <c r="D692" s="321" t="s">
        <v>16</v>
      </c>
      <c r="E692" s="321" t="s">
        <v>65</v>
      </c>
      <c r="F692" s="405">
        <v>1177</v>
      </c>
      <c r="G692" s="321">
        <v>1177</v>
      </c>
      <c r="H692" s="405">
        <v>616.75</v>
      </c>
      <c r="I692" s="321" t="s">
        <v>18</v>
      </c>
      <c r="J692" s="321" t="s">
        <v>19</v>
      </c>
      <c r="K692" s="224">
        <f>H692/F692</f>
        <v>0.52400169923534412</v>
      </c>
    </row>
    <row r="693" spans="1:12">
      <c r="A693" s="321">
        <v>601</v>
      </c>
      <c r="B693" s="321">
        <v>4143</v>
      </c>
      <c r="C693" s="321" t="s">
        <v>553</v>
      </c>
      <c r="D693" s="321" t="s">
        <v>28</v>
      </c>
      <c r="E693" s="321" t="s">
        <v>32</v>
      </c>
      <c r="F693" s="405">
        <v>997</v>
      </c>
      <c r="G693" s="321">
        <v>27507.23</v>
      </c>
      <c r="H693" s="405">
        <v>13977.52</v>
      </c>
      <c r="I693" s="321" t="s">
        <v>30</v>
      </c>
      <c r="J693" s="321" t="s">
        <v>59</v>
      </c>
      <c r="K693" s="224">
        <f>H693/F693</f>
        <v>14.019578736208626</v>
      </c>
    </row>
    <row r="694" spans="1:12" ht="12.75" customHeight="1">
      <c r="A694" s="321">
        <v>1</v>
      </c>
      <c r="B694" s="321" t="s">
        <v>269</v>
      </c>
      <c r="C694" s="321" t="s">
        <v>270</v>
      </c>
      <c r="D694" s="321" t="s">
        <v>16</v>
      </c>
      <c r="E694" s="321" t="s">
        <v>228</v>
      </c>
      <c r="F694" s="321">
        <v>88</v>
      </c>
      <c r="G694" s="321">
        <v>3872</v>
      </c>
      <c r="H694" s="321">
        <v>2979.19</v>
      </c>
      <c r="I694" s="321" t="s">
        <v>35</v>
      </c>
      <c r="J694" s="321" t="s">
        <v>23</v>
      </c>
      <c r="K694" s="224">
        <f>H694/F694</f>
        <v>33.854431818181816</v>
      </c>
    </row>
    <row r="695" spans="1:12" ht="12.75" customHeight="1">
      <c r="A695" s="321">
        <v>602</v>
      </c>
      <c r="B695" s="321">
        <v>4143</v>
      </c>
      <c r="C695" s="321" t="s">
        <v>553</v>
      </c>
      <c r="D695" s="321" t="s">
        <v>28</v>
      </c>
      <c r="E695" s="321" t="s">
        <v>32</v>
      </c>
      <c r="F695" s="321">
        <v>14</v>
      </c>
      <c r="G695" s="321">
        <v>386.26</v>
      </c>
      <c r="H695" s="321">
        <v>196.3</v>
      </c>
      <c r="I695" s="321" t="s">
        <v>30</v>
      </c>
      <c r="J695" s="321" t="s">
        <v>59</v>
      </c>
      <c r="K695" s="224">
        <f>H695/F695</f>
        <v>14.021428571428572</v>
      </c>
    </row>
    <row r="696" spans="1:12" ht="12.75" customHeight="1">
      <c r="A696" s="321">
        <v>201</v>
      </c>
      <c r="B696" s="321">
        <v>4591</v>
      </c>
      <c r="C696" s="321" t="s">
        <v>165</v>
      </c>
      <c r="D696" s="321" t="s">
        <v>28</v>
      </c>
      <c r="E696" s="321" t="s">
        <v>29</v>
      </c>
      <c r="F696" s="321">
        <v>2</v>
      </c>
      <c r="G696" s="321">
        <v>72.8</v>
      </c>
      <c r="H696" s="321">
        <v>32.119999999999997</v>
      </c>
      <c r="I696" s="321" t="s">
        <v>30</v>
      </c>
      <c r="J696" s="321" t="s">
        <v>19</v>
      </c>
      <c r="K696" s="224">
        <f>H696/F696</f>
        <v>16.059999999999999</v>
      </c>
    </row>
    <row r="697" spans="1:12">
      <c r="A697" s="321">
        <v>603</v>
      </c>
      <c r="B697" s="321">
        <v>4143</v>
      </c>
      <c r="C697" s="321" t="s">
        <v>553</v>
      </c>
      <c r="D697" s="321" t="s">
        <v>28</v>
      </c>
      <c r="E697" s="321" t="s">
        <v>32</v>
      </c>
      <c r="F697" s="405">
        <v>35</v>
      </c>
      <c r="G697" s="321">
        <v>965.65</v>
      </c>
      <c r="H697" s="405">
        <v>491.26</v>
      </c>
      <c r="I697" s="321" t="s">
        <v>30</v>
      </c>
      <c r="J697" s="321" t="s">
        <v>59</v>
      </c>
      <c r="K697" s="224">
        <f>H697/F697</f>
        <v>14.036</v>
      </c>
    </row>
    <row r="698" spans="1:12" ht="12.75" customHeight="1">
      <c r="A698" s="321">
        <v>11</v>
      </c>
      <c r="B698" s="321">
        <v>4508</v>
      </c>
      <c r="C698" s="321" t="s">
        <v>556</v>
      </c>
      <c r="D698" s="321" t="s">
        <v>28</v>
      </c>
      <c r="E698" s="321" t="s">
        <v>29</v>
      </c>
      <c r="F698" s="405">
        <v>1197</v>
      </c>
      <c r="G698" s="321">
        <v>43570.8</v>
      </c>
      <c r="H698" s="405">
        <v>18212.349999999999</v>
      </c>
      <c r="I698" s="321" t="s">
        <v>30</v>
      </c>
      <c r="J698" s="321" t="s">
        <v>23</v>
      </c>
      <c r="K698" s="224">
        <f>H698/F698</f>
        <v>15.214995822890559</v>
      </c>
    </row>
    <row r="699" spans="1:12" ht="12.75" customHeight="1">
      <c r="A699" s="321">
        <v>11</v>
      </c>
      <c r="B699" s="321" t="s">
        <v>551</v>
      </c>
      <c r="C699" s="321" t="s">
        <v>552</v>
      </c>
      <c r="D699" s="321" t="s">
        <v>16</v>
      </c>
      <c r="E699" s="321" t="s">
        <v>65</v>
      </c>
      <c r="F699" s="321">
        <v>16900</v>
      </c>
      <c r="G699" s="321">
        <v>16900</v>
      </c>
      <c r="H699" s="321">
        <v>8686.6</v>
      </c>
      <c r="I699" s="321" t="s">
        <v>18</v>
      </c>
      <c r="J699" s="321" t="s">
        <v>23</v>
      </c>
      <c r="K699" s="224">
        <f>H699/F699</f>
        <v>0.51400000000000001</v>
      </c>
    </row>
    <row r="700" spans="1:12" ht="12.75" customHeight="1">
      <c r="A700" s="321">
        <v>1</v>
      </c>
      <c r="B700" s="321" t="s">
        <v>546</v>
      </c>
      <c r="C700" s="321" t="s">
        <v>547</v>
      </c>
      <c r="D700" s="321" t="s">
        <v>16</v>
      </c>
      <c r="E700" s="321" t="s">
        <v>22</v>
      </c>
      <c r="F700" s="405">
        <v>27609</v>
      </c>
      <c r="G700" s="321">
        <v>2.76</v>
      </c>
      <c r="H700" s="405">
        <v>369.96</v>
      </c>
      <c r="I700" s="321" t="s">
        <v>18</v>
      </c>
      <c r="J700" s="321" t="s">
        <v>23</v>
      </c>
      <c r="K700" s="224">
        <f>H700/F700</f>
        <v>1.33999782679561E-2</v>
      </c>
    </row>
    <row r="701" spans="1:12" ht="12.75" customHeight="1">
      <c r="A701" s="321">
        <v>601</v>
      </c>
      <c r="B701" s="321">
        <v>5170</v>
      </c>
      <c r="C701" s="321" t="s">
        <v>548</v>
      </c>
      <c r="D701" s="321" t="s">
        <v>28</v>
      </c>
      <c r="E701" s="321" t="s">
        <v>29</v>
      </c>
      <c r="F701" s="405">
        <v>3637</v>
      </c>
      <c r="G701" s="321">
        <v>152535.78</v>
      </c>
      <c r="H701" s="405">
        <v>76283.17</v>
      </c>
      <c r="I701" s="321" t="s">
        <v>30</v>
      </c>
      <c r="J701" s="321" t="s">
        <v>59</v>
      </c>
      <c r="K701" s="224">
        <f>H701/F701</f>
        <v>20.974201264778664</v>
      </c>
    </row>
    <row r="702" spans="1:12" ht="12.75" customHeight="1">
      <c r="A702" s="321">
        <v>601</v>
      </c>
      <c r="B702" s="321">
        <v>4103</v>
      </c>
      <c r="C702" s="321" t="s">
        <v>557</v>
      </c>
      <c r="D702" s="321" t="s">
        <v>28</v>
      </c>
      <c r="E702" s="321" t="s">
        <v>32</v>
      </c>
      <c r="F702" s="405">
        <v>1</v>
      </c>
      <c r="G702" s="321">
        <v>29</v>
      </c>
      <c r="H702" s="321">
        <v>33.590000000000003</v>
      </c>
      <c r="I702" s="321" t="s">
        <v>30</v>
      </c>
      <c r="J702" s="321" t="s">
        <v>59</v>
      </c>
      <c r="K702" s="224">
        <f>H702/F702</f>
        <v>33.590000000000003</v>
      </c>
    </row>
    <row r="703" spans="1:12" ht="12.75" customHeight="1">
      <c r="A703" s="321">
        <v>201</v>
      </c>
      <c r="B703" s="321">
        <v>4502</v>
      </c>
      <c r="C703" s="321" t="s">
        <v>89</v>
      </c>
      <c r="D703" s="321" t="s">
        <v>28</v>
      </c>
      <c r="E703" s="321" t="s">
        <v>29</v>
      </c>
      <c r="F703" s="405">
        <v>1</v>
      </c>
      <c r="G703" s="321">
        <v>36.4</v>
      </c>
      <c r="H703" s="405">
        <v>15.97</v>
      </c>
      <c r="I703" s="321" t="s">
        <v>30</v>
      </c>
      <c r="J703" s="321" t="s">
        <v>19</v>
      </c>
      <c r="K703" s="224">
        <f>H703/F703</f>
        <v>15.97</v>
      </c>
    </row>
    <row r="704" spans="1:12" ht="12.75" customHeight="1">
      <c r="A704" s="321">
        <v>601</v>
      </c>
      <c r="B704" s="321">
        <v>4132</v>
      </c>
      <c r="C704" s="321" t="s">
        <v>558</v>
      </c>
      <c r="D704" s="321" t="s">
        <v>28</v>
      </c>
      <c r="E704" s="321" t="s">
        <v>54</v>
      </c>
      <c r="F704" s="405">
        <v>58</v>
      </c>
      <c r="G704" s="405">
        <v>2436</v>
      </c>
      <c r="H704" s="405">
        <v>1305</v>
      </c>
      <c r="I704" s="321" t="s">
        <v>30</v>
      </c>
      <c r="J704" s="321" t="s">
        <v>59</v>
      </c>
      <c r="K704" s="224">
        <f>H704/F704</f>
        <v>22.5</v>
      </c>
    </row>
    <row r="705" spans="1:13" ht="12.75" customHeight="1">
      <c r="A705" s="321">
        <v>603</v>
      </c>
      <c r="B705" s="321">
        <v>4132</v>
      </c>
      <c r="C705" s="321" t="s">
        <v>558</v>
      </c>
      <c r="D705" s="321" t="s">
        <v>28</v>
      </c>
      <c r="E705" s="321" t="s">
        <v>54</v>
      </c>
      <c r="F705" s="405">
        <v>5</v>
      </c>
      <c r="G705" s="405">
        <v>210</v>
      </c>
      <c r="H705" s="405">
        <v>112.5</v>
      </c>
      <c r="I705" s="321" t="s">
        <v>30</v>
      </c>
      <c r="J705" s="321" t="s">
        <v>59</v>
      </c>
      <c r="K705" s="224">
        <f>H705/F705</f>
        <v>22.5</v>
      </c>
    </row>
    <row r="706" spans="1:13">
      <c r="A706" s="321">
        <v>11</v>
      </c>
      <c r="B706" s="321" t="s">
        <v>2776</v>
      </c>
      <c r="C706" s="321" t="s">
        <v>2777</v>
      </c>
      <c r="D706" s="321" t="s">
        <v>16</v>
      </c>
      <c r="E706" s="321" t="s">
        <v>22</v>
      </c>
      <c r="F706" s="405">
        <v>40000</v>
      </c>
      <c r="G706" s="405">
        <v>4</v>
      </c>
      <c r="H706" s="405">
        <v>528</v>
      </c>
      <c r="I706" s="321" t="s">
        <v>18</v>
      </c>
      <c r="J706" s="321" t="s">
        <v>23</v>
      </c>
      <c r="K706" s="224">
        <f>H706/F706</f>
        <v>1.32E-2</v>
      </c>
    </row>
    <row r="707" spans="1:13" ht="12.75" customHeight="1">
      <c r="A707" s="321">
        <v>201</v>
      </c>
      <c r="B707" s="321" t="s">
        <v>133</v>
      </c>
      <c r="C707" s="321" t="s">
        <v>134</v>
      </c>
      <c r="D707" s="321" t="s">
        <v>16</v>
      </c>
      <c r="E707" s="321" t="s">
        <v>26</v>
      </c>
      <c r="F707" s="321">
        <v>103746</v>
      </c>
      <c r="G707" s="405">
        <v>103.75</v>
      </c>
      <c r="H707" s="405">
        <v>2479.5300000000002</v>
      </c>
      <c r="I707" s="321" t="s">
        <v>18</v>
      </c>
      <c r="J707" s="321" t="s">
        <v>19</v>
      </c>
      <c r="K707" s="224">
        <f>H707/F707</f>
        <v>2.3900005783355504E-2</v>
      </c>
    </row>
    <row r="708" spans="1:13" ht="15">
      <c r="A708" s="321">
        <v>1</v>
      </c>
      <c r="B708" s="321" t="s">
        <v>133</v>
      </c>
      <c r="C708" s="321" t="s">
        <v>134</v>
      </c>
      <c r="D708" s="321" t="s">
        <v>16</v>
      </c>
      <c r="E708" s="321" t="s">
        <v>26</v>
      </c>
      <c r="F708" s="405">
        <v>119068</v>
      </c>
      <c r="G708" s="405">
        <v>119.07</v>
      </c>
      <c r="H708" s="405">
        <v>2845.73</v>
      </c>
      <c r="I708" s="321" t="s">
        <v>18</v>
      </c>
      <c r="J708" s="321" t="s">
        <v>23</v>
      </c>
      <c r="K708" s="224">
        <f>H708/F708</f>
        <v>2.3900040313098399E-2</v>
      </c>
      <c r="M708" s="215"/>
    </row>
    <row r="709" spans="1:13" ht="12.75" customHeight="1">
      <c r="A709" s="321">
        <v>11</v>
      </c>
      <c r="B709" s="321" t="s">
        <v>559</v>
      </c>
      <c r="C709" s="321" t="s">
        <v>560</v>
      </c>
      <c r="D709" s="321" t="s">
        <v>43</v>
      </c>
      <c r="E709" s="321"/>
      <c r="F709" s="321">
        <v>33</v>
      </c>
      <c r="G709" s="405">
        <v>33</v>
      </c>
      <c r="H709" s="405">
        <v>1178.76</v>
      </c>
      <c r="I709" s="321" t="s">
        <v>44</v>
      </c>
      <c r="J709" s="321" t="s">
        <v>23</v>
      </c>
      <c r="K709" s="224">
        <f>H709/F709</f>
        <v>35.72</v>
      </c>
    </row>
    <row r="710" spans="1:13">
      <c r="A710" s="321">
        <v>201</v>
      </c>
      <c r="B710" s="321" t="s">
        <v>106</v>
      </c>
      <c r="C710" s="321" t="s">
        <v>107</v>
      </c>
      <c r="D710" s="321" t="s">
        <v>16</v>
      </c>
      <c r="E710" s="321" t="s">
        <v>22</v>
      </c>
      <c r="F710" s="405">
        <v>32857</v>
      </c>
      <c r="G710" s="405">
        <v>3.29</v>
      </c>
      <c r="H710" s="405">
        <v>440.28</v>
      </c>
      <c r="I710" s="321" t="s">
        <v>18</v>
      </c>
      <c r="J710" s="321" t="s">
        <v>19</v>
      </c>
      <c r="K710" s="224">
        <f>H710/F710</f>
        <v>1.3399884347323249E-2</v>
      </c>
    </row>
    <row r="711" spans="1:13">
      <c r="A711" s="321">
        <v>211</v>
      </c>
      <c r="B711" s="321">
        <v>5014</v>
      </c>
      <c r="C711" s="321" t="s">
        <v>561</v>
      </c>
      <c r="D711" s="321" t="s">
        <v>28</v>
      </c>
      <c r="E711" s="321" t="s">
        <v>56</v>
      </c>
      <c r="F711" s="321">
        <v>898</v>
      </c>
      <c r="G711" s="405">
        <v>25503.200000000001</v>
      </c>
      <c r="H711" s="405">
        <v>9384.01</v>
      </c>
      <c r="I711" s="321" t="s">
        <v>30</v>
      </c>
      <c r="J711" s="321" t="s">
        <v>19</v>
      </c>
      <c r="K711" s="224">
        <f>H711/F711</f>
        <v>10.449899777282852</v>
      </c>
    </row>
    <row r="712" spans="1:13" ht="12.75" customHeight="1">
      <c r="A712" s="321">
        <v>1</v>
      </c>
      <c r="B712" s="321" t="s">
        <v>109</v>
      </c>
      <c r="C712" s="321" t="s">
        <v>110</v>
      </c>
      <c r="D712" s="321" t="s">
        <v>16</v>
      </c>
      <c r="E712" s="321" t="s">
        <v>22</v>
      </c>
      <c r="F712" s="321">
        <v>1709</v>
      </c>
      <c r="G712" s="405">
        <v>0.17</v>
      </c>
      <c r="H712" s="405">
        <v>22.73</v>
      </c>
      <c r="I712" s="321" t="s">
        <v>18</v>
      </c>
      <c r="J712" s="321" t="s">
        <v>23</v>
      </c>
      <c r="K712" s="224">
        <f>H712/F712</f>
        <v>1.3300175541252195E-2</v>
      </c>
    </row>
    <row r="713" spans="1:13" ht="12.75" customHeight="1">
      <c r="A713" s="321">
        <v>11</v>
      </c>
      <c r="B713" s="321" t="s">
        <v>530</v>
      </c>
      <c r="C713" s="321" t="s">
        <v>531</v>
      </c>
      <c r="D713" s="321" t="s">
        <v>43</v>
      </c>
      <c r="E713" s="321"/>
      <c r="F713" s="405">
        <v>110</v>
      </c>
      <c r="G713" s="405">
        <v>110</v>
      </c>
      <c r="H713" s="405">
        <v>1490.41</v>
      </c>
      <c r="I713" s="321" t="s">
        <v>44</v>
      </c>
      <c r="J713" s="321" t="s">
        <v>23</v>
      </c>
      <c r="K713" s="224">
        <f>H713/F713</f>
        <v>13.549181818181818</v>
      </c>
    </row>
    <row r="714" spans="1:13" ht="12.75" customHeight="1">
      <c r="A714" s="321">
        <v>88</v>
      </c>
      <c r="B714" s="321" t="s">
        <v>133</v>
      </c>
      <c r="C714" s="321" t="s">
        <v>134</v>
      </c>
      <c r="D714" s="321" t="s">
        <v>16</v>
      </c>
      <c r="E714" s="321" t="s">
        <v>26</v>
      </c>
      <c r="F714" s="321">
        <v>-8725</v>
      </c>
      <c r="G714" s="405">
        <v>-8.73</v>
      </c>
      <c r="H714" s="405">
        <v>-208.53</v>
      </c>
      <c r="I714" s="321" t="s">
        <v>18</v>
      </c>
      <c r="J714" s="321" t="s">
        <v>23</v>
      </c>
      <c r="K714" s="224">
        <f>H714/F714</f>
        <v>2.390028653295129E-2</v>
      </c>
    </row>
    <row r="715" spans="1:13" ht="12.75" customHeight="1">
      <c r="A715" s="321">
        <v>288</v>
      </c>
      <c r="B715" s="321">
        <v>5170</v>
      </c>
      <c r="C715" s="321" t="s">
        <v>548</v>
      </c>
      <c r="D715" s="321" t="s">
        <v>28</v>
      </c>
      <c r="E715" s="321" t="s">
        <v>29</v>
      </c>
      <c r="F715" s="321">
        <v>-2</v>
      </c>
      <c r="G715" s="405">
        <v>-83.88</v>
      </c>
      <c r="H715" s="405">
        <v>-41.85</v>
      </c>
      <c r="I715" s="321" t="s">
        <v>30</v>
      </c>
      <c r="J715" s="321" t="s">
        <v>59</v>
      </c>
      <c r="K715" s="224">
        <f>H715/F715</f>
        <v>20.925000000000001</v>
      </c>
    </row>
    <row r="716" spans="1:13" ht="12.75" customHeight="1">
      <c r="A716" s="321">
        <v>99</v>
      </c>
      <c r="B716" s="321">
        <v>5170</v>
      </c>
      <c r="C716" s="321" t="s">
        <v>548</v>
      </c>
      <c r="D716" s="321" t="s">
        <v>28</v>
      </c>
      <c r="E716" s="321" t="s">
        <v>29</v>
      </c>
      <c r="F716" s="321">
        <v>0</v>
      </c>
      <c r="G716" s="321">
        <v>0</v>
      </c>
      <c r="H716" s="321">
        <v>0</v>
      </c>
      <c r="I716" s="321" t="s">
        <v>30</v>
      </c>
      <c r="J716" s="321" t="s">
        <v>59</v>
      </c>
      <c r="K716" s="224" t="e">
        <f>H716/F716</f>
        <v>#DIV/0!</v>
      </c>
    </row>
    <row r="717" spans="1:13" ht="12.75" customHeight="1">
      <c r="A717" s="321">
        <v>201</v>
      </c>
      <c r="B717" s="321" t="s">
        <v>109</v>
      </c>
      <c r="C717" s="321" t="s">
        <v>110</v>
      </c>
      <c r="D717" s="321" t="s">
        <v>16</v>
      </c>
      <c r="E717" s="321" t="s">
        <v>22</v>
      </c>
      <c r="F717" s="405">
        <v>51326</v>
      </c>
      <c r="G717" s="405">
        <v>5.13</v>
      </c>
      <c r="H717" s="405">
        <v>687.77</v>
      </c>
      <c r="I717" s="321" t="s">
        <v>18</v>
      </c>
      <c r="J717" s="321" t="s">
        <v>19</v>
      </c>
      <c r="K717" s="224">
        <f>H717/F717</f>
        <v>1.3400031173284494E-2</v>
      </c>
    </row>
    <row r="718" spans="1:13">
      <c r="A718" s="321">
        <v>602</v>
      </c>
      <c r="B718" s="321">
        <v>5170</v>
      </c>
      <c r="C718" s="321" t="s">
        <v>548</v>
      </c>
      <c r="D718" s="321" t="s">
        <v>28</v>
      </c>
      <c r="E718" s="321" t="s">
        <v>29</v>
      </c>
      <c r="F718" s="405">
        <v>17</v>
      </c>
      <c r="G718" s="405">
        <v>712.98</v>
      </c>
      <c r="H718" s="405">
        <v>353.24</v>
      </c>
      <c r="I718" s="321" t="s">
        <v>30</v>
      </c>
      <c r="J718" s="321" t="s">
        <v>59</v>
      </c>
      <c r="K718" s="224">
        <f>H718/F718</f>
        <v>20.778823529411767</v>
      </c>
    </row>
    <row r="719" spans="1:13" ht="12.75" customHeight="1">
      <c r="A719" s="321">
        <v>201</v>
      </c>
      <c r="B719" s="321" t="s">
        <v>2776</v>
      </c>
      <c r="C719" s="321" t="s">
        <v>2777</v>
      </c>
      <c r="D719" s="321" t="s">
        <v>16</v>
      </c>
      <c r="E719" s="321" t="s">
        <v>22</v>
      </c>
      <c r="F719" s="321">
        <v>34132</v>
      </c>
      <c r="G719" s="321">
        <v>3.41</v>
      </c>
      <c r="H719" s="321">
        <v>447.13</v>
      </c>
      <c r="I719" s="321" t="s">
        <v>18</v>
      </c>
      <c r="J719" s="321" t="s">
        <v>19</v>
      </c>
      <c r="K719" s="224">
        <f>H719/F719</f>
        <v>1.3100023438415563E-2</v>
      </c>
    </row>
    <row r="720" spans="1:13" ht="12.75" customHeight="1">
      <c r="A720" s="321">
        <v>603</v>
      </c>
      <c r="B720" s="321">
        <v>5170</v>
      </c>
      <c r="C720" s="321" t="s">
        <v>548</v>
      </c>
      <c r="D720" s="321" t="s">
        <v>28</v>
      </c>
      <c r="E720" s="321" t="s">
        <v>29</v>
      </c>
      <c r="F720" s="321">
        <v>240</v>
      </c>
      <c r="G720" s="321">
        <v>10065.6</v>
      </c>
      <c r="H720" s="321">
        <v>4986.83</v>
      </c>
      <c r="I720" s="321" t="s">
        <v>30</v>
      </c>
      <c r="J720" s="321" t="s">
        <v>59</v>
      </c>
      <c r="K720" s="224">
        <f>H720/F720</f>
        <v>20.778458333333333</v>
      </c>
    </row>
    <row r="721" spans="1:11" ht="12.75" customHeight="1">
      <c r="A721" s="321">
        <v>1</v>
      </c>
      <c r="B721" s="321" t="s">
        <v>2776</v>
      </c>
      <c r="C721" s="321" t="s">
        <v>2777</v>
      </c>
      <c r="D721" s="321" t="s">
        <v>16</v>
      </c>
      <c r="E721" s="321" t="s">
        <v>22</v>
      </c>
      <c r="F721" s="321">
        <v>14398</v>
      </c>
      <c r="G721" s="321">
        <v>1.44</v>
      </c>
      <c r="H721" s="321">
        <v>190.05</v>
      </c>
      <c r="I721" s="321" t="s">
        <v>18</v>
      </c>
      <c r="J721" s="321" t="s">
        <v>23</v>
      </c>
      <c r="K721" s="224">
        <f>H721/F721</f>
        <v>1.3199749965272956E-2</v>
      </c>
    </row>
    <row r="722" spans="1:11">
      <c r="A722" s="321">
        <v>288</v>
      </c>
      <c r="B722" s="321" t="s">
        <v>133</v>
      </c>
      <c r="C722" s="321" t="s">
        <v>134</v>
      </c>
      <c r="D722" s="321" t="s">
        <v>16</v>
      </c>
      <c r="E722" s="321" t="s">
        <v>26</v>
      </c>
      <c r="F722" s="321">
        <v>0</v>
      </c>
      <c r="G722" s="321">
        <v>0</v>
      </c>
      <c r="H722" s="405">
        <v>-0.01</v>
      </c>
      <c r="I722" s="321" t="s">
        <v>18</v>
      </c>
      <c r="J722" s="321" t="s">
        <v>19</v>
      </c>
      <c r="K722" s="224" t="e">
        <f>H722/F722</f>
        <v>#DIV/0!</v>
      </c>
    </row>
    <row r="723" spans="1:11">
      <c r="A723" s="321">
        <v>288</v>
      </c>
      <c r="B723" s="321" t="s">
        <v>2776</v>
      </c>
      <c r="C723" s="321" t="s">
        <v>2777</v>
      </c>
      <c r="D723" s="321" t="s">
        <v>16</v>
      </c>
      <c r="E723" s="321" t="s">
        <v>22</v>
      </c>
      <c r="F723" s="321">
        <v>235</v>
      </c>
      <c r="G723" s="321">
        <v>0.02</v>
      </c>
      <c r="H723" s="321">
        <v>3.08</v>
      </c>
      <c r="I723" s="321" t="s">
        <v>18</v>
      </c>
      <c r="J723" s="321" t="s">
        <v>19</v>
      </c>
      <c r="K723" s="224">
        <f>H723/F723</f>
        <v>1.3106382978723404E-2</v>
      </c>
    </row>
    <row r="724" spans="1:11" ht="12.75" customHeight="1">
      <c r="A724" s="321">
        <v>1</v>
      </c>
      <c r="B724" s="321" t="s">
        <v>106</v>
      </c>
      <c r="C724" s="321" t="s">
        <v>107</v>
      </c>
      <c r="D724" s="321" t="s">
        <v>16</v>
      </c>
      <c r="E724" s="321" t="s">
        <v>22</v>
      </c>
      <c r="F724" s="321">
        <v>12992</v>
      </c>
      <c r="G724" s="321">
        <v>1.3</v>
      </c>
      <c r="H724" s="405">
        <v>174.09</v>
      </c>
      <c r="I724" s="321" t="s">
        <v>18</v>
      </c>
      <c r="J724" s="321" t="s">
        <v>23</v>
      </c>
      <c r="K724" s="224">
        <f>H724/F724</f>
        <v>1.3399784482758621E-2</v>
      </c>
    </row>
    <row r="725" spans="1:11" ht="12.75" customHeight="1">
      <c r="A725" s="321">
        <v>201</v>
      </c>
      <c r="B725" s="321" t="s">
        <v>284</v>
      </c>
      <c r="C725" s="321" t="s">
        <v>285</v>
      </c>
      <c r="D725" s="321" t="s">
        <v>43</v>
      </c>
      <c r="E725" s="321"/>
      <c r="F725" s="321">
        <v>56.4</v>
      </c>
      <c r="G725" s="321">
        <v>56.4</v>
      </c>
      <c r="H725" s="405">
        <v>373.46</v>
      </c>
      <c r="I725" s="321" t="s">
        <v>44</v>
      </c>
      <c r="J725" s="321" t="s">
        <v>19</v>
      </c>
      <c r="K725" s="224">
        <f>H725/F725</f>
        <v>6.6216312056737587</v>
      </c>
    </row>
    <row r="726" spans="1:11">
      <c r="A726" s="321">
        <v>201</v>
      </c>
      <c r="B726" s="321" t="s">
        <v>559</v>
      </c>
      <c r="C726" s="321" t="s">
        <v>560</v>
      </c>
      <c r="D726" s="321" t="s">
        <v>43</v>
      </c>
      <c r="E726" s="321"/>
      <c r="F726" s="321">
        <v>231</v>
      </c>
      <c r="G726" s="321">
        <v>231</v>
      </c>
      <c r="H726" s="321">
        <v>8304.57</v>
      </c>
      <c r="I726" s="321" t="s">
        <v>44</v>
      </c>
      <c r="J726" s="321" t="s">
        <v>19</v>
      </c>
      <c r="K726" s="224">
        <f>H726/F726</f>
        <v>35.950519480519482</v>
      </c>
    </row>
    <row r="727" spans="1:11">
      <c r="A727" s="321">
        <v>11</v>
      </c>
      <c r="B727" s="321">
        <v>5002</v>
      </c>
      <c r="C727" s="321" t="s">
        <v>130</v>
      </c>
      <c r="D727" s="321" t="s">
        <v>16</v>
      </c>
      <c r="E727" s="321" t="s">
        <v>88</v>
      </c>
      <c r="F727" s="321">
        <v>-6</v>
      </c>
      <c r="G727" s="321">
        <v>-54.6</v>
      </c>
      <c r="H727" s="321">
        <v>-14.29</v>
      </c>
      <c r="I727" s="321" t="s">
        <v>30</v>
      </c>
      <c r="J727" s="321" t="s">
        <v>23</v>
      </c>
      <c r="K727" s="224">
        <f>H727/F727</f>
        <v>2.3816666666666664</v>
      </c>
    </row>
    <row r="728" spans="1:11">
      <c r="A728" s="321">
        <v>1</v>
      </c>
      <c r="B728" s="321" t="s">
        <v>284</v>
      </c>
      <c r="C728" s="321" t="s">
        <v>285</v>
      </c>
      <c r="D728" s="321" t="s">
        <v>43</v>
      </c>
      <c r="E728" s="321"/>
      <c r="F728" s="321">
        <v>47.2</v>
      </c>
      <c r="G728" s="321">
        <v>47.2</v>
      </c>
      <c r="H728" s="321">
        <v>306.81</v>
      </c>
      <c r="I728" s="321" t="s">
        <v>44</v>
      </c>
      <c r="J728" s="321" t="s">
        <v>23</v>
      </c>
      <c r="K728" s="224">
        <f>H728/F728</f>
        <v>6.5002118644067792</v>
      </c>
    </row>
    <row r="729" spans="1:11" ht="12.75" customHeight="1">
      <c r="A729" s="321">
        <v>11</v>
      </c>
      <c r="B729" s="321">
        <v>5002</v>
      </c>
      <c r="C729" s="321" t="s">
        <v>130</v>
      </c>
      <c r="D729" s="321" t="s">
        <v>28</v>
      </c>
      <c r="E729" s="321" t="s">
        <v>29</v>
      </c>
      <c r="F729" s="321">
        <v>236</v>
      </c>
      <c r="G729" s="321">
        <v>8590.4</v>
      </c>
      <c r="H729" s="405">
        <v>2248.54</v>
      </c>
      <c r="I729" s="321" t="s">
        <v>30</v>
      </c>
      <c r="J729" s="321" t="s">
        <v>23</v>
      </c>
      <c r="K729" s="224">
        <f>H729/F729</f>
        <v>9.5277118644067791</v>
      </c>
    </row>
    <row r="730" spans="1:11" ht="12.75" customHeight="1">
      <c r="A730" s="321">
        <v>1</v>
      </c>
      <c r="B730" s="321" t="s">
        <v>559</v>
      </c>
      <c r="C730" s="321" t="s">
        <v>560</v>
      </c>
      <c r="D730" s="321" t="s">
        <v>43</v>
      </c>
      <c r="E730" s="321"/>
      <c r="F730" s="321">
        <v>35.9</v>
      </c>
      <c r="G730" s="321">
        <v>35.9</v>
      </c>
      <c r="H730" s="321">
        <v>1125</v>
      </c>
      <c r="I730" s="321" t="s">
        <v>44</v>
      </c>
      <c r="J730" s="321" t="s">
        <v>23</v>
      </c>
      <c r="K730" s="224">
        <f>H730/F730</f>
        <v>31.337047353760447</v>
      </c>
    </row>
    <row r="731" spans="1:11" ht="12.75" customHeight="1">
      <c r="A731" s="321">
        <v>11</v>
      </c>
      <c r="B731" s="321" t="s">
        <v>566</v>
      </c>
      <c r="C731" s="321" t="s">
        <v>567</v>
      </c>
      <c r="D731" s="321" t="s">
        <v>16</v>
      </c>
      <c r="E731" s="321" t="s">
        <v>22</v>
      </c>
      <c r="F731" s="321">
        <v>50000</v>
      </c>
      <c r="G731" s="321">
        <v>5</v>
      </c>
      <c r="H731" s="321">
        <v>745</v>
      </c>
      <c r="I731" s="321" t="s">
        <v>18</v>
      </c>
      <c r="J731" s="321" t="s">
        <v>59</v>
      </c>
      <c r="K731" s="224">
        <f>H731/F731</f>
        <v>1.49E-2</v>
      </c>
    </row>
    <row r="732" spans="1:11">
      <c r="A732" s="321">
        <v>201</v>
      </c>
      <c r="B732" s="321" t="s">
        <v>562</v>
      </c>
      <c r="C732" s="321" t="s">
        <v>563</v>
      </c>
      <c r="D732" s="321" t="s">
        <v>16</v>
      </c>
      <c r="E732" s="321" t="s">
        <v>22</v>
      </c>
      <c r="F732" s="321">
        <v>26690</v>
      </c>
      <c r="G732" s="321">
        <v>2.67</v>
      </c>
      <c r="H732" s="405">
        <v>178.82</v>
      </c>
      <c r="I732" s="321" t="s">
        <v>18</v>
      </c>
      <c r="J732" s="321" t="s">
        <v>19</v>
      </c>
      <c r="K732" s="224">
        <f>H732/F732</f>
        <v>6.699887598351442E-3</v>
      </c>
    </row>
    <row r="733" spans="1:11" ht="12.75" customHeight="1">
      <c r="A733" s="321">
        <v>201</v>
      </c>
      <c r="B733" s="321">
        <v>4516</v>
      </c>
      <c r="C733" s="321" t="s">
        <v>116</v>
      </c>
      <c r="D733" s="321" t="s">
        <v>28</v>
      </c>
      <c r="E733" s="321" t="s">
        <v>56</v>
      </c>
      <c r="F733" s="321">
        <v>4</v>
      </c>
      <c r="G733" s="321">
        <v>55</v>
      </c>
      <c r="H733" s="405">
        <v>28.1</v>
      </c>
      <c r="I733" s="321" t="s">
        <v>30</v>
      </c>
      <c r="J733" s="321" t="s">
        <v>19</v>
      </c>
      <c r="K733" s="224">
        <f>H733/F733</f>
        <v>7.0250000000000004</v>
      </c>
    </row>
    <row r="734" spans="1:11">
      <c r="A734" s="321">
        <v>201</v>
      </c>
      <c r="B734" s="321" t="s">
        <v>564</v>
      </c>
      <c r="C734" s="321" t="s">
        <v>565</v>
      </c>
      <c r="D734" s="321" t="s">
        <v>43</v>
      </c>
      <c r="E734" s="321"/>
      <c r="F734" s="321">
        <v>1167.4000000000001</v>
      </c>
      <c r="G734" s="321">
        <v>1167.4000000000001</v>
      </c>
      <c r="H734" s="321">
        <v>53699</v>
      </c>
      <c r="I734" s="321" t="s">
        <v>44</v>
      </c>
      <c r="J734" s="321" t="s">
        <v>19</v>
      </c>
      <c r="K734" s="224">
        <f>H734/F734</f>
        <v>45.998800753811885</v>
      </c>
    </row>
    <row r="735" spans="1:11">
      <c r="A735" s="321">
        <v>201</v>
      </c>
      <c r="B735" s="321" t="s">
        <v>566</v>
      </c>
      <c r="C735" s="321" t="s">
        <v>567</v>
      </c>
      <c r="D735" s="321" t="s">
        <v>16</v>
      </c>
      <c r="E735" s="321" t="s">
        <v>22</v>
      </c>
      <c r="F735" s="321">
        <v>27494</v>
      </c>
      <c r="G735" s="321">
        <v>2.75</v>
      </c>
      <c r="H735" s="321">
        <v>409.66</v>
      </c>
      <c r="I735" s="321" t="s">
        <v>18</v>
      </c>
      <c r="J735" s="321" t="s">
        <v>59</v>
      </c>
      <c r="K735" s="224">
        <f>H735/F735</f>
        <v>1.4899978177056813E-2</v>
      </c>
    </row>
    <row r="736" spans="1:11" ht="12.75" customHeight="1">
      <c r="A736" s="321">
        <v>201</v>
      </c>
      <c r="B736" s="321" t="s">
        <v>117</v>
      </c>
      <c r="C736" s="321" t="s">
        <v>118</v>
      </c>
      <c r="D736" s="321" t="s">
        <v>16</v>
      </c>
      <c r="E736" s="321" t="s">
        <v>22</v>
      </c>
      <c r="F736" s="405">
        <v>22301</v>
      </c>
      <c r="G736" s="405">
        <v>2.23</v>
      </c>
      <c r="H736" s="405">
        <v>298.83</v>
      </c>
      <c r="I736" s="321" t="s">
        <v>18</v>
      </c>
      <c r="J736" s="321" t="s">
        <v>19</v>
      </c>
      <c r="K736" s="224">
        <f>H736/F736</f>
        <v>1.3399847540469037E-2</v>
      </c>
    </row>
    <row r="737" spans="1:13">
      <c r="A737" s="321">
        <v>11</v>
      </c>
      <c r="B737" s="321" t="s">
        <v>2759</v>
      </c>
      <c r="C737" s="321" t="s">
        <v>2760</v>
      </c>
      <c r="D737" s="321" t="s">
        <v>16</v>
      </c>
      <c r="E737" s="321" t="s">
        <v>22</v>
      </c>
      <c r="F737" s="321">
        <v>60000</v>
      </c>
      <c r="G737" s="321">
        <v>6</v>
      </c>
      <c r="H737" s="405">
        <v>792</v>
      </c>
      <c r="I737" s="321" t="s">
        <v>18</v>
      </c>
      <c r="J737" s="321" t="s">
        <v>23</v>
      </c>
      <c r="K737" s="224">
        <f>H737/F737</f>
        <v>1.32E-2</v>
      </c>
    </row>
    <row r="738" spans="1:13" ht="15">
      <c r="A738" s="321">
        <v>1</v>
      </c>
      <c r="B738" s="321" t="s">
        <v>117</v>
      </c>
      <c r="C738" s="321" t="s">
        <v>118</v>
      </c>
      <c r="D738" s="321" t="s">
        <v>16</v>
      </c>
      <c r="E738" s="321" t="s">
        <v>22</v>
      </c>
      <c r="F738" s="405">
        <v>14448</v>
      </c>
      <c r="G738" s="405">
        <v>1.44</v>
      </c>
      <c r="H738" s="405">
        <v>177.71</v>
      </c>
      <c r="I738" s="321" t="s">
        <v>18</v>
      </c>
      <c r="J738" s="321" t="s">
        <v>23</v>
      </c>
      <c r="K738" s="224">
        <f>H738/F738</f>
        <v>1.2299972314507199E-2</v>
      </c>
      <c r="M738" s="215"/>
    </row>
    <row r="739" spans="1:13" ht="12.75" customHeight="1">
      <c r="A739" s="321">
        <v>11</v>
      </c>
      <c r="B739" s="321">
        <v>6225</v>
      </c>
      <c r="C739" s="321" t="s">
        <v>438</v>
      </c>
      <c r="D739" s="321" t="s">
        <v>28</v>
      </c>
      <c r="E739" s="321" t="s">
        <v>56</v>
      </c>
      <c r="F739" s="321">
        <v>1425</v>
      </c>
      <c r="G739" s="321">
        <v>18730.2</v>
      </c>
      <c r="H739" s="321">
        <v>9566.4500000000007</v>
      </c>
      <c r="I739" s="321" t="s">
        <v>30</v>
      </c>
      <c r="J739" s="321" t="s">
        <v>23</v>
      </c>
      <c r="K739" s="224">
        <f>H739/F739</f>
        <v>6.7132982456140358</v>
      </c>
    </row>
    <row r="740" spans="1:13">
      <c r="A740" s="321">
        <v>201</v>
      </c>
      <c r="B740" s="321" t="s">
        <v>2759</v>
      </c>
      <c r="C740" s="321" t="s">
        <v>2760</v>
      </c>
      <c r="D740" s="321" t="s">
        <v>16</v>
      </c>
      <c r="E740" s="321" t="s">
        <v>22</v>
      </c>
      <c r="F740" s="321">
        <v>21393</v>
      </c>
      <c r="G740" s="321">
        <v>2.14</v>
      </c>
      <c r="H740" s="405">
        <v>282.39</v>
      </c>
      <c r="I740" s="321" t="s">
        <v>18</v>
      </c>
      <c r="J740" s="321" t="s">
        <v>19</v>
      </c>
      <c r="K740" s="224">
        <f>H740/F740</f>
        <v>1.320011218622914E-2</v>
      </c>
    </row>
    <row r="741" spans="1:13" ht="12.75" customHeight="1">
      <c r="A741" s="321">
        <v>1</v>
      </c>
      <c r="B741" s="321" t="s">
        <v>320</v>
      </c>
      <c r="C741" s="321" t="s">
        <v>321</v>
      </c>
      <c r="D741" s="321" t="s">
        <v>43</v>
      </c>
      <c r="E741" s="321"/>
      <c r="F741" s="321">
        <v>133</v>
      </c>
      <c r="G741" s="321">
        <v>133</v>
      </c>
      <c r="H741" s="405">
        <v>222.93</v>
      </c>
      <c r="I741" s="321" t="s">
        <v>44</v>
      </c>
      <c r="J741" s="321" t="s">
        <v>23</v>
      </c>
      <c r="K741" s="224">
        <f>H741/F741</f>
        <v>1.6761654135338346</v>
      </c>
    </row>
    <row r="742" spans="1:13" ht="12.75" customHeight="1">
      <c r="A742" s="321">
        <v>201</v>
      </c>
      <c r="B742" s="321">
        <v>4506</v>
      </c>
      <c r="C742" s="321" t="s">
        <v>702</v>
      </c>
      <c r="D742" s="321" t="s">
        <v>28</v>
      </c>
      <c r="E742" s="321" t="s">
        <v>56</v>
      </c>
      <c r="F742" s="321">
        <v>1</v>
      </c>
      <c r="G742" s="321">
        <v>28</v>
      </c>
      <c r="H742" s="405">
        <v>12.6</v>
      </c>
      <c r="I742" s="321" t="s">
        <v>30</v>
      </c>
      <c r="J742" s="321" t="s">
        <v>19</v>
      </c>
      <c r="K742" s="224">
        <f>H742/F742</f>
        <v>12.6</v>
      </c>
      <c r="L742" s="215"/>
    </row>
    <row r="743" spans="1:13" ht="12.75" customHeight="1">
      <c r="A743" s="321">
        <v>201</v>
      </c>
      <c r="B743" s="321" t="s">
        <v>121</v>
      </c>
      <c r="C743" s="321" t="s">
        <v>122</v>
      </c>
      <c r="D743" s="321" t="s">
        <v>43</v>
      </c>
      <c r="E743" s="321"/>
      <c r="F743" s="321">
        <v>3000</v>
      </c>
      <c r="G743" s="321">
        <v>3000</v>
      </c>
      <c r="H743" s="405">
        <v>1832.7</v>
      </c>
      <c r="I743" s="321" t="s">
        <v>44</v>
      </c>
      <c r="J743" s="321" t="s">
        <v>19</v>
      </c>
      <c r="K743" s="224">
        <f>H743/F743</f>
        <v>0.6109</v>
      </c>
    </row>
    <row r="744" spans="1:13" ht="12.75" customHeight="1">
      <c r="A744" s="321">
        <v>88</v>
      </c>
      <c r="B744" s="321" t="s">
        <v>568</v>
      </c>
      <c r="C744" s="321" t="s">
        <v>569</v>
      </c>
      <c r="D744" s="321" t="s">
        <v>16</v>
      </c>
      <c r="E744" s="321" t="s">
        <v>17</v>
      </c>
      <c r="F744" s="321">
        <v>0</v>
      </c>
      <c r="G744" s="321">
        <v>0</v>
      </c>
      <c r="H744" s="321">
        <v>0</v>
      </c>
      <c r="I744" s="321" t="s">
        <v>18</v>
      </c>
      <c r="J744" s="321" t="s">
        <v>23</v>
      </c>
      <c r="K744" s="224" t="e">
        <f>H744/F744</f>
        <v>#DIV/0!</v>
      </c>
    </row>
    <row r="745" spans="1:13" ht="12.75" customHeight="1">
      <c r="A745" s="321">
        <v>223</v>
      </c>
      <c r="B745" s="321" t="s">
        <v>2840</v>
      </c>
      <c r="C745" s="321" t="s">
        <v>2862</v>
      </c>
      <c r="D745" s="321" t="s">
        <v>16</v>
      </c>
      <c r="E745" s="321" t="s">
        <v>22</v>
      </c>
      <c r="F745" s="321">
        <v>10000</v>
      </c>
      <c r="G745" s="321">
        <v>1</v>
      </c>
      <c r="H745" s="405">
        <v>136</v>
      </c>
      <c r="I745" s="321" t="s">
        <v>18</v>
      </c>
      <c r="J745" s="321" t="s">
        <v>19</v>
      </c>
      <c r="K745" s="224">
        <f>H745/F745</f>
        <v>1.3599999999999999E-2</v>
      </c>
    </row>
    <row r="746" spans="1:13">
      <c r="A746" s="321">
        <v>288</v>
      </c>
      <c r="B746" s="321" t="s">
        <v>263</v>
      </c>
      <c r="C746" s="321" t="s">
        <v>264</v>
      </c>
      <c r="D746" s="321" t="s">
        <v>43</v>
      </c>
      <c r="E746" s="321"/>
      <c r="F746" s="321">
        <v>-67.7</v>
      </c>
      <c r="G746" s="321">
        <v>-67.7</v>
      </c>
      <c r="H746" s="321">
        <v>-427.19</v>
      </c>
      <c r="I746" s="321" t="s">
        <v>44</v>
      </c>
      <c r="J746" s="321" t="s">
        <v>19</v>
      </c>
      <c r="K746" s="224">
        <f>H746/F746</f>
        <v>6.3100443131462329</v>
      </c>
    </row>
    <row r="747" spans="1:13" ht="12.75" customHeight="1">
      <c r="A747" s="321">
        <v>1</v>
      </c>
      <c r="B747" s="321" t="s">
        <v>2759</v>
      </c>
      <c r="C747" s="321" t="s">
        <v>2760</v>
      </c>
      <c r="D747" s="321" t="s">
        <v>16</v>
      </c>
      <c r="E747" s="321" t="s">
        <v>22</v>
      </c>
      <c r="F747" s="321">
        <v>4998</v>
      </c>
      <c r="G747" s="321">
        <v>0.5</v>
      </c>
      <c r="H747" s="405">
        <v>65.97</v>
      </c>
      <c r="I747" s="321" t="s">
        <v>18</v>
      </c>
      <c r="J747" s="321" t="s">
        <v>23</v>
      </c>
      <c r="K747" s="224">
        <f>H747/F747</f>
        <v>1.3199279711884754E-2</v>
      </c>
      <c r="L747" s="215"/>
    </row>
    <row r="748" spans="1:13">
      <c r="A748" s="321">
        <v>201</v>
      </c>
      <c r="B748" s="321" t="s">
        <v>568</v>
      </c>
      <c r="C748" s="321" t="s">
        <v>569</v>
      </c>
      <c r="D748" s="321" t="s">
        <v>16</v>
      </c>
      <c r="E748" s="321" t="s">
        <v>17</v>
      </c>
      <c r="F748" s="321">
        <v>435</v>
      </c>
      <c r="G748" s="321">
        <v>435</v>
      </c>
      <c r="H748" s="321">
        <v>277.49</v>
      </c>
      <c r="I748" s="321" t="s">
        <v>18</v>
      </c>
      <c r="J748" s="321" t="s">
        <v>19</v>
      </c>
      <c r="K748" s="224">
        <f>H748/F748</f>
        <v>0.63790804597701156</v>
      </c>
    </row>
    <row r="749" spans="1:13" ht="12.75" customHeight="1">
      <c r="A749" s="321">
        <v>11</v>
      </c>
      <c r="B749" s="321" t="s">
        <v>320</v>
      </c>
      <c r="C749" s="321" t="s">
        <v>321</v>
      </c>
      <c r="D749" s="321" t="s">
        <v>43</v>
      </c>
      <c r="E749" s="321"/>
      <c r="F749" s="321">
        <v>1906</v>
      </c>
      <c r="G749" s="321">
        <v>1906</v>
      </c>
      <c r="H749" s="405">
        <v>3194.84</v>
      </c>
      <c r="I749" s="321" t="s">
        <v>44</v>
      </c>
      <c r="J749" s="321" t="s">
        <v>23</v>
      </c>
      <c r="K749" s="224">
        <f>H749/F749</f>
        <v>1.6762014690451208</v>
      </c>
    </row>
    <row r="750" spans="1:13">
      <c r="A750" s="321">
        <v>1</v>
      </c>
      <c r="B750" s="321" t="s">
        <v>568</v>
      </c>
      <c r="C750" s="321" t="s">
        <v>569</v>
      </c>
      <c r="D750" s="321" t="s">
        <v>16</v>
      </c>
      <c r="E750" s="321" t="s">
        <v>17</v>
      </c>
      <c r="F750" s="405">
        <v>2591</v>
      </c>
      <c r="G750" s="405">
        <v>2591</v>
      </c>
      <c r="H750" s="405">
        <v>1453.55</v>
      </c>
      <c r="I750" s="321" t="s">
        <v>18</v>
      </c>
      <c r="J750" s="321" t="s">
        <v>23</v>
      </c>
      <c r="K750" s="224">
        <f>H750/F750</f>
        <v>0.56099961404862986</v>
      </c>
    </row>
    <row r="751" spans="1:13">
      <c r="A751" s="321">
        <v>201</v>
      </c>
      <c r="B751" s="321" t="s">
        <v>320</v>
      </c>
      <c r="C751" s="321" t="s">
        <v>321</v>
      </c>
      <c r="D751" s="321" t="s">
        <v>43</v>
      </c>
      <c r="E751" s="321"/>
      <c r="F751" s="321">
        <v>7624</v>
      </c>
      <c r="G751" s="321">
        <v>7624</v>
      </c>
      <c r="H751" s="405">
        <v>12508.7</v>
      </c>
      <c r="I751" s="321" t="s">
        <v>44</v>
      </c>
      <c r="J751" s="321" t="s">
        <v>19</v>
      </c>
      <c r="K751" s="224">
        <f>H751/F751</f>
        <v>1.6407004197271775</v>
      </c>
    </row>
    <row r="752" spans="1:13" ht="12.75" customHeight="1">
      <c r="A752" s="321">
        <v>11</v>
      </c>
      <c r="B752" s="321" t="s">
        <v>568</v>
      </c>
      <c r="C752" s="321" t="s">
        <v>569</v>
      </c>
      <c r="D752" s="321" t="s">
        <v>16</v>
      </c>
      <c r="E752" s="321" t="s">
        <v>17</v>
      </c>
      <c r="F752" s="321">
        <v>10450</v>
      </c>
      <c r="G752" s="321">
        <v>10450</v>
      </c>
      <c r="H752" s="405">
        <v>5862.45</v>
      </c>
      <c r="I752" s="321" t="s">
        <v>18</v>
      </c>
      <c r="J752" s="321" t="s">
        <v>23</v>
      </c>
      <c r="K752" s="224">
        <f>H752/F752</f>
        <v>0.56099999999999994</v>
      </c>
    </row>
    <row r="753" spans="1:13" ht="12.75" customHeight="1">
      <c r="A753" s="321">
        <v>201</v>
      </c>
      <c r="B753" s="321" t="s">
        <v>443</v>
      </c>
      <c r="C753" s="321" t="s">
        <v>444</v>
      </c>
      <c r="D753" s="321" t="s">
        <v>43</v>
      </c>
      <c r="E753" s="321"/>
      <c r="F753" s="321">
        <v>1642</v>
      </c>
      <c r="G753" s="321">
        <v>1642</v>
      </c>
      <c r="H753" s="321">
        <v>1609.16</v>
      </c>
      <c r="I753" s="321" t="s">
        <v>44</v>
      </c>
      <c r="J753" s="321" t="s">
        <v>19</v>
      </c>
      <c r="K753" s="224">
        <f>H753/F753</f>
        <v>0.98000000000000009</v>
      </c>
    </row>
    <row r="754" spans="1:13" ht="15">
      <c r="A754" s="321">
        <v>11</v>
      </c>
      <c r="B754" s="321">
        <v>6501</v>
      </c>
      <c r="C754" s="321" t="s">
        <v>570</v>
      </c>
      <c r="D754" s="321" t="s">
        <v>28</v>
      </c>
      <c r="E754" s="321" t="s">
        <v>29</v>
      </c>
      <c r="F754" s="321">
        <v>1004</v>
      </c>
      <c r="G754" s="321">
        <v>36545.599999999999</v>
      </c>
      <c r="H754" s="405">
        <v>15223.65</v>
      </c>
      <c r="I754" s="321" t="s">
        <v>30</v>
      </c>
      <c r="J754" s="321" t="s">
        <v>23</v>
      </c>
      <c r="K754" s="224">
        <f>H754/F754</f>
        <v>15.162998007968127</v>
      </c>
      <c r="M754" s="215"/>
    </row>
    <row r="755" spans="1:13" ht="15">
      <c r="A755" s="321">
        <v>11</v>
      </c>
      <c r="B755" s="321" t="s">
        <v>2761</v>
      </c>
      <c r="C755" s="321" t="s">
        <v>2762</v>
      </c>
      <c r="D755" s="321" t="s">
        <v>16</v>
      </c>
      <c r="E755" s="321" t="s">
        <v>22</v>
      </c>
      <c r="F755" s="321">
        <v>95000</v>
      </c>
      <c r="G755" s="321">
        <v>9.5</v>
      </c>
      <c r="H755" s="405">
        <v>950</v>
      </c>
      <c r="I755" s="321" t="s">
        <v>18</v>
      </c>
      <c r="J755" s="321" t="s">
        <v>23</v>
      </c>
      <c r="K755" s="224">
        <f>H755/F755</f>
        <v>0.01</v>
      </c>
      <c r="M755" s="215"/>
    </row>
    <row r="756" spans="1:13" ht="15">
      <c r="A756" s="321">
        <v>201</v>
      </c>
      <c r="B756" s="321" t="s">
        <v>2761</v>
      </c>
      <c r="C756" s="321" t="s">
        <v>2762</v>
      </c>
      <c r="D756" s="321" t="s">
        <v>16</v>
      </c>
      <c r="E756" s="321" t="s">
        <v>22</v>
      </c>
      <c r="F756" s="405">
        <v>29893</v>
      </c>
      <c r="G756" s="405">
        <v>2.99</v>
      </c>
      <c r="H756" s="405">
        <v>301.92</v>
      </c>
      <c r="I756" s="321" t="s">
        <v>18</v>
      </c>
      <c r="J756" s="321" t="s">
        <v>19</v>
      </c>
      <c r="K756" s="224">
        <f>H756/F756</f>
        <v>1.0100023416853444E-2</v>
      </c>
      <c r="M756" s="215"/>
    </row>
    <row r="757" spans="1:13">
      <c r="A757" s="321">
        <v>201</v>
      </c>
      <c r="B757" s="321" t="s">
        <v>114</v>
      </c>
      <c r="C757" s="321" t="s">
        <v>115</v>
      </c>
      <c r="D757" s="321" t="s">
        <v>43</v>
      </c>
      <c r="E757" s="321"/>
      <c r="F757" s="321">
        <v>2172.8000000000002</v>
      </c>
      <c r="G757" s="321">
        <v>2172.8000000000002</v>
      </c>
      <c r="H757" s="321">
        <v>3963.84</v>
      </c>
      <c r="I757" s="321" t="s">
        <v>44</v>
      </c>
      <c r="J757" s="321" t="s">
        <v>19</v>
      </c>
      <c r="K757" s="224">
        <f>H757/F757</f>
        <v>1.824300441826215</v>
      </c>
    </row>
    <row r="758" spans="1:13">
      <c r="A758" s="321">
        <v>201</v>
      </c>
      <c r="B758" s="321" t="s">
        <v>2840</v>
      </c>
      <c r="C758" s="321" t="s">
        <v>2862</v>
      </c>
      <c r="D758" s="321" t="s">
        <v>16</v>
      </c>
      <c r="E758" s="321" t="s">
        <v>22</v>
      </c>
      <c r="F758" s="405">
        <v>46985</v>
      </c>
      <c r="G758" s="405">
        <v>4.7</v>
      </c>
      <c r="H758" s="405">
        <v>639</v>
      </c>
      <c r="I758" s="321" t="s">
        <v>18</v>
      </c>
      <c r="J758" s="321" t="s">
        <v>19</v>
      </c>
      <c r="K758" s="224">
        <f>H758/F758</f>
        <v>1.3600085133553262E-2</v>
      </c>
    </row>
    <row r="759" spans="1:13">
      <c r="A759" s="321">
        <v>11</v>
      </c>
      <c r="B759" s="321">
        <v>6227</v>
      </c>
      <c r="C759" s="321" t="s">
        <v>405</v>
      </c>
      <c r="D759" s="321" t="s">
        <v>28</v>
      </c>
      <c r="E759" s="321" t="s">
        <v>406</v>
      </c>
      <c r="F759" s="405">
        <v>296</v>
      </c>
      <c r="G759" s="405">
        <v>10360</v>
      </c>
      <c r="H759" s="405">
        <v>5474.9</v>
      </c>
      <c r="I759" s="321" t="s">
        <v>30</v>
      </c>
      <c r="J759" s="321" t="s">
        <v>23</v>
      </c>
      <c r="K759" s="224">
        <f>H759/F759</f>
        <v>18.496283783783781</v>
      </c>
    </row>
    <row r="760" spans="1:13" ht="12.75" customHeight="1">
      <c r="A760" s="321">
        <v>288</v>
      </c>
      <c r="B760" s="321" t="s">
        <v>568</v>
      </c>
      <c r="C760" s="321" t="s">
        <v>569</v>
      </c>
      <c r="D760" s="321" t="s">
        <v>16</v>
      </c>
      <c r="E760" s="321" t="s">
        <v>17</v>
      </c>
      <c r="F760" s="405">
        <v>0</v>
      </c>
      <c r="G760" s="405">
        <v>0</v>
      </c>
      <c r="H760" s="405">
        <v>-0.13</v>
      </c>
      <c r="I760" s="321" t="s">
        <v>18</v>
      </c>
      <c r="J760" s="321" t="s">
        <v>19</v>
      </c>
      <c r="K760" s="224" t="e">
        <f>H760/F760</f>
        <v>#DIV/0!</v>
      </c>
    </row>
    <row r="761" spans="1:13" ht="12.75" customHeight="1">
      <c r="A761" s="321">
        <v>1</v>
      </c>
      <c r="B761" s="321" t="s">
        <v>121</v>
      </c>
      <c r="C761" s="321" t="s">
        <v>122</v>
      </c>
      <c r="D761" s="321" t="s">
        <v>43</v>
      </c>
      <c r="E761" s="321"/>
      <c r="F761" s="321">
        <v>1434</v>
      </c>
      <c r="G761" s="321">
        <v>1434</v>
      </c>
      <c r="H761" s="405">
        <v>857.82</v>
      </c>
      <c r="I761" s="321" t="s">
        <v>44</v>
      </c>
      <c r="J761" s="321" t="s">
        <v>23</v>
      </c>
      <c r="K761" s="224">
        <f>H761/F761</f>
        <v>0.59820083682008374</v>
      </c>
    </row>
    <row r="762" spans="1:13" ht="12.75" customHeight="1">
      <c r="A762" s="321">
        <v>223</v>
      </c>
      <c r="B762" s="321" t="s">
        <v>66</v>
      </c>
      <c r="C762" s="321" t="s">
        <v>67</v>
      </c>
      <c r="D762" s="321" t="s">
        <v>16</v>
      </c>
      <c r="E762" s="321" t="s">
        <v>22</v>
      </c>
      <c r="F762" s="321">
        <v>10000</v>
      </c>
      <c r="G762" s="321">
        <v>1</v>
      </c>
      <c r="H762" s="405">
        <v>134</v>
      </c>
      <c r="I762" s="321" t="s">
        <v>18</v>
      </c>
      <c r="J762" s="321" t="s">
        <v>19</v>
      </c>
      <c r="K762" s="224">
        <f>H762/F762</f>
        <v>1.34E-2</v>
      </c>
    </row>
    <row r="763" spans="1:13">
      <c r="A763" s="321">
        <v>1</v>
      </c>
      <c r="B763" s="321" t="s">
        <v>2761</v>
      </c>
      <c r="C763" s="321" t="s">
        <v>2762</v>
      </c>
      <c r="D763" s="321" t="s">
        <v>16</v>
      </c>
      <c r="E763" s="321" t="s">
        <v>22</v>
      </c>
      <c r="F763" s="321">
        <v>1401</v>
      </c>
      <c r="G763" s="321">
        <v>0.14000000000000001</v>
      </c>
      <c r="H763" s="321">
        <v>14.01</v>
      </c>
      <c r="I763" s="321" t="s">
        <v>18</v>
      </c>
      <c r="J763" s="321" t="s">
        <v>23</v>
      </c>
      <c r="K763" s="224">
        <f>H763/F763</f>
        <v>0.01</v>
      </c>
    </row>
    <row r="764" spans="1:13">
      <c r="A764" s="321">
        <v>11</v>
      </c>
      <c r="B764" s="321">
        <v>6593</v>
      </c>
      <c r="C764" s="321" t="s">
        <v>572</v>
      </c>
      <c r="D764" s="321" t="s">
        <v>16</v>
      </c>
      <c r="E764" s="321" t="s">
        <v>88</v>
      </c>
      <c r="F764" s="405">
        <v>-2</v>
      </c>
      <c r="G764" s="405">
        <v>-4.33</v>
      </c>
      <c r="H764" s="405">
        <v>-2.27</v>
      </c>
      <c r="I764" s="321" t="s">
        <v>30</v>
      </c>
      <c r="J764" s="321" t="s">
        <v>23</v>
      </c>
      <c r="K764" s="224">
        <f>H764/F764</f>
        <v>1.135</v>
      </c>
    </row>
    <row r="765" spans="1:13">
      <c r="A765" s="321">
        <v>1</v>
      </c>
      <c r="B765" s="321" t="s">
        <v>305</v>
      </c>
      <c r="C765" s="321" t="s">
        <v>306</v>
      </c>
      <c r="D765" s="321" t="s">
        <v>43</v>
      </c>
      <c r="E765" s="321"/>
      <c r="F765" s="321">
        <v>100.45</v>
      </c>
      <c r="G765" s="321">
        <v>100.45</v>
      </c>
      <c r="H765" s="321">
        <v>322.33999999999997</v>
      </c>
      <c r="I765" s="321" t="s">
        <v>44</v>
      </c>
      <c r="J765" s="321" t="s">
        <v>23</v>
      </c>
      <c r="K765" s="224">
        <f>H765/F765</f>
        <v>3.2089596814335488</v>
      </c>
    </row>
    <row r="766" spans="1:13" ht="12.75" customHeight="1">
      <c r="A766" s="321">
        <v>88</v>
      </c>
      <c r="B766" s="321" t="s">
        <v>191</v>
      </c>
      <c r="C766" s="321" t="s">
        <v>192</v>
      </c>
      <c r="D766" s="321" t="s">
        <v>43</v>
      </c>
      <c r="E766" s="321"/>
      <c r="F766" s="321">
        <v>-10</v>
      </c>
      <c r="G766" s="405">
        <v>-10</v>
      </c>
      <c r="H766" s="321">
        <v>-172.07</v>
      </c>
      <c r="I766" s="321" t="s">
        <v>44</v>
      </c>
      <c r="J766" s="321" t="s">
        <v>23</v>
      </c>
      <c r="K766" s="224">
        <f>H766/F766</f>
        <v>17.207000000000001</v>
      </c>
      <c r="L766" s="215"/>
    </row>
    <row r="767" spans="1:13" ht="12.75" customHeight="1">
      <c r="A767" s="321">
        <v>11</v>
      </c>
      <c r="B767" s="321">
        <v>6593</v>
      </c>
      <c r="C767" s="321" t="s">
        <v>572</v>
      </c>
      <c r="D767" s="321" t="s">
        <v>28</v>
      </c>
      <c r="E767" s="321" t="s">
        <v>56</v>
      </c>
      <c r="F767" s="321">
        <v>1724</v>
      </c>
      <c r="G767" s="405">
        <v>22412</v>
      </c>
      <c r="H767" s="321">
        <v>11694.41</v>
      </c>
      <c r="I767" s="321" t="s">
        <v>30</v>
      </c>
      <c r="J767" s="321" t="s">
        <v>23</v>
      </c>
      <c r="K767" s="224">
        <f>H767/F767</f>
        <v>6.7833004640371231</v>
      </c>
    </row>
    <row r="768" spans="1:13" ht="15">
      <c r="A768" s="321">
        <v>601</v>
      </c>
      <c r="B768" s="321">
        <v>4134</v>
      </c>
      <c r="C768" s="321" t="s">
        <v>573</v>
      </c>
      <c r="D768" s="321" t="s">
        <v>28</v>
      </c>
      <c r="E768" s="321" t="s">
        <v>32</v>
      </c>
      <c r="F768" s="405">
        <v>8</v>
      </c>
      <c r="G768" s="405">
        <v>120</v>
      </c>
      <c r="H768" s="405">
        <v>115.2</v>
      </c>
      <c r="I768" s="321" t="s">
        <v>30</v>
      </c>
      <c r="J768" s="321" t="s">
        <v>59</v>
      </c>
      <c r="K768" s="224">
        <f>H768/F768</f>
        <v>14.4</v>
      </c>
      <c r="M768" s="215"/>
    </row>
    <row r="769" spans="1:13" ht="12.75" customHeight="1">
      <c r="A769" s="321">
        <v>201</v>
      </c>
      <c r="B769" s="321" t="s">
        <v>51</v>
      </c>
      <c r="C769" s="321" t="s">
        <v>52</v>
      </c>
      <c r="D769" s="321" t="s">
        <v>43</v>
      </c>
      <c r="E769" s="321"/>
      <c r="F769" s="405">
        <v>19569.150000000001</v>
      </c>
      <c r="G769" s="405">
        <v>19569.150000000001</v>
      </c>
      <c r="H769" s="405">
        <v>6287.57</v>
      </c>
      <c r="I769" s="321" t="s">
        <v>44</v>
      </c>
      <c r="J769" s="321" t="s">
        <v>19</v>
      </c>
      <c r="K769" s="224">
        <f>H769/F769</f>
        <v>0.32130010756726785</v>
      </c>
    </row>
    <row r="770" spans="1:13" ht="12.75" customHeight="1">
      <c r="A770" s="321">
        <v>601</v>
      </c>
      <c r="B770" s="321">
        <v>4147</v>
      </c>
      <c r="C770" s="321" t="s">
        <v>571</v>
      </c>
      <c r="D770" s="321" t="s">
        <v>28</v>
      </c>
      <c r="E770" s="321" t="s">
        <v>56</v>
      </c>
      <c r="F770" s="321">
        <v>191</v>
      </c>
      <c r="G770" s="405">
        <v>2651.08</v>
      </c>
      <c r="H770" s="405">
        <v>1353.18</v>
      </c>
      <c r="I770" s="321" t="s">
        <v>30</v>
      </c>
      <c r="J770" s="321" t="s">
        <v>59</v>
      </c>
      <c r="K770" s="224">
        <f>H770/F770</f>
        <v>7.0847120418848171</v>
      </c>
    </row>
    <row r="771" spans="1:13">
      <c r="A771" s="321">
        <v>201</v>
      </c>
      <c r="B771" s="321" t="s">
        <v>2808</v>
      </c>
      <c r="C771" s="321" t="s">
        <v>2809</v>
      </c>
      <c r="D771" s="321" t="s">
        <v>16</v>
      </c>
      <c r="E771" s="321" t="s">
        <v>22</v>
      </c>
      <c r="F771" s="405">
        <v>19345</v>
      </c>
      <c r="G771" s="405">
        <v>1.93</v>
      </c>
      <c r="H771" s="405">
        <v>255.35</v>
      </c>
      <c r="I771" s="321" t="s">
        <v>18</v>
      </c>
      <c r="J771" s="321" t="s">
        <v>19</v>
      </c>
      <c r="K771" s="224">
        <f>H771/F771</f>
        <v>1.3199793228224347E-2</v>
      </c>
    </row>
    <row r="772" spans="1:13">
      <c r="A772" s="321">
        <v>11</v>
      </c>
      <c r="B772" s="321">
        <v>6516</v>
      </c>
      <c r="C772" s="321" t="s">
        <v>575</v>
      </c>
      <c r="D772" s="321" t="s">
        <v>16</v>
      </c>
      <c r="E772" s="321" t="s">
        <v>88</v>
      </c>
      <c r="F772" s="321">
        <v>-1</v>
      </c>
      <c r="G772" s="405">
        <v>-2.17</v>
      </c>
      <c r="H772" s="321">
        <v>-1.1399999999999999</v>
      </c>
      <c r="I772" s="321" t="s">
        <v>30</v>
      </c>
      <c r="J772" s="321" t="s">
        <v>23</v>
      </c>
      <c r="K772" s="224">
        <f>H772/F772</f>
        <v>1.1399999999999999</v>
      </c>
    </row>
    <row r="773" spans="1:13" ht="15">
      <c r="A773" s="321">
        <v>11</v>
      </c>
      <c r="B773" s="321">
        <v>6502</v>
      </c>
      <c r="C773" s="321" t="s">
        <v>574</v>
      </c>
      <c r="D773" s="321" t="s">
        <v>28</v>
      </c>
      <c r="E773" s="321" t="s">
        <v>29</v>
      </c>
      <c r="F773" s="321">
        <v>2921</v>
      </c>
      <c r="G773" s="321">
        <v>104863.9</v>
      </c>
      <c r="H773" s="321">
        <v>44604.84</v>
      </c>
      <c r="I773" s="321" t="s">
        <v>30</v>
      </c>
      <c r="J773" s="321" t="s">
        <v>23</v>
      </c>
      <c r="K773" s="224">
        <f>H773/F773</f>
        <v>15.270400547757616</v>
      </c>
      <c r="M773" s="215"/>
    </row>
    <row r="774" spans="1:13" ht="15">
      <c r="A774" s="321">
        <v>201</v>
      </c>
      <c r="B774" s="321" t="s">
        <v>305</v>
      </c>
      <c r="C774" s="321" t="s">
        <v>306</v>
      </c>
      <c r="D774" s="321" t="s">
        <v>43</v>
      </c>
      <c r="E774" s="321"/>
      <c r="F774" s="405">
        <v>828.93</v>
      </c>
      <c r="G774" s="405">
        <v>828.93</v>
      </c>
      <c r="H774" s="405">
        <v>2177.1</v>
      </c>
      <c r="I774" s="321" t="s">
        <v>44</v>
      </c>
      <c r="J774" s="321" t="s">
        <v>19</v>
      </c>
      <c r="K774" s="224">
        <f>H774/F774</f>
        <v>2.6263978864319064</v>
      </c>
      <c r="M774" s="215"/>
    </row>
    <row r="775" spans="1:13" ht="15">
      <c r="A775" s="321">
        <v>11</v>
      </c>
      <c r="B775" s="321">
        <v>6516</v>
      </c>
      <c r="C775" s="321" t="s">
        <v>575</v>
      </c>
      <c r="D775" s="321" t="s">
        <v>28</v>
      </c>
      <c r="E775" s="321" t="s">
        <v>56</v>
      </c>
      <c r="F775" s="405">
        <v>2838</v>
      </c>
      <c r="G775" s="405">
        <v>39164.400000000001</v>
      </c>
      <c r="H775" s="405">
        <v>19398.02</v>
      </c>
      <c r="I775" s="321" t="s">
        <v>30</v>
      </c>
      <c r="J775" s="321" t="s">
        <v>23</v>
      </c>
      <c r="K775" s="224">
        <f>H775/F775</f>
        <v>6.8351021846370683</v>
      </c>
      <c r="M775" s="215"/>
    </row>
    <row r="776" spans="1:13" ht="15">
      <c r="A776" s="321">
        <v>201</v>
      </c>
      <c r="B776" s="321">
        <v>4136</v>
      </c>
      <c r="C776" s="321" t="s">
        <v>2829</v>
      </c>
      <c r="D776" s="321" t="s">
        <v>28</v>
      </c>
      <c r="E776" s="321" t="s">
        <v>32</v>
      </c>
      <c r="F776" s="321">
        <v>203</v>
      </c>
      <c r="G776" s="405">
        <v>2277.66</v>
      </c>
      <c r="H776" s="405">
        <v>794.69</v>
      </c>
      <c r="I776" s="321" t="s">
        <v>30</v>
      </c>
      <c r="J776" s="321" t="s">
        <v>19</v>
      </c>
      <c r="K776" s="224">
        <f>H776/F776</f>
        <v>3.9147290640394092</v>
      </c>
      <c r="M776" s="215"/>
    </row>
    <row r="777" spans="1:13" ht="15">
      <c r="A777" s="321">
        <v>223</v>
      </c>
      <c r="B777" s="321" t="s">
        <v>69</v>
      </c>
      <c r="C777" s="321" t="s">
        <v>70</v>
      </c>
      <c r="D777" s="321" t="s">
        <v>16</v>
      </c>
      <c r="E777" s="321" t="s">
        <v>26</v>
      </c>
      <c r="F777" s="321">
        <v>87500</v>
      </c>
      <c r="G777" s="405">
        <v>87.5</v>
      </c>
      <c r="H777" s="321">
        <v>2082.5</v>
      </c>
      <c r="I777" s="321" t="s">
        <v>18</v>
      </c>
      <c r="J777" s="321" t="s">
        <v>19</v>
      </c>
      <c r="K777" s="224">
        <f>H777/F777</f>
        <v>2.3800000000000002E-2</v>
      </c>
      <c r="M777" s="215"/>
    </row>
    <row r="778" spans="1:13" ht="15">
      <c r="A778" s="321">
        <v>288</v>
      </c>
      <c r="B778" s="321" t="s">
        <v>576</v>
      </c>
      <c r="C778" s="321" t="s">
        <v>577</v>
      </c>
      <c r="D778" s="321" t="s">
        <v>16</v>
      </c>
      <c r="E778" s="321" t="s">
        <v>26</v>
      </c>
      <c r="F778" s="405">
        <v>0</v>
      </c>
      <c r="G778" s="405">
        <v>0</v>
      </c>
      <c r="H778" s="405">
        <v>0</v>
      </c>
      <c r="I778" s="321" t="s">
        <v>18</v>
      </c>
      <c r="J778" s="321" t="s">
        <v>19</v>
      </c>
      <c r="K778" s="224" t="e">
        <f>H778/F778</f>
        <v>#DIV/0!</v>
      </c>
      <c r="M778" s="215"/>
    </row>
    <row r="779" spans="1:13" ht="12.75" customHeight="1">
      <c r="A779" s="321">
        <v>11</v>
      </c>
      <c r="B779" s="321">
        <v>4136</v>
      </c>
      <c r="C779" s="321" t="s">
        <v>2829</v>
      </c>
      <c r="D779" s="321" t="s">
        <v>16</v>
      </c>
      <c r="E779" s="321" t="s">
        <v>88</v>
      </c>
      <c r="F779" s="405">
        <v>-3</v>
      </c>
      <c r="G779" s="405">
        <v>-2.46</v>
      </c>
      <c r="H779" s="405">
        <v>-0.95</v>
      </c>
      <c r="I779" s="321" t="s">
        <v>30</v>
      </c>
      <c r="J779" s="321" t="s">
        <v>23</v>
      </c>
      <c r="K779" s="224">
        <f>H779/F779</f>
        <v>0.31666666666666665</v>
      </c>
    </row>
    <row r="780" spans="1:13" ht="12.75" customHeight="1">
      <c r="A780" s="321">
        <v>201</v>
      </c>
      <c r="B780" s="321" t="s">
        <v>576</v>
      </c>
      <c r="C780" s="321" t="s">
        <v>577</v>
      </c>
      <c r="D780" s="321" t="s">
        <v>16</v>
      </c>
      <c r="E780" s="321" t="s">
        <v>26</v>
      </c>
      <c r="F780" s="405">
        <v>50150</v>
      </c>
      <c r="G780" s="405">
        <v>50.15</v>
      </c>
      <c r="H780" s="405">
        <v>1088.26</v>
      </c>
      <c r="I780" s="321" t="s">
        <v>18</v>
      </c>
      <c r="J780" s="321" t="s">
        <v>19</v>
      </c>
      <c r="K780" s="224">
        <f>H780/F780</f>
        <v>2.1700099700897309E-2</v>
      </c>
    </row>
    <row r="781" spans="1:13">
      <c r="A781" s="321">
        <v>11</v>
      </c>
      <c r="B781" s="321" t="s">
        <v>239</v>
      </c>
      <c r="C781" s="321" t="s">
        <v>240</v>
      </c>
      <c r="D781" s="321" t="s">
        <v>43</v>
      </c>
      <c r="E781" s="321"/>
      <c r="F781" s="405">
        <v>1300</v>
      </c>
      <c r="G781" s="405">
        <v>1300</v>
      </c>
      <c r="H781" s="405">
        <v>19269.12</v>
      </c>
      <c r="I781" s="321" t="s">
        <v>44</v>
      </c>
      <c r="J781" s="321" t="s">
        <v>23</v>
      </c>
      <c r="K781" s="224">
        <f>H781/F781</f>
        <v>14.8224</v>
      </c>
    </row>
    <row r="782" spans="1:13">
      <c r="A782" s="321">
        <v>201</v>
      </c>
      <c r="B782" s="321" t="s">
        <v>578</v>
      </c>
      <c r="C782" s="321" t="s">
        <v>579</v>
      </c>
      <c r="D782" s="321" t="s">
        <v>43</v>
      </c>
      <c r="E782" s="321"/>
      <c r="F782" s="321">
        <v>2000</v>
      </c>
      <c r="G782" s="321">
        <v>2000</v>
      </c>
      <c r="H782" s="321">
        <v>1473.2</v>
      </c>
      <c r="I782" s="321" t="s">
        <v>44</v>
      </c>
      <c r="J782" s="321" t="s">
        <v>19</v>
      </c>
      <c r="K782" s="224">
        <f>H782/F782</f>
        <v>0.73660000000000003</v>
      </c>
    </row>
    <row r="783" spans="1:13" ht="12.75" customHeight="1">
      <c r="A783" s="321">
        <v>11</v>
      </c>
      <c r="B783" s="321">
        <v>6508</v>
      </c>
      <c r="C783" s="321" t="s">
        <v>580</v>
      </c>
      <c r="D783" s="321" t="s">
        <v>28</v>
      </c>
      <c r="E783" s="321" t="s">
        <v>29</v>
      </c>
      <c r="F783" s="405">
        <v>1872</v>
      </c>
      <c r="G783" s="405">
        <v>68140.800000000003</v>
      </c>
      <c r="H783" s="405">
        <v>28647.23</v>
      </c>
      <c r="I783" s="321" t="s">
        <v>30</v>
      </c>
      <c r="J783" s="321" t="s">
        <v>23</v>
      </c>
      <c r="K783" s="224">
        <f>H783/F783</f>
        <v>15.303007478632479</v>
      </c>
    </row>
    <row r="784" spans="1:13" ht="12.75" customHeight="1">
      <c r="A784" s="321">
        <v>211</v>
      </c>
      <c r="B784" s="321">
        <v>4136</v>
      </c>
      <c r="C784" s="321" t="s">
        <v>2829</v>
      </c>
      <c r="D784" s="321" t="s">
        <v>28</v>
      </c>
      <c r="E784" s="321" t="s">
        <v>32</v>
      </c>
      <c r="F784" s="405">
        <v>167</v>
      </c>
      <c r="G784" s="405">
        <v>1873.74</v>
      </c>
      <c r="H784" s="405">
        <v>653.55999999999995</v>
      </c>
      <c r="I784" s="321" t="s">
        <v>30</v>
      </c>
      <c r="J784" s="321" t="s">
        <v>19</v>
      </c>
      <c r="K784" s="224">
        <f>H784/F784</f>
        <v>3.9135329341317364</v>
      </c>
    </row>
    <row r="785" spans="1:13" ht="12.75" customHeight="1">
      <c r="A785" s="321">
        <v>211</v>
      </c>
      <c r="B785" s="321">
        <v>4136</v>
      </c>
      <c r="C785" s="321" t="s">
        <v>2829</v>
      </c>
      <c r="D785" s="321" t="s">
        <v>16</v>
      </c>
      <c r="E785" s="321" t="s">
        <v>88</v>
      </c>
      <c r="F785" s="405">
        <v>-3</v>
      </c>
      <c r="G785" s="405">
        <v>-2.46</v>
      </c>
      <c r="H785" s="405">
        <v>-0.98</v>
      </c>
      <c r="I785" s="321" t="s">
        <v>30</v>
      </c>
      <c r="J785" s="321" t="s">
        <v>19</v>
      </c>
      <c r="K785" s="224">
        <f>H785/F785</f>
        <v>0.32666666666666666</v>
      </c>
    </row>
    <row r="786" spans="1:13">
      <c r="A786" s="321">
        <v>601</v>
      </c>
      <c r="B786" s="321">
        <v>4104</v>
      </c>
      <c r="C786" s="321" t="s">
        <v>581</v>
      </c>
      <c r="D786" s="321" t="s">
        <v>28</v>
      </c>
      <c r="E786" s="321" t="s">
        <v>32</v>
      </c>
      <c r="F786" s="321">
        <v>41</v>
      </c>
      <c r="G786" s="321">
        <v>615</v>
      </c>
      <c r="H786" s="321">
        <v>959.4</v>
      </c>
      <c r="I786" s="321" t="s">
        <v>30</v>
      </c>
      <c r="J786" s="321" t="s">
        <v>59</v>
      </c>
      <c r="K786" s="224">
        <f>H786/F786</f>
        <v>23.4</v>
      </c>
    </row>
    <row r="787" spans="1:13">
      <c r="A787" s="321">
        <v>1</v>
      </c>
      <c r="B787" s="321" t="s">
        <v>582</v>
      </c>
      <c r="C787" s="321" t="s">
        <v>583</v>
      </c>
      <c r="D787" s="321" t="s">
        <v>16</v>
      </c>
      <c r="E787" s="321" t="s">
        <v>65</v>
      </c>
      <c r="F787" s="321">
        <v>455</v>
      </c>
      <c r="G787" s="405">
        <v>455</v>
      </c>
      <c r="H787" s="405">
        <v>155.61000000000001</v>
      </c>
      <c r="I787" s="321" t="s">
        <v>18</v>
      </c>
      <c r="J787" s="321" t="s">
        <v>23</v>
      </c>
      <c r="K787" s="224">
        <f>H787/F787</f>
        <v>0.34200000000000003</v>
      </c>
    </row>
    <row r="788" spans="1:13" ht="12.75" customHeight="1">
      <c r="A788" s="321">
        <v>288</v>
      </c>
      <c r="B788" s="321">
        <v>5014</v>
      </c>
      <c r="C788" s="321" t="s">
        <v>561</v>
      </c>
      <c r="D788" s="321" t="s">
        <v>28</v>
      </c>
      <c r="E788" s="321" t="s">
        <v>56</v>
      </c>
      <c r="F788" s="405">
        <v>-1</v>
      </c>
      <c r="G788" s="405">
        <v>-28.4</v>
      </c>
      <c r="H788" s="405">
        <v>-10.55</v>
      </c>
      <c r="I788" s="321" t="s">
        <v>30</v>
      </c>
      <c r="J788" s="321" t="s">
        <v>19</v>
      </c>
      <c r="K788" s="224">
        <f>H788/F788</f>
        <v>10.55</v>
      </c>
    </row>
    <row r="789" spans="1:13" ht="12.75" customHeight="1">
      <c r="A789" s="321">
        <v>201</v>
      </c>
      <c r="B789" s="321" t="s">
        <v>582</v>
      </c>
      <c r="C789" s="321" t="s">
        <v>583</v>
      </c>
      <c r="D789" s="321" t="s">
        <v>16</v>
      </c>
      <c r="E789" s="321" t="s">
        <v>65</v>
      </c>
      <c r="F789" s="321">
        <v>1207</v>
      </c>
      <c r="G789" s="405">
        <v>1207</v>
      </c>
      <c r="H789" s="405">
        <v>726.13</v>
      </c>
      <c r="I789" s="321" t="s">
        <v>18</v>
      </c>
      <c r="J789" s="321" t="s">
        <v>19</v>
      </c>
      <c r="K789" s="224">
        <f>H789/F789</f>
        <v>0.60159900579950287</v>
      </c>
    </row>
    <row r="790" spans="1:13" ht="12.75" customHeight="1">
      <c r="A790" s="321">
        <v>11</v>
      </c>
      <c r="B790" s="321" t="s">
        <v>582</v>
      </c>
      <c r="C790" s="321" t="s">
        <v>583</v>
      </c>
      <c r="D790" s="321" t="s">
        <v>16</v>
      </c>
      <c r="E790" s="321" t="s">
        <v>65</v>
      </c>
      <c r="F790" s="405">
        <v>4660</v>
      </c>
      <c r="G790" s="405">
        <v>4660</v>
      </c>
      <c r="H790" s="405">
        <v>1593.72</v>
      </c>
      <c r="I790" s="321" t="s">
        <v>18</v>
      </c>
      <c r="J790" s="321" t="s">
        <v>23</v>
      </c>
      <c r="K790" s="224">
        <f>H790/F790</f>
        <v>0.34200000000000003</v>
      </c>
    </row>
    <row r="791" spans="1:13" ht="12.75" customHeight="1">
      <c r="A791" s="321">
        <v>11</v>
      </c>
      <c r="B791" s="321">
        <v>4136</v>
      </c>
      <c r="C791" s="321" t="s">
        <v>2829</v>
      </c>
      <c r="D791" s="321" t="s">
        <v>28</v>
      </c>
      <c r="E791" s="321" t="s">
        <v>32</v>
      </c>
      <c r="F791" s="405">
        <v>123</v>
      </c>
      <c r="G791" s="405">
        <v>1380.06</v>
      </c>
      <c r="H791" s="405">
        <v>466.45</v>
      </c>
      <c r="I791" s="321" t="s">
        <v>30</v>
      </c>
      <c r="J791" s="321" t="s">
        <v>23</v>
      </c>
      <c r="K791" s="224">
        <f>H791/F791</f>
        <v>3.7922764227642274</v>
      </c>
    </row>
    <row r="792" spans="1:13" ht="12.75" customHeight="1">
      <c r="A792" s="321">
        <v>223</v>
      </c>
      <c r="B792" s="321" t="s">
        <v>2823</v>
      </c>
      <c r="C792" s="321" t="s">
        <v>2824</v>
      </c>
      <c r="D792" s="321" t="s">
        <v>16</v>
      </c>
      <c r="E792" s="321"/>
      <c r="F792" s="405">
        <v>112000</v>
      </c>
      <c r="G792" s="405">
        <v>51430.400000000001</v>
      </c>
      <c r="H792" s="405">
        <v>14728</v>
      </c>
      <c r="I792" s="321" t="s">
        <v>18</v>
      </c>
      <c r="J792" s="321" t="s">
        <v>19</v>
      </c>
      <c r="K792" s="224">
        <f>H792/F792</f>
        <v>0.13150000000000001</v>
      </c>
      <c r="L792" s="215"/>
    </row>
    <row r="793" spans="1:13">
      <c r="A793" s="321">
        <v>88</v>
      </c>
      <c r="B793" s="321" t="s">
        <v>549</v>
      </c>
      <c r="C793" s="321" t="s">
        <v>550</v>
      </c>
      <c r="D793" s="321" t="s">
        <v>34</v>
      </c>
      <c r="E793" s="321"/>
      <c r="F793" s="321">
        <v>14028</v>
      </c>
      <c r="G793" s="405">
        <v>124849.2</v>
      </c>
      <c r="H793" s="321">
        <v>72381.67</v>
      </c>
      <c r="I793" s="321" t="s">
        <v>35</v>
      </c>
      <c r="J793" s="321" t="s">
        <v>23</v>
      </c>
      <c r="K793" s="224">
        <f>H793/F793</f>
        <v>5.1597996863416027</v>
      </c>
    </row>
    <row r="794" spans="1:13">
      <c r="A794" s="321">
        <v>201</v>
      </c>
      <c r="B794" s="321" t="s">
        <v>584</v>
      </c>
      <c r="C794" s="321" t="s">
        <v>585</v>
      </c>
      <c r="D794" s="321" t="s">
        <v>16</v>
      </c>
      <c r="E794" s="321" t="s">
        <v>22</v>
      </c>
      <c r="F794" s="405">
        <v>63792</v>
      </c>
      <c r="G794" s="405">
        <v>6.38</v>
      </c>
      <c r="H794" s="405">
        <v>848.43</v>
      </c>
      <c r="I794" s="321" t="s">
        <v>18</v>
      </c>
      <c r="J794" s="321" t="s">
        <v>59</v>
      </c>
      <c r="K794" s="224">
        <f>H794/F794</f>
        <v>1.3299943566591421E-2</v>
      </c>
    </row>
    <row r="795" spans="1:13">
      <c r="A795" s="321">
        <v>223</v>
      </c>
      <c r="B795" s="321" t="s">
        <v>2831</v>
      </c>
      <c r="C795" s="321" t="s">
        <v>2832</v>
      </c>
      <c r="D795" s="321" t="s">
        <v>16</v>
      </c>
      <c r="E795" s="321" t="s">
        <v>2833</v>
      </c>
      <c r="F795" s="321">
        <v>41625</v>
      </c>
      <c r="G795" s="321">
        <v>41625</v>
      </c>
      <c r="H795" s="321">
        <v>15359.63</v>
      </c>
      <c r="I795" s="321" t="s">
        <v>18</v>
      </c>
      <c r="J795" s="321" t="s">
        <v>19</v>
      </c>
      <c r="K795" s="224">
        <f>H795/F795</f>
        <v>0.36900012012012012</v>
      </c>
    </row>
    <row r="796" spans="1:13" ht="15">
      <c r="A796" s="321">
        <v>223</v>
      </c>
      <c r="B796" s="321" t="s">
        <v>642</v>
      </c>
      <c r="C796" s="321" t="s">
        <v>643</v>
      </c>
      <c r="D796" s="321" t="s">
        <v>16</v>
      </c>
      <c r="E796" s="321" t="s">
        <v>17</v>
      </c>
      <c r="F796" s="405">
        <v>22000</v>
      </c>
      <c r="G796" s="405">
        <v>22000</v>
      </c>
      <c r="H796" s="405">
        <v>14986.4</v>
      </c>
      <c r="I796" s="321" t="s">
        <v>18</v>
      </c>
      <c r="J796" s="321" t="s">
        <v>19</v>
      </c>
      <c r="K796" s="224">
        <f>H796/F796</f>
        <v>0.68120000000000003</v>
      </c>
      <c r="M796" s="215"/>
    </row>
    <row r="797" spans="1:13" ht="12.75" customHeight="1">
      <c r="A797" s="321">
        <v>88</v>
      </c>
      <c r="B797" s="321">
        <v>9006</v>
      </c>
      <c r="C797" s="321" t="s">
        <v>587</v>
      </c>
      <c r="D797" s="321" t="s">
        <v>28</v>
      </c>
      <c r="E797" s="321" t="s">
        <v>29</v>
      </c>
      <c r="F797" s="405">
        <v>0</v>
      </c>
      <c r="G797" s="405">
        <v>0</v>
      </c>
      <c r="H797" s="405">
        <v>0</v>
      </c>
      <c r="I797" s="321" t="s">
        <v>30</v>
      </c>
      <c r="J797" s="321" t="s">
        <v>23</v>
      </c>
      <c r="K797" s="224" t="e">
        <f>H797/F797</f>
        <v>#DIV/0!</v>
      </c>
    </row>
    <row r="798" spans="1:13" ht="12.75" customHeight="1">
      <c r="A798" s="321">
        <v>288</v>
      </c>
      <c r="B798" s="321">
        <v>9131</v>
      </c>
      <c r="C798" s="321" t="s">
        <v>99</v>
      </c>
      <c r="D798" s="321" t="s">
        <v>28</v>
      </c>
      <c r="E798" s="321" t="s">
        <v>56</v>
      </c>
      <c r="F798" s="321">
        <v>-1200</v>
      </c>
      <c r="G798" s="405">
        <v>-40311.599999999999</v>
      </c>
      <c r="H798" s="405">
        <v>-21867.599999999999</v>
      </c>
      <c r="I798" s="321" t="s">
        <v>30</v>
      </c>
      <c r="J798" s="321" t="s">
        <v>19</v>
      </c>
      <c r="K798" s="224">
        <f>H798/F798</f>
        <v>18.222999999999999</v>
      </c>
    </row>
    <row r="799" spans="1:13" ht="12.75" customHeight="1">
      <c r="A799" s="321">
        <v>11</v>
      </c>
      <c r="B799" s="321">
        <v>9814</v>
      </c>
      <c r="C799" s="321" t="s">
        <v>393</v>
      </c>
      <c r="D799" s="321" t="s">
        <v>28</v>
      </c>
      <c r="E799" s="321" t="s">
        <v>54</v>
      </c>
      <c r="F799" s="405">
        <v>170</v>
      </c>
      <c r="G799" s="405">
        <v>8330</v>
      </c>
      <c r="H799" s="405">
        <v>3922.31</v>
      </c>
      <c r="I799" s="321" t="s">
        <v>30</v>
      </c>
      <c r="J799" s="321" t="s">
        <v>23</v>
      </c>
      <c r="K799" s="224">
        <f>H799/F799</f>
        <v>23.072411764705883</v>
      </c>
      <c r="L799" s="215"/>
    </row>
    <row r="800" spans="1:13">
      <c r="A800" s="321">
        <v>211</v>
      </c>
      <c r="B800" s="321">
        <v>5314</v>
      </c>
      <c r="C800" s="321" t="s">
        <v>55</v>
      </c>
      <c r="D800" s="321" t="s">
        <v>28</v>
      </c>
      <c r="E800" s="321" t="s">
        <v>56</v>
      </c>
      <c r="F800" s="321">
        <v>526</v>
      </c>
      <c r="G800" s="321">
        <v>13481.38</v>
      </c>
      <c r="H800" s="321">
        <v>4654.3100000000004</v>
      </c>
      <c r="I800" s="321" t="s">
        <v>30</v>
      </c>
      <c r="J800" s="321" t="s">
        <v>19</v>
      </c>
      <c r="K800" s="224">
        <f>H800/F800</f>
        <v>8.8484980988593165</v>
      </c>
    </row>
    <row r="801" spans="1:12" ht="12.75" customHeight="1">
      <c r="A801" s="321">
        <v>11</v>
      </c>
      <c r="B801" s="321" t="s">
        <v>584</v>
      </c>
      <c r="C801" s="321" t="s">
        <v>585</v>
      </c>
      <c r="D801" s="321" t="s">
        <v>16</v>
      </c>
      <c r="E801" s="321" t="s">
        <v>22</v>
      </c>
      <c r="F801" s="321">
        <v>80000</v>
      </c>
      <c r="G801" s="405">
        <v>8</v>
      </c>
      <c r="H801" s="405">
        <v>1040</v>
      </c>
      <c r="I801" s="321" t="s">
        <v>18</v>
      </c>
      <c r="J801" s="321" t="s">
        <v>59</v>
      </c>
      <c r="K801" s="224">
        <f>H801/F801</f>
        <v>1.2999999999999999E-2</v>
      </c>
    </row>
    <row r="802" spans="1:12" ht="12.75" customHeight="1">
      <c r="A802" s="321">
        <v>1</v>
      </c>
      <c r="B802" s="321" t="s">
        <v>584</v>
      </c>
      <c r="C802" s="321" t="s">
        <v>585</v>
      </c>
      <c r="D802" s="321" t="s">
        <v>16</v>
      </c>
      <c r="E802" s="321" t="s">
        <v>22</v>
      </c>
      <c r="F802" s="405">
        <v>5119</v>
      </c>
      <c r="G802" s="405">
        <v>0.51</v>
      </c>
      <c r="H802" s="405">
        <v>66.55</v>
      </c>
      <c r="I802" s="321" t="s">
        <v>18</v>
      </c>
      <c r="J802" s="321" t="s">
        <v>59</v>
      </c>
      <c r="K802" s="224">
        <f>H802/F802</f>
        <v>1.3000586051963274E-2</v>
      </c>
    </row>
    <row r="803" spans="1:12">
      <c r="A803" s="321">
        <v>288</v>
      </c>
      <c r="B803" s="321">
        <v>5002</v>
      </c>
      <c r="C803" s="321" t="s">
        <v>130</v>
      </c>
      <c r="D803" s="321" t="s">
        <v>28</v>
      </c>
      <c r="E803" s="321" t="s">
        <v>29</v>
      </c>
      <c r="F803" s="405">
        <v>0</v>
      </c>
      <c r="G803" s="405">
        <v>0</v>
      </c>
      <c r="H803" s="405">
        <v>166.73</v>
      </c>
      <c r="I803" s="321" t="s">
        <v>30</v>
      </c>
      <c r="J803" s="321" t="s">
        <v>19</v>
      </c>
      <c r="K803" s="224" t="e">
        <f>H803/F803</f>
        <v>#DIV/0!</v>
      </c>
    </row>
    <row r="804" spans="1:12">
      <c r="A804" s="321">
        <v>1</v>
      </c>
      <c r="B804" s="321" t="s">
        <v>535</v>
      </c>
      <c r="C804" s="321" t="s">
        <v>536</v>
      </c>
      <c r="D804" s="321" t="s">
        <v>16</v>
      </c>
      <c r="E804" s="321" t="s">
        <v>17</v>
      </c>
      <c r="F804" s="321">
        <v>488</v>
      </c>
      <c r="G804" s="405">
        <v>488</v>
      </c>
      <c r="H804" s="405">
        <v>328.03</v>
      </c>
      <c r="I804" s="321" t="s">
        <v>18</v>
      </c>
      <c r="J804" s="321" t="s">
        <v>23</v>
      </c>
      <c r="K804" s="224">
        <f>H804/F804</f>
        <v>0.67219262295081961</v>
      </c>
    </row>
    <row r="805" spans="1:12" ht="12.75" customHeight="1">
      <c r="A805" s="321">
        <v>201</v>
      </c>
      <c r="B805" s="321" t="s">
        <v>125</v>
      </c>
      <c r="C805" s="321" t="s">
        <v>126</v>
      </c>
      <c r="D805" s="321" t="s">
        <v>43</v>
      </c>
      <c r="E805" s="321"/>
      <c r="F805" s="321">
        <v>1954.15</v>
      </c>
      <c r="G805" s="405">
        <v>1954.15</v>
      </c>
      <c r="H805" s="321">
        <v>1404.06</v>
      </c>
      <c r="I805" s="321" t="s">
        <v>44</v>
      </c>
      <c r="J805" s="321" t="s">
        <v>19</v>
      </c>
      <c r="K805" s="224">
        <f>H805/F805</f>
        <v>0.71850165033390467</v>
      </c>
    </row>
    <row r="806" spans="1:12" ht="12.75" customHeight="1">
      <c r="A806" s="321">
        <v>223</v>
      </c>
      <c r="B806" s="321" t="s">
        <v>219</v>
      </c>
      <c r="C806" s="321" t="s">
        <v>220</v>
      </c>
      <c r="D806" s="321" t="s">
        <v>16</v>
      </c>
      <c r="E806" s="321" t="s">
        <v>221</v>
      </c>
      <c r="F806" s="321">
        <v>8905</v>
      </c>
      <c r="G806" s="405">
        <v>4452.5</v>
      </c>
      <c r="H806" s="321">
        <v>6629.77</v>
      </c>
      <c r="I806" s="321" t="s">
        <v>18</v>
      </c>
      <c r="J806" s="321" t="s">
        <v>19</v>
      </c>
      <c r="K806" s="224">
        <f>H806/F806</f>
        <v>0.7444997192588434</v>
      </c>
    </row>
    <row r="807" spans="1:12" ht="12.75" customHeight="1">
      <c r="A807" s="321">
        <v>1</v>
      </c>
      <c r="B807" s="321" t="s">
        <v>125</v>
      </c>
      <c r="C807" s="321" t="s">
        <v>126</v>
      </c>
      <c r="D807" s="321" t="s">
        <v>43</v>
      </c>
      <c r="E807" s="321"/>
      <c r="F807" s="405">
        <v>4900</v>
      </c>
      <c r="G807" s="405">
        <v>4900</v>
      </c>
      <c r="H807" s="405">
        <v>3093.88</v>
      </c>
      <c r="I807" s="321" t="s">
        <v>44</v>
      </c>
      <c r="J807" s="321" t="s">
        <v>23</v>
      </c>
      <c r="K807" s="224">
        <f>H807/F807</f>
        <v>0.63140408163265305</v>
      </c>
    </row>
    <row r="808" spans="1:12">
      <c r="A808" s="321">
        <v>288</v>
      </c>
      <c r="B808" s="321" t="s">
        <v>360</v>
      </c>
      <c r="C808" s="321" t="s">
        <v>361</v>
      </c>
      <c r="D808" s="321" t="s">
        <v>43</v>
      </c>
      <c r="E808" s="321"/>
      <c r="F808" s="321">
        <v>0</v>
      </c>
      <c r="G808" s="405">
        <v>0</v>
      </c>
      <c r="H808" s="321">
        <v>0</v>
      </c>
      <c r="I808" s="321" t="s">
        <v>44</v>
      </c>
      <c r="J808" s="321" t="s">
        <v>19</v>
      </c>
      <c r="K808" s="224" t="e">
        <f>H808/F808</f>
        <v>#DIV/0!</v>
      </c>
    </row>
    <row r="809" spans="1:12">
      <c r="A809" s="321">
        <v>1</v>
      </c>
      <c r="B809" s="321" t="s">
        <v>540</v>
      </c>
      <c r="C809" s="321" t="s">
        <v>541</v>
      </c>
      <c r="D809" s="321" t="s">
        <v>16</v>
      </c>
      <c r="E809" s="321" t="s">
        <v>17</v>
      </c>
      <c r="F809" s="405">
        <v>449</v>
      </c>
      <c r="G809" s="405">
        <v>449</v>
      </c>
      <c r="H809" s="405">
        <v>250.59</v>
      </c>
      <c r="I809" s="321" t="s">
        <v>18</v>
      </c>
      <c r="J809" s="321" t="s">
        <v>23</v>
      </c>
      <c r="K809" s="224">
        <f>H809/F809</f>
        <v>0.55810690423162579</v>
      </c>
    </row>
    <row r="810" spans="1:12">
      <c r="A810" s="321">
        <v>288</v>
      </c>
      <c r="B810" s="321" t="s">
        <v>191</v>
      </c>
      <c r="C810" s="321" t="s">
        <v>192</v>
      </c>
      <c r="D810" s="321" t="s">
        <v>43</v>
      </c>
      <c r="E810" s="321"/>
      <c r="F810" s="405">
        <v>-10.5</v>
      </c>
      <c r="G810" s="405">
        <v>-10.5</v>
      </c>
      <c r="H810" s="405">
        <v>-180.52</v>
      </c>
      <c r="I810" s="321" t="s">
        <v>44</v>
      </c>
      <c r="J810" s="321" t="s">
        <v>19</v>
      </c>
      <c r="K810" s="224">
        <f>H810/F810</f>
        <v>17.192380952380955</v>
      </c>
    </row>
    <row r="811" spans="1:12" ht="12.75" customHeight="1">
      <c r="A811" s="321">
        <v>201</v>
      </c>
      <c r="B811" s="321" t="s">
        <v>588</v>
      </c>
      <c r="C811" s="321" t="s">
        <v>589</v>
      </c>
      <c r="D811" s="321" t="s">
        <v>16</v>
      </c>
      <c r="E811" s="321" t="s">
        <v>590</v>
      </c>
      <c r="F811" s="321">
        <v>769</v>
      </c>
      <c r="G811" s="405">
        <v>769</v>
      </c>
      <c r="H811" s="321">
        <v>578.4</v>
      </c>
      <c r="I811" s="321" t="s">
        <v>18</v>
      </c>
      <c r="J811" s="321" t="s">
        <v>19</v>
      </c>
      <c r="K811" s="224">
        <f>H811/F811</f>
        <v>0.75214564369310788</v>
      </c>
      <c r="L811" s="215"/>
    </row>
    <row r="812" spans="1:12" ht="12.75" customHeight="1">
      <c r="A812" s="321">
        <v>201</v>
      </c>
      <c r="B812" s="321">
        <v>4152</v>
      </c>
      <c r="C812" s="321" t="s">
        <v>591</v>
      </c>
      <c r="D812" s="321" t="s">
        <v>28</v>
      </c>
      <c r="E812" s="321" t="s">
        <v>54</v>
      </c>
      <c r="F812" s="321">
        <v>12</v>
      </c>
      <c r="G812" s="405">
        <v>488.28</v>
      </c>
      <c r="H812" s="405">
        <v>215.75</v>
      </c>
      <c r="I812" s="321" t="s">
        <v>30</v>
      </c>
      <c r="J812" s="321" t="s">
        <v>59</v>
      </c>
      <c r="K812" s="224">
        <f>H812/F812</f>
        <v>17.979166666666668</v>
      </c>
    </row>
    <row r="813" spans="1:12">
      <c r="A813" s="321">
        <v>1</v>
      </c>
      <c r="B813" s="321" t="s">
        <v>588</v>
      </c>
      <c r="C813" s="321" t="s">
        <v>589</v>
      </c>
      <c r="D813" s="321" t="s">
        <v>16</v>
      </c>
      <c r="E813" s="321" t="s">
        <v>590</v>
      </c>
      <c r="F813" s="405">
        <v>2762</v>
      </c>
      <c r="G813" s="405">
        <v>2762</v>
      </c>
      <c r="H813" s="405">
        <v>1643.39</v>
      </c>
      <c r="I813" s="321" t="s">
        <v>18</v>
      </c>
      <c r="J813" s="321" t="s">
        <v>23</v>
      </c>
      <c r="K813" s="224">
        <f>H813/F813</f>
        <v>0.59500000000000008</v>
      </c>
    </row>
    <row r="814" spans="1:12" ht="12.75" customHeight="1">
      <c r="A814" s="321">
        <v>11</v>
      </c>
      <c r="B814" s="321" t="s">
        <v>303</v>
      </c>
      <c r="C814" s="321" t="s">
        <v>304</v>
      </c>
      <c r="D814" s="321" t="s">
        <v>34</v>
      </c>
      <c r="E814" s="321"/>
      <c r="F814" s="405">
        <v>2450</v>
      </c>
      <c r="G814" s="405">
        <v>29400</v>
      </c>
      <c r="H814" s="405">
        <v>29399.02</v>
      </c>
      <c r="I814" s="321" t="s">
        <v>44</v>
      </c>
      <c r="J814" s="321" t="s">
        <v>23</v>
      </c>
      <c r="K814" s="224">
        <f>H814/F814</f>
        <v>11.999600000000001</v>
      </c>
    </row>
    <row r="815" spans="1:12" ht="12.75" customHeight="1">
      <c r="A815" s="321">
        <v>11</v>
      </c>
      <c r="B815" s="321">
        <v>4152</v>
      </c>
      <c r="C815" s="321" t="s">
        <v>591</v>
      </c>
      <c r="D815" s="321" t="s">
        <v>28</v>
      </c>
      <c r="E815" s="321" t="s">
        <v>54</v>
      </c>
      <c r="F815" s="321">
        <v>3033</v>
      </c>
      <c r="G815" s="321">
        <v>123412.77</v>
      </c>
      <c r="H815" s="321">
        <v>53978.27</v>
      </c>
      <c r="I815" s="321" t="s">
        <v>30</v>
      </c>
      <c r="J815" s="321" t="s">
        <v>59</v>
      </c>
      <c r="K815" s="224">
        <f>H815/F815</f>
        <v>17.796989779096602</v>
      </c>
    </row>
    <row r="816" spans="1:12">
      <c r="A816" s="321">
        <v>11</v>
      </c>
      <c r="B816" s="321" t="s">
        <v>588</v>
      </c>
      <c r="C816" s="321" t="s">
        <v>589</v>
      </c>
      <c r="D816" s="321" t="s">
        <v>16</v>
      </c>
      <c r="E816" s="321" t="s">
        <v>590</v>
      </c>
      <c r="F816" s="405">
        <v>19800</v>
      </c>
      <c r="G816" s="405">
        <v>19800</v>
      </c>
      <c r="H816" s="405">
        <v>11781</v>
      </c>
      <c r="I816" s="321" t="s">
        <v>18</v>
      </c>
      <c r="J816" s="321" t="s">
        <v>23</v>
      </c>
      <c r="K816" s="224">
        <f>H816/F816</f>
        <v>0.59499999999999997</v>
      </c>
    </row>
    <row r="817" spans="1:11" ht="12.75" customHeight="1">
      <c r="A817" s="321">
        <v>223</v>
      </c>
      <c r="B817" s="321" t="s">
        <v>582</v>
      </c>
      <c r="C817" s="321" t="s">
        <v>583</v>
      </c>
      <c r="D817" s="321" t="s">
        <v>16</v>
      </c>
      <c r="E817" s="321" t="s">
        <v>65</v>
      </c>
      <c r="F817" s="405">
        <v>4510</v>
      </c>
      <c r="G817" s="405">
        <v>4510</v>
      </c>
      <c r="H817" s="405">
        <v>2714.12</v>
      </c>
      <c r="I817" s="321" t="s">
        <v>18</v>
      </c>
      <c r="J817" s="321" t="s">
        <v>19</v>
      </c>
      <c r="K817" s="224">
        <f>H817/F817</f>
        <v>0.60180044345897998</v>
      </c>
    </row>
    <row r="818" spans="1:11" ht="12.75" customHeight="1">
      <c r="A818" s="321">
        <v>88</v>
      </c>
      <c r="B818" s="321" t="s">
        <v>588</v>
      </c>
      <c r="C818" s="321" t="s">
        <v>589</v>
      </c>
      <c r="D818" s="321" t="s">
        <v>16</v>
      </c>
      <c r="E818" s="321" t="s">
        <v>590</v>
      </c>
      <c r="F818" s="405">
        <v>-2000</v>
      </c>
      <c r="G818" s="405">
        <v>-2000</v>
      </c>
      <c r="H818" s="405">
        <v>-1190</v>
      </c>
      <c r="I818" s="321" t="s">
        <v>18</v>
      </c>
      <c r="J818" s="321" t="s">
        <v>23</v>
      </c>
      <c r="K818" s="224">
        <f>H818/F818</f>
        <v>0.59499999999999997</v>
      </c>
    </row>
    <row r="819" spans="1:11" ht="12.75" customHeight="1">
      <c r="A819" s="321">
        <v>201</v>
      </c>
      <c r="B819" s="321" t="s">
        <v>594</v>
      </c>
      <c r="C819" s="321" t="s">
        <v>595</v>
      </c>
      <c r="D819" s="321" t="s">
        <v>43</v>
      </c>
      <c r="E819" s="321"/>
      <c r="F819" s="405">
        <v>619.6</v>
      </c>
      <c r="G819" s="405">
        <v>619.6</v>
      </c>
      <c r="H819" s="405">
        <v>5719.9</v>
      </c>
      <c r="I819" s="321" t="s">
        <v>44</v>
      </c>
      <c r="J819" s="321" t="s">
        <v>19</v>
      </c>
      <c r="K819" s="224">
        <f>H819/F819</f>
        <v>9.2316010329244662</v>
      </c>
    </row>
    <row r="820" spans="1:11">
      <c r="A820" s="321">
        <v>11</v>
      </c>
      <c r="B820" s="321" t="s">
        <v>297</v>
      </c>
      <c r="C820" s="321" t="s">
        <v>298</v>
      </c>
      <c r="D820" s="321" t="s">
        <v>34</v>
      </c>
      <c r="E820" s="321" t="s">
        <v>299</v>
      </c>
      <c r="F820" s="321">
        <v>3480</v>
      </c>
      <c r="G820" s="321">
        <v>36644.400000000001</v>
      </c>
      <c r="H820" s="321">
        <v>47228.12</v>
      </c>
      <c r="I820" s="321" t="s">
        <v>44</v>
      </c>
      <c r="J820" s="321" t="s">
        <v>23</v>
      </c>
      <c r="K820" s="224">
        <f>H820/F820</f>
        <v>13.571298850574713</v>
      </c>
    </row>
    <row r="821" spans="1:11" ht="12.75" customHeight="1">
      <c r="A821" s="321">
        <v>223</v>
      </c>
      <c r="B821" s="321" t="s">
        <v>2843</v>
      </c>
      <c r="C821" s="321" t="s">
        <v>2865</v>
      </c>
      <c r="D821" s="321" t="s">
        <v>16</v>
      </c>
      <c r="E821" s="321" t="s">
        <v>22</v>
      </c>
      <c r="F821" s="405">
        <v>15000</v>
      </c>
      <c r="G821" s="405">
        <v>1.5</v>
      </c>
      <c r="H821" s="405">
        <v>205.5</v>
      </c>
      <c r="I821" s="321" t="s">
        <v>18</v>
      </c>
      <c r="J821" s="321" t="s">
        <v>19</v>
      </c>
      <c r="K821" s="224">
        <f>H821/F821</f>
        <v>1.37E-2</v>
      </c>
    </row>
    <row r="822" spans="1:11" ht="12.75" customHeight="1">
      <c r="A822" s="321">
        <v>223</v>
      </c>
      <c r="B822" s="321" t="s">
        <v>83</v>
      </c>
      <c r="C822" s="321" t="s">
        <v>84</v>
      </c>
      <c r="D822" s="321" t="s">
        <v>16</v>
      </c>
      <c r="E822" s="321" t="s">
        <v>22</v>
      </c>
      <c r="F822" s="405">
        <v>405000</v>
      </c>
      <c r="G822" s="405">
        <v>40.5</v>
      </c>
      <c r="H822" s="405">
        <v>2713.5</v>
      </c>
      <c r="I822" s="321" t="s">
        <v>18</v>
      </c>
      <c r="J822" s="321" t="s">
        <v>19</v>
      </c>
      <c r="K822" s="224">
        <f>H822/F822</f>
        <v>6.7000000000000002E-3</v>
      </c>
    </row>
    <row r="823" spans="1:11" ht="12.75" customHeight="1">
      <c r="A823" s="321">
        <v>288</v>
      </c>
      <c r="B823" s="321">
        <v>4152</v>
      </c>
      <c r="C823" s="321" t="s">
        <v>591</v>
      </c>
      <c r="D823" s="321" t="s">
        <v>28</v>
      </c>
      <c r="E823" s="321" t="s">
        <v>54</v>
      </c>
      <c r="F823" s="405">
        <v>-12</v>
      </c>
      <c r="G823" s="405">
        <v>-488.28</v>
      </c>
      <c r="H823" s="405">
        <v>-215.75</v>
      </c>
      <c r="I823" s="321" t="s">
        <v>30</v>
      </c>
      <c r="J823" s="321" t="s">
        <v>59</v>
      </c>
      <c r="K823" s="224">
        <f>H823/F823</f>
        <v>17.979166666666668</v>
      </c>
    </row>
    <row r="824" spans="1:11">
      <c r="A824" s="321">
        <v>223</v>
      </c>
      <c r="B824" s="321" t="s">
        <v>173</v>
      </c>
      <c r="C824" s="321" t="s">
        <v>174</v>
      </c>
      <c r="D824" s="321" t="s">
        <v>34</v>
      </c>
      <c r="E824" s="321"/>
      <c r="F824" s="405">
        <v>1524</v>
      </c>
      <c r="G824" s="405">
        <v>13563.6</v>
      </c>
      <c r="H824" s="405">
        <v>5393.28</v>
      </c>
      <c r="I824" s="321" t="s">
        <v>35</v>
      </c>
      <c r="J824" s="321" t="s">
        <v>19</v>
      </c>
      <c r="K824" s="224">
        <f>H824/F824</f>
        <v>3.5388976377952752</v>
      </c>
    </row>
    <row r="825" spans="1:11" ht="12.75" customHeight="1">
      <c r="A825" s="321">
        <v>99</v>
      </c>
      <c r="B825" s="321">
        <v>4152</v>
      </c>
      <c r="C825" s="321" t="s">
        <v>591</v>
      </c>
      <c r="D825" s="321" t="s">
        <v>28</v>
      </c>
      <c r="E825" s="321" t="s">
        <v>54</v>
      </c>
      <c r="F825" s="321">
        <v>78</v>
      </c>
      <c r="G825" s="405">
        <v>3173.82</v>
      </c>
      <c r="H825" s="405">
        <v>1388.53</v>
      </c>
      <c r="I825" s="321" t="s">
        <v>30</v>
      </c>
      <c r="J825" s="321" t="s">
        <v>59</v>
      </c>
      <c r="K825" s="224">
        <f>H825/F825</f>
        <v>17.801666666666666</v>
      </c>
    </row>
    <row r="826" spans="1:11">
      <c r="A826" s="321">
        <v>211</v>
      </c>
      <c r="B826" s="321">
        <v>9814</v>
      </c>
      <c r="C826" s="321" t="s">
        <v>393</v>
      </c>
      <c r="D826" s="321" t="s">
        <v>28</v>
      </c>
      <c r="E826" s="321" t="s">
        <v>54</v>
      </c>
      <c r="F826" s="405">
        <v>142</v>
      </c>
      <c r="G826" s="405">
        <v>6958</v>
      </c>
      <c r="H826" s="405">
        <v>3066.75</v>
      </c>
      <c r="I826" s="321" t="s">
        <v>30</v>
      </c>
      <c r="J826" s="321" t="s">
        <v>19</v>
      </c>
      <c r="K826" s="224">
        <f>H826/F826</f>
        <v>21.596830985915492</v>
      </c>
    </row>
    <row r="827" spans="1:11" ht="12.75" customHeight="1">
      <c r="A827" s="321">
        <v>288</v>
      </c>
      <c r="B827" s="321" t="s">
        <v>588</v>
      </c>
      <c r="C827" s="321" t="s">
        <v>589</v>
      </c>
      <c r="D827" s="321" t="s">
        <v>16</v>
      </c>
      <c r="E827" s="321" t="s">
        <v>590</v>
      </c>
      <c r="F827" s="405">
        <v>-109</v>
      </c>
      <c r="G827" s="405">
        <v>-109</v>
      </c>
      <c r="H827" s="405">
        <v>-81.92</v>
      </c>
      <c r="I827" s="321" t="s">
        <v>18</v>
      </c>
      <c r="J827" s="321" t="s">
        <v>19</v>
      </c>
      <c r="K827" s="224">
        <f>H827/F827</f>
        <v>0.75155963302752293</v>
      </c>
    </row>
    <row r="828" spans="1:11">
      <c r="A828" s="321">
        <v>601</v>
      </c>
      <c r="B828" s="321">
        <v>4152</v>
      </c>
      <c r="C828" s="321" t="s">
        <v>591</v>
      </c>
      <c r="D828" s="321" t="s">
        <v>28</v>
      </c>
      <c r="E828" s="321" t="s">
        <v>54</v>
      </c>
      <c r="F828" s="405">
        <v>1833</v>
      </c>
      <c r="G828" s="405">
        <v>74584.77</v>
      </c>
      <c r="H828" s="405">
        <v>33303.96</v>
      </c>
      <c r="I828" s="321" t="s">
        <v>30</v>
      </c>
      <c r="J828" s="321" t="s">
        <v>59</v>
      </c>
      <c r="K828" s="224">
        <f>H828/F828</f>
        <v>18.169099836333878</v>
      </c>
    </row>
    <row r="829" spans="1:11" ht="12.75" customHeight="1">
      <c r="A829" s="321">
        <v>602</v>
      </c>
      <c r="B829" s="321">
        <v>4152</v>
      </c>
      <c r="C829" s="321" t="s">
        <v>591</v>
      </c>
      <c r="D829" s="321" t="s">
        <v>28</v>
      </c>
      <c r="E829" s="321" t="s">
        <v>54</v>
      </c>
      <c r="F829" s="405">
        <v>451</v>
      </c>
      <c r="G829" s="405">
        <v>18351.189999999999</v>
      </c>
      <c r="H829" s="405">
        <v>8150.92</v>
      </c>
      <c r="I829" s="321" t="s">
        <v>30</v>
      </c>
      <c r="J829" s="321" t="s">
        <v>59</v>
      </c>
      <c r="K829" s="224">
        <f>H829/F829</f>
        <v>18.0729933481153</v>
      </c>
    </row>
    <row r="830" spans="1:11">
      <c r="A830" s="321">
        <v>201</v>
      </c>
      <c r="B830" s="321" t="s">
        <v>2843</v>
      </c>
      <c r="C830" s="321" t="s">
        <v>2865</v>
      </c>
      <c r="D830" s="321" t="s">
        <v>16</v>
      </c>
      <c r="E830" s="321" t="s">
        <v>22</v>
      </c>
      <c r="F830" s="405">
        <v>33379</v>
      </c>
      <c r="G830" s="405">
        <v>3.34</v>
      </c>
      <c r="H830" s="405">
        <v>457.29</v>
      </c>
      <c r="I830" s="321" t="s">
        <v>18</v>
      </c>
      <c r="J830" s="321" t="s">
        <v>19</v>
      </c>
      <c r="K830" s="224">
        <f>H830/F830</f>
        <v>1.3699931094400672E-2</v>
      </c>
    </row>
    <row r="831" spans="1:11">
      <c r="A831" s="321">
        <v>99</v>
      </c>
      <c r="B831" s="321" t="s">
        <v>170</v>
      </c>
      <c r="C831" s="321" t="s">
        <v>2751</v>
      </c>
      <c r="D831" s="321" t="s">
        <v>43</v>
      </c>
      <c r="E831" s="321"/>
      <c r="F831" s="405">
        <v>0</v>
      </c>
      <c r="G831" s="405">
        <v>0</v>
      </c>
      <c r="H831" s="405">
        <v>-853.59</v>
      </c>
      <c r="I831" s="321" t="s">
        <v>44</v>
      </c>
      <c r="J831" s="321" t="s">
        <v>23</v>
      </c>
      <c r="K831" s="224" t="e">
        <f>H831/F831</f>
        <v>#DIV/0!</v>
      </c>
    </row>
    <row r="832" spans="1:11" ht="12.75" customHeight="1">
      <c r="A832" s="321">
        <v>1</v>
      </c>
      <c r="B832" s="321" t="s">
        <v>598</v>
      </c>
      <c r="C832" s="321" t="s">
        <v>599</v>
      </c>
      <c r="D832" s="321" t="s">
        <v>16</v>
      </c>
      <c r="E832" s="321" t="s">
        <v>22</v>
      </c>
      <c r="F832" s="405">
        <v>11460</v>
      </c>
      <c r="G832" s="405">
        <v>1.1499999999999999</v>
      </c>
      <c r="H832" s="405">
        <v>153.56</v>
      </c>
      <c r="I832" s="321" t="s">
        <v>18</v>
      </c>
      <c r="J832" s="321" t="s">
        <v>23</v>
      </c>
      <c r="K832" s="224">
        <f>H832/F832</f>
        <v>1.3399650959860385E-2</v>
      </c>
    </row>
    <row r="833" spans="1:13">
      <c r="A833" s="321">
        <v>603</v>
      </c>
      <c r="B833" s="321">
        <v>4152</v>
      </c>
      <c r="C833" s="321" t="s">
        <v>591</v>
      </c>
      <c r="D833" s="321" t="s">
        <v>28</v>
      </c>
      <c r="E833" s="321" t="s">
        <v>54</v>
      </c>
      <c r="F833" s="405">
        <v>789</v>
      </c>
      <c r="G833" s="405">
        <v>32104.41</v>
      </c>
      <c r="H833" s="405">
        <v>14181.63</v>
      </c>
      <c r="I833" s="321" t="s">
        <v>30</v>
      </c>
      <c r="J833" s="321" t="s">
        <v>59</v>
      </c>
      <c r="K833" s="224">
        <f>H833/F833</f>
        <v>17.974182509505702</v>
      </c>
    </row>
    <row r="834" spans="1:13" ht="15">
      <c r="A834" s="321">
        <v>88</v>
      </c>
      <c r="B834" s="321" t="s">
        <v>1062</v>
      </c>
      <c r="C834" s="321" t="s">
        <v>1063</v>
      </c>
      <c r="D834" s="321" t="s">
        <v>34</v>
      </c>
      <c r="E834" s="321"/>
      <c r="F834" s="321">
        <v>9904</v>
      </c>
      <c r="G834" s="321">
        <v>88145.600000000006</v>
      </c>
      <c r="H834" s="321">
        <v>52030.66</v>
      </c>
      <c r="I834" s="321" t="s">
        <v>35</v>
      </c>
      <c r="J834" s="321" t="s">
        <v>23</v>
      </c>
      <c r="K834" s="224">
        <f>H834/F834</f>
        <v>5.2534995961227793</v>
      </c>
      <c r="M834" s="215"/>
    </row>
    <row r="835" spans="1:13" ht="15">
      <c r="A835" s="321">
        <v>11</v>
      </c>
      <c r="B835" s="321" t="s">
        <v>596</v>
      </c>
      <c r="C835" s="321" t="s">
        <v>597</v>
      </c>
      <c r="D835" s="321" t="s">
        <v>16</v>
      </c>
      <c r="E835" s="321" t="s">
        <v>22</v>
      </c>
      <c r="F835" s="405">
        <v>10000</v>
      </c>
      <c r="G835" s="405">
        <v>1</v>
      </c>
      <c r="H835" s="405">
        <v>134</v>
      </c>
      <c r="I835" s="321" t="s">
        <v>18</v>
      </c>
      <c r="J835" s="321" t="s">
        <v>23</v>
      </c>
      <c r="K835" s="224">
        <f>H835/F835</f>
        <v>1.34E-2</v>
      </c>
      <c r="M835" s="215"/>
    </row>
    <row r="836" spans="1:13">
      <c r="A836" s="321">
        <v>288</v>
      </c>
      <c r="B836" s="321" t="s">
        <v>123</v>
      </c>
      <c r="C836" s="321" t="s">
        <v>124</v>
      </c>
      <c r="D836" s="321" t="s">
        <v>43</v>
      </c>
      <c r="E836" s="321"/>
      <c r="F836" s="405">
        <v>0</v>
      </c>
      <c r="G836" s="405">
        <v>0</v>
      </c>
      <c r="H836" s="405">
        <v>0</v>
      </c>
      <c r="I836" s="321" t="s">
        <v>44</v>
      </c>
      <c r="J836" s="321" t="s">
        <v>19</v>
      </c>
      <c r="K836" s="224" t="e">
        <f>H836/F836</f>
        <v>#DIV/0!</v>
      </c>
    </row>
    <row r="837" spans="1:13" ht="12.75" customHeight="1">
      <c r="A837" s="321">
        <v>223</v>
      </c>
      <c r="B837" s="321" t="s">
        <v>472</v>
      </c>
      <c r="C837" s="321" t="s">
        <v>473</v>
      </c>
      <c r="D837" s="321" t="s">
        <v>16</v>
      </c>
      <c r="E837" s="321" t="s">
        <v>17</v>
      </c>
      <c r="F837" s="321">
        <v>7700</v>
      </c>
      <c r="G837" s="321">
        <v>7700</v>
      </c>
      <c r="H837" s="321">
        <v>4658.5</v>
      </c>
      <c r="I837" s="321" t="s">
        <v>18</v>
      </c>
      <c r="J837" s="321" t="s">
        <v>19</v>
      </c>
      <c r="K837" s="224">
        <f>H837/F837</f>
        <v>0.60499999999999998</v>
      </c>
    </row>
    <row r="838" spans="1:13" ht="12.75" customHeight="1">
      <c r="A838" s="321">
        <v>11</v>
      </c>
      <c r="B838" s="321">
        <v>7900</v>
      </c>
      <c r="C838" s="321" t="s">
        <v>528</v>
      </c>
      <c r="D838" s="321" t="s">
        <v>43</v>
      </c>
      <c r="E838" s="321" t="s">
        <v>88</v>
      </c>
      <c r="F838" s="405">
        <v>6053</v>
      </c>
      <c r="G838" s="405">
        <v>6053</v>
      </c>
      <c r="H838" s="405">
        <v>928.53</v>
      </c>
      <c r="I838" s="321" t="s">
        <v>30</v>
      </c>
      <c r="J838" s="321" t="s">
        <v>23</v>
      </c>
      <c r="K838" s="224">
        <f>H838/F838</f>
        <v>0.15339996695853295</v>
      </c>
    </row>
    <row r="839" spans="1:13">
      <c r="A839" s="321">
        <v>223</v>
      </c>
      <c r="B839" s="321" t="s">
        <v>576</v>
      </c>
      <c r="C839" s="321" t="s">
        <v>577</v>
      </c>
      <c r="D839" s="321" t="s">
        <v>16</v>
      </c>
      <c r="E839" s="321" t="s">
        <v>26</v>
      </c>
      <c r="F839" s="405">
        <v>1472500</v>
      </c>
      <c r="G839" s="405">
        <v>1472.5</v>
      </c>
      <c r="H839" s="405">
        <v>31806</v>
      </c>
      <c r="I839" s="321" t="s">
        <v>18</v>
      </c>
      <c r="J839" s="321" t="s">
        <v>19</v>
      </c>
      <c r="K839" s="224">
        <f>H839/F839</f>
        <v>2.1600000000000001E-2</v>
      </c>
    </row>
    <row r="840" spans="1:13" ht="12.75" customHeight="1">
      <c r="A840" s="321">
        <v>223</v>
      </c>
      <c r="B840" s="321" t="s">
        <v>655</v>
      </c>
      <c r="C840" s="321" t="s">
        <v>656</v>
      </c>
      <c r="D840" s="321" t="s">
        <v>16</v>
      </c>
      <c r="E840" s="321" t="s">
        <v>17</v>
      </c>
      <c r="F840" s="405">
        <v>36300</v>
      </c>
      <c r="G840" s="405">
        <v>36300</v>
      </c>
      <c r="H840" s="405">
        <v>21380.7</v>
      </c>
      <c r="I840" s="321" t="s">
        <v>18</v>
      </c>
      <c r="J840" s="321" t="s">
        <v>19</v>
      </c>
      <c r="K840" s="224">
        <f>H840/F840</f>
        <v>0.58899999999999997</v>
      </c>
    </row>
    <row r="841" spans="1:13">
      <c r="A841" s="321">
        <v>11</v>
      </c>
      <c r="B841" s="321" t="s">
        <v>598</v>
      </c>
      <c r="C841" s="321" t="s">
        <v>599</v>
      </c>
      <c r="D841" s="321" t="s">
        <v>16</v>
      </c>
      <c r="E841" s="321" t="s">
        <v>22</v>
      </c>
      <c r="F841" s="321">
        <v>30000</v>
      </c>
      <c r="G841" s="405">
        <v>3</v>
      </c>
      <c r="H841" s="405">
        <v>402</v>
      </c>
      <c r="I841" s="321" t="s">
        <v>18</v>
      </c>
      <c r="J841" s="321" t="s">
        <v>23</v>
      </c>
      <c r="K841" s="224">
        <f>H841/F841</f>
        <v>1.34E-2</v>
      </c>
    </row>
    <row r="842" spans="1:13">
      <c r="A842" s="321">
        <v>11</v>
      </c>
      <c r="B842" s="321" t="s">
        <v>1080</v>
      </c>
      <c r="C842" s="321" t="s">
        <v>1357</v>
      </c>
      <c r="D842" s="321" t="s">
        <v>34</v>
      </c>
      <c r="E842" s="321"/>
      <c r="F842" s="321">
        <v>5722</v>
      </c>
      <c r="G842" s="321">
        <v>50925.8</v>
      </c>
      <c r="H842" s="321">
        <v>20484.759999999998</v>
      </c>
      <c r="I842" s="321" t="s">
        <v>35</v>
      </c>
      <c r="J842" s="321" t="s">
        <v>23</v>
      </c>
      <c r="K842" s="224">
        <f>H842/F842</f>
        <v>3.5799999999999996</v>
      </c>
    </row>
    <row r="843" spans="1:13">
      <c r="A843" s="321">
        <v>223</v>
      </c>
      <c r="B843" s="321" t="s">
        <v>519</v>
      </c>
      <c r="C843" s="321" t="s">
        <v>520</v>
      </c>
      <c r="D843" s="321" t="s">
        <v>16</v>
      </c>
      <c r="E843" s="321" t="s">
        <v>521</v>
      </c>
      <c r="F843" s="321">
        <v>207360</v>
      </c>
      <c r="G843" s="321">
        <v>15095.81</v>
      </c>
      <c r="H843" s="321">
        <v>40787.72</v>
      </c>
      <c r="I843" s="321" t="s">
        <v>18</v>
      </c>
      <c r="J843" s="321" t="s">
        <v>19</v>
      </c>
      <c r="K843" s="224">
        <f>H843/F843</f>
        <v>0.19670003858024693</v>
      </c>
    </row>
    <row r="844" spans="1:13">
      <c r="A844" s="321">
        <v>11</v>
      </c>
      <c r="B844" s="321">
        <v>9818</v>
      </c>
      <c r="C844" s="321" t="s">
        <v>600</v>
      </c>
      <c r="D844" s="321" t="s">
        <v>28</v>
      </c>
      <c r="E844" s="321" t="s">
        <v>54</v>
      </c>
      <c r="F844" s="405">
        <v>550</v>
      </c>
      <c r="G844" s="405">
        <v>26950</v>
      </c>
      <c r="H844" s="405">
        <v>11595.1</v>
      </c>
      <c r="I844" s="321" t="s">
        <v>30</v>
      </c>
      <c r="J844" s="321" t="s">
        <v>23</v>
      </c>
      <c r="K844" s="224">
        <f>H844/F844</f>
        <v>21.082000000000001</v>
      </c>
    </row>
    <row r="845" spans="1:13" ht="12.75" customHeight="1">
      <c r="A845" s="321">
        <v>11</v>
      </c>
      <c r="B845" s="321" t="s">
        <v>258</v>
      </c>
      <c r="C845" s="321" t="s">
        <v>259</v>
      </c>
      <c r="D845" s="321" t="s">
        <v>34</v>
      </c>
      <c r="E845" s="321"/>
      <c r="F845" s="405">
        <v>500</v>
      </c>
      <c r="G845" s="405">
        <v>5565</v>
      </c>
      <c r="H845" s="405">
        <v>9750</v>
      </c>
      <c r="I845" s="321" t="s">
        <v>44</v>
      </c>
      <c r="J845" s="321" t="s">
        <v>23</v>
      </c>
      <c r="K845" s="224">
        <f>H845/F845</f>
        <v>19.5</v>
      </c>
    </row>
    <row r="846" spans="1:13" ht="12.75" customHeight="1">
      <c r="A846" s="321">
        <v>1</v>
      </c>
      <c r="B846" s="321" t="s">
        <v>480</v>
      </c>
      <c r="C846" s="321" t="s">
        <v>481</v>
      </c>
      <c r="D846" s="321" t="s">
        <v>16</v>
      </c>
      <c r="E846" s="321" t="s">
        <v>228</v>
      </c>
      <c r="F846" s="405">
        <v>1084</v>
      </c>
      <c r="G846" s="405">
        <v>47696</v>
      </c>
      <c r="H846" s="405">
        <v>25863.48</v>
      </c>
      <c r="I846" s="321" t="s">
        <v>35</v>
      </c>
      <c r="J846" s="321" t="s">
        <v>23</v>
      </c>
      <c r="K846" s="224">
        <f>H846/F846</f>
        <v>23.859298892988928</v>
      </c>
    </row>
    <row r="847" spans="1:13" ht="12.75" customHeight="1">
      <c r="A847" s="321">
        <v>201</v>
      </c>
      <c r="B847" s="321" t="s">
        <v>601</v>
      </c>
      <c r="C847" s="321" t="s">
        <v>602</v>
      </c>
      <c r="D847" s="321" t="s">
        <v>43</v>
      </c>
      <c r="E847" s="321"/>
      <c r="F847" s="321">
        <v>998.9</v>
      </c>
      <c r="G847" s="405">
        <v>998.9</v>
      </c>
      <c r="H847" s="405">
        <v>13055.62</v>
      </c>
      <c r="I847" s="321" t="s">
        <v>44</v>
      </c>
      <c r="J847" s="321" t="s">
        <v>19</v>
      </c>
      <c r="K847" s="224">
        <f>H847/F847</f>
        <v>13.069996996696368</v>
      </c>
    </row>
    <row r="848" spans="1:13">
      <c r="A848" s="321">
        <v>201</v>
      </c>
      <c r="B848" s="321" t="s">
        <v>484</v>
      </c>
      <c r="C848" s="321" t="s">
        <v>485</v>
      </c>
      <c r="D848" s="321" t="s">
        <v>16</v>
      </c>
      <c r="E848" s="321" t="s">
        <v>26</v>
      </c>
      <c r="F848" s="405">
        <v>76149</v>
      </c>
      <c r="G848" s="405">
        <v>76.150000000000006</v>
      </c>
      <c r="H848" s="405">
        <v>1637.2</v>
      </c>
      <c r="I848" s="321" t="s">
        <v>18</v>
      </c>
      <c r="J848" s="321" t="s">
        <v>19</v>
      </c>
      <c r="K848" s="224">
        <f>H848/F848</f>
        <v>2.1499954037479153E-2</v>
      </c>
    </row>
    <row r="849" spans="1:12">
      <c r="A849" s="321">
        <v>11</v>
      </c>
      <c r="B849" s="321" t="s">
        <v>603</v>
      </c>
      <c r="C849" s="321" t="s">
        <v>604</v>
      </c>
      <c r="D849" s="321" t="s">
        <v>16</v>
      </c>
      <c r="E849" s="321" t="s">
        <v>22</v>
      </c>
      <c r="F849" s="405">
        <v>45000</v>
      </c>
      <c r="G849" s="405">
        <v>4.5</v>
      </c>
      <c r="H849" s="405">
        <v>670.5</v>
      </c>
      <c r="I849" s="321" t="s">
        <v>18</v>
      </c>
      <c r="J849" s="321" t="s">
        <v>59</v>
      </c>
      <c r="K849" s="224">
        <f>H849/F849</f>
        <v>1.49E-2</v>
      </c>
    </row>
    <row r="850" spans="1:12" ht="12.75" customHeight="1">
      <c r="A850" s="321">
        <v>1</v>
      </c>
      <c r="B850" s="321" t="s">
        <v>484</v>
      </c>
      <c r="C850" s="321" t="s">
        <v>485</v>
      </c>
      <c r="D850" s="321" t="s">
        <v>16</v>
      </c>
      <c r="E850" s="321" t="s">
        <v>26</v>
      </c>
      <c r="F850" s="405">
        <v>3210</v>
      </c>
      <c r="G850" s="405">
        <v>3.21</v>
      </c>
      <c r="H850" s="405">
        <v>68.05</v>
      </c>
      <c r="I850" s="321" t="s">
        <v>18</v>
      </c>
      <c r="J850" s="321" t="s">
        <v>23</v>
      </c>
      <c r="K850" s="224">
        <f>H850/F850</f>
        <v>2.1199376947040497E-2</v>
      </c>
      <c r="L850" s="215"/>
    </row>
    <row r="851" spans="1:12" ht="12.75" customHeight="1">
      <c r="A851" s="321">
        <v>223</v>
      </c>
      <c r="B851" s="321" t="s">
        <v>657</v>
      </c>
      <c r="C851" s="321" t="s">
        <v>658</v>
      </c>
      <c r="D851" s="321" t="s">
        <v>43</v>
      </c>
      <c r="E851" s="321" t="s">
        <v>659</v>
      </c>
      <c r="F851" s="321">
        <v>495</v>
      </c>
      <c r="G851" s="405">
        <v>495</v>
      </c>
      <c r="H851" s="321">
        <v>9939.6</v>
      </c>
      <c r="I851" s="321" t="s">
        <v>44</v>
      </c>
      <c r="J851" s="321" t="s">
        <v>19</v>
      </c>
      <c r="K851" s="224">
        <f>H851/F851</f>
        <v>20.080000000000002</v>
      </c>
    </row>
    <row r="852" spans="1:12">
      <c r="A852" s="321">
        <v>201</v>
      </c>
      <c r="B852" s="321" t="s">
        <v>603</v>
      </c>
      <c r="C852" s="321" t="s">
        <v>604</v>
      </c>
      <c r="D852" s="321" t="s">
        <v>16</v>
      </c>
      <c r="E852" s="321" t="s">
        <v>22</v>
      </c>
      <c r="F852" s="405">
        <v>16681</v>
      </c>
      <c r="G852" s="405">
        <v>1.67</v>
      </c>
      <c r="H852" s="405">
        <v>231.87</v>
      </c>
      <c r="I852" s="321" t="s">
        <v>18</v>
      </c>
      <c r="J852" s="321" t="s">
        <v>59</v>
      </c>
      <c r="K852" s="224">
        <f>H852/F852</f>
        <v>1.3900245788621786E-2</v>
      </c>
    </row>
    <row r="853" spans="1:12" ht="12.75" customHeight="1">
      <c r="A853" s="321">
        <v>211</v>
      </c>
      <c r="B853" s="321">
        <v>6225</v>
      </c>
      <c r="C853" s="321" t="s">
        <v>438</v>
      </c>
      <c r="D853" s="321" t="s">
        <v>28</v>
      </c>
      <c r="E853" s="321" t="s">
        <v>56</v>
      </c>
      <c r="F853" s="321">
        <v>470</v>
      </c>
      <c r="G853" s="405">
        <v>6177.68</v>
      </c>
      <c r="H853" s="405">
        <v>2770.16</v>
      </c>
      <c r="I853" s="321" t="s">
        <v>30</v>
      </c>
      <c r="J853" s="321" t="s">
        <v>19</v>
      </c>
      <c r="K853" s="224">
        <f>H853/F853</f>
        <v>5.8939574468085105</v>
      </c>
      <c r="L853" s="215"/>
    </row>
    <row r="854" spans="1:12">
      <c r="A854" s="321">
        <v>88</v>
      </c>
      <c r="B854" s="321" t="s">
        <v>484</v>
      </c>
      <c r="C854" s="321" t="s">
        <v>485</v>
      </c>
      <c r="D854" s="321" t="s">
        <v>16</v>
      </c>
      <c r="E854" s="321" t="s">
        <v>26</v>
      </c>
      <c r="F854" s="321">
        <v>0</v>
      </c>
      <c r="G854" s="405">
        <v>0</v>
      </c>
      <c r="H854" s="321">
        <v>0</v>
      </c>
      <c r="I854" s="321" t="s">
        <v>18</v>
      </c>
      <c r="J854" s="321" t="s">
        <v>23</v>
      </c>
      <c r="K854" s="224" t="e">
        <f>H854/F854</f>
        <v>#DIV/0!</v>
      </c>
    </row>
    <row r="855" spans="1:12" ht="12.75" customHeight="1">
      <c r="A855" s="321">
        <v>1</v>
      </c>
      <c r="B855" s="321" t="s">
        <v>603</v>
      </c>
      <c r="C855" s="321" t="s">
        <v>604</v>
      </c>
      <c r="D855" s="321" t="s">
        <v>16</v>
      </c>
      <c r="E855" s="321" t="s">
        <v>22</v>
      </c>
      <c r="F855" s="405">
        <v>4276</v>
      </c>
      <c r="G855" s="405">
        <v>0.43</v>
      </c>
      <c r="H855" s="405">
        <v>63.71</v>
      </c>
      <c r="I855" s="321" t="s">
        <v>18</v>
      </c>
      <c r="J855" s="321" t="s">
        <v>59</v>
      </c>
      <c r="K855" s="224">
        <f>H855/F855</f>
        <v>1.4899438727782975E-2</v>
      </c>
      <c r="L855" s="215"/>
    </row>
    <row r="856" spans="1:12" ht="12.75" customHeight="1">
      <c r="A856" s="321">
        <v>288</v>
      </c>
      <c r="B856" s="321" t="s">
        <v>601</v>
      </c>
      <c r="C856" s="321" t="s">
        <v>602</v>
      </c>
      <c r="D856" s="321" t="s">
        <v>43</v>
      </c>
      <c r="E856" s="321"/>
      <c r="F856" s="321">
        <v>-14</v>
      </c>
      <c r="G856" s="321">
        <v>-14</v>
      </c>
      <c r="H856" s="321">
        <v>-182.98</v>
      </c>
      <c r="I856" s="321" t="s">
        <v>44</v>
      </c>
      <c r="J856" s="321" t="s">
        <v>19</v>
      </c>
      <c r="K856" s="224">
        <f>H856/F856</f>
        <v>13.069999999999999</v>
      </c>
    </row>
    <row r="857" spans="1:12" ht="12.75" customHeight="1">
      <c r="A857" s="321">
        <v>288</v>
      </c>
      <c r="B857" s="321" t="s">
        <v>341</v>
      </c>
      <c r="C857" s="321" t="s">
        <v>2756</v>
      </c>
      <c r="D857" s="321" t="s">
        <v>43</v>
      </c>
      <c r="E857" s="321"/>
      <c r="F857" s="321">
        <v>5732.1</v>
      </c>
      <c r="G857" s="321">
        <v>5732.12</v>
      </c>
      <c r="H857" s="321">
        <v>3296.54</v>
      </c>
      <c r="I857" s="321" t="s">
        <v>44</v>
      </c>
      <c r="J857" s="321" t="s">
        <v>19</v>
      </c>
      <c r="K857" s="224">
        <f>H857/F857</f>
        <v>0.57510162069747561</v>
      </c>
    </row>
    <row r="858" spans="1:12" ht="12.75" customHeight="1">
      <c r="A858" s="321">
        <v>1</v>
      </c>
      <c r="B858" s="321" t="s">
        <v>605</v>
      </c>
      <c r="C858" s="321" t="s">
        <v>606</v>
      </c>
      <c r="D858" s="321" t="s">
        <v>16</v>
      </c>
      <c r="E858" s="321" t="s">
        <v>22</v>
      </c>
      <c r="F858" s="321">
        <v>30000</v>
      </c>
      <c r="G858" s="405">
        <v>3</v>
      </c>
      <c r="H858" s="405">
        <v>351</v>
      </c>
      <c r="I858" s="321" t="s">
        <v>18</v>
      </c>
      <c r="J858" s="321" t="s">
        <v>23</v>
      </c>
      <c r="K858" s="224">
        <f>H858/F858</f>
        <v>1.17E-2</v>
      </c>
    </row>
    <row r="859" spans="1:12" ht="12.75" customHeight="1">
      <c r="A859" s="321">
        <v>201</v>
      </c>
      <c r="B859" s="321" t="s">
        <v>607</v>
      </c>
      <c r="C859" s="321" t="s">
        <v>608</v>
      </c>
      <c r="D859" s="321" t="s">
        <v>16</v>
      </c>
      <c r="E859" s="321" t="s">
        <v>22</v>
      </c>
      <c r="F859" s="321">
        <v>24224</v>
      </c>
      <c r="G859" s="321">
        <v>2.42</v>
      </c>
      <c r="H859" s="321">
        <v>324.60000000000002</v>
      </c>
      <c r="I859" s="321" t="s">
        <v>18</v>
      </c>
      <c r="J859" s="321" t="s">
        <v>19</v>
      </c>
      <c r="K859" s="224">
        <f>H859/F859</f>
        <v>1.3399933949801851E-2</v>
      </c>
    </row>
    <row r="860" spans="1:12">
      <c r="A860" s="321">
        <v>201</v>
      </c>
      <c r="B860" s="321" t="s">
        <v>605</v>
      </c>
      <c r="C860" s="321" t="s">
        <v>606</v>
      </c>
      <c r="D860" s="321" t="s">
        <v>16</v>
      </c>
      <c r="E860" s="321" t="s">
        <v>22</v>
      </c>
      <c r="F860" s="321">
        <v>3649</v>
      </c>
      <c r="G860" s="405">
        <v>0.36</v>
      </c>
      <c r="H860" s="321">
        <v>43.06</v>
      </c>
      <c r="I860" s="321" t="s">
        <v>18</v>
      </c>
      <c r="J860" s="321" t="s">
        <v>19</v>
      </c>
      <c r="K860" s="224">
        <f>H860/F860</f>
        <v>1.1800493285831735E-2</v>
      </c>
    </row>
    <row r="861" spans="1:12">
      <c r="A861" s="321">
        <v>205</v>
      </c>
      <c r="B861" s="321">
        <v>4800</v>
      </c>
      <c r="C861" s="321" t="s">
        <v>194</v>
      </c>
      <c r="D861" s="321" t="s">
        <v>43</v>
      </c>
      <c r="E861" s="321" t="s">
        <v>195</v>
      </c>
      <c r="F861" s="405">
        <v>811</v>
      </c>
      <c r="G861" s="405">
        <v>811</v>
      </c>
      <c r="H861" s="405">
        <v>155.47</v>
      </c>
      <c r="I861" s="321" t="s">
        <v>30</v>
      </c>
      <c r="J861" s="321" t="s">
        <v>19</v>
      </c>
      <c r="K861" s="224">
        <f>H861/F861</f>
        <v>0.19170160295930949</v>
      </c>
    </row>
    <row r="862" spans="1:12" ht="12.75" customHeight="1">
      <c r="A862" s="321">
        <v>288</v>
      </c>
      <c r="B862" s="321">
        <v>5314</v>
      </c>
      <c r="C862" s="321" t="s">
        <v>55</v>
      </c>
      <c r="D862" s="321" t="s">
        <v>28</v>
      </c>
      <c r="E862" s="321" t="s">
        <v>56</v>
      </c>
      <c r="F862" s="405">
        <v>-1</v>
      </c>
      <c r="G862" s="321">
        <v>-25.63</v>
      </c>
      <c r="H862" s="321">
        <v>-8.7899999999999991</v>
      </c>
      <c r="I862" s="321" t="s">
        <v>30</v>
      </c>
      <c r="J862" s="321" t="s">
        <v>19</v>
      </c>
      <c r="K862" s="224">
        <f>H862/F862</f>
        <v>8.7899999999999991</v>
      </c>
    </row>
    <row r="863" spans="1:12">
      <c r="A863" s="321">
        <v>11</v>
      </c>
      <c r="B863" s="321">
        <v>7542</v>
      </c>
      <c r="C863" s="321" t="s">
        <v>172</v>
      </c>
      <c r="D863" s="321" t="s">
        <v>28</v>
      </c>
      <c r="E863" s="321" t="s">
        <v>56</v>
      </c>
      <c r="F863" s="405">
        <v>1062</v>
      </c>
      <c r="G863" s="321">
        <v>27612</v>
      </c>
      <c r="H863" s="321">
        <v>18233.900000000001</v>
      </c>
      <c r="I863" s="321" t="s">
        <v>30</v>
      </c>
      <c r="J863" s="321" t="s">
        <v>23</v>
      </c>
      <c r="K863" s="224">
        <f>H863/F863</f>
        <v>17.169397363465162</v>
      </c>
    </row>
    <row r="864" spans="1:12" ht="12.75" customHeight="1">
      <c r="A864" s="321">
        <v>223</v>
      </c>
      <c r="B864" s="321" t="s">
        <v>2774</v>
      </c>
      <c r="C864" s="321" t="s">
        <v>2775</v>
      </c>
      <c r="D864" s="321" t="s">
        <v>16</v>
      </c>
      <c r="E864" s="321" t="s">
        <v>22</v>
      </c>
      <c r="F864" s="405">
        <v>40000</v>
      </c>
      <c r="G864" s="321">
        <v>4</v>
      </c>
      <c r="H864" s="321">
        <v>400</v>
      </c>
      <c r="I864" s="321" t="s">
        <v>18</v>
      </c>
      <c r="J864" s="321" t="s">
        <v>19</v>
      </c>
      <c r="K864" s="224">
        <f>H864/F864</f>
        <v>0.01</v>
      </c>
    </row>
    <row r="865" spans="1:12">
      <c r="A865" s="321">
        <v>201</v>
      </c>
      <c r="B865" s="321" t="s">
        <v>2844</v>
      </c>
      <c r="C865" s="321" t="s">
        <v>2866</v>
      </c>
      <c r="D865" s="321" t="s">
        <v>16</v>
      </c>
      <c r="E865" s="321" t="s">
        <v>22</v>
      </c>
      <c r="F865" s="405">
        <v>75158</v>
      </c>
      <c r="G865" s="321">
        <v>7.52</v>
      </c>
      <c r="H865" s="321">
        <v>1074.76</v>
      </c>
      <c r="I865" s="321" t="s">
        <v>18</v>
      </c>
      <c r="J865" s="321" t="s">
        <v>19</v>
      </c>
      <c r="K865" s="224">
        <f>H865/F865</f>
        <v>1.4300007983182096E-2</v>
      </c>
    </row>
    <row r="866" spans="1:12" ht="12.75" customHeight="1">
      <c r="A866" s="321">
        <v>88</v>
      </c>
      <c r="B866" s="321" t="s">
        <v>498</v>
      </c>
      <c r="C866" s="321" t="s">
        <v>499</v>
      </c>
      <c r="D866" s="321" t="s">
        <v>16</v>
      </c>
      <c r="E866" s="321" t="s">
        <v>26</v>
      </c>
      <c r="F866" s="321">
        <v>152</v>
      </c>
      <c r="G866" s="321">
        <v>0.15</v>
      </c>
      <c r="H866" s="321">
        <v>3.27</v>
      </c>
      <c r="I866" s="321" t="s">
        <v>18</v>
      </c>
      <c r="J866" s="321" t="s">
        <v>23</v>
      </c>
      <c r="K866" s="224">
        <f>H866/F866</f>
        <v>2.1513157894736842E-2</v>
      </c>
    </row>
    <row r="867" spans="1:12" ht="12.75" customHeight="1">
      <c r="A867" s="321">
        <v>88</v>
      </c>
      <c r="B867" s="321" t="s">
        <v>609</v>
      </c>
      <c r="C867" s="321" t="s">
        <v>610</v>
      </c>
      <c r="D867" s="321" t="s">
        <v>16</v>
      </c>
      <c r="E867" s="321" t="s">
        <v>17</v>
      </c>
      <c r="F867" s="405">
        <v>27459</v>
      </c>
      <c r="G867" s="321">
        <v>27459</v>
      </c>
      <c r="H867" s="321">
        <v>12513.07</v>
      </c>
      <c r="I867" s="321" t="s">
        <v>18</v>
      </c>
      <c r="J867" s="321" t="s">
        <v>23</v>
      </c>
      <c r="K867" s="224">
        <f>H867/F867</f>
        <v>0.45570013474634907</v>
      </c>
    </row>
    <row r="868" spans="1:12">
      <c r="A868" s="321">
        <v>211</v>
      </c>
      <c r="B868" s="321">
        <v>4153</v>
      </c>
      <c r="C868" s="321" t="s">
        <v>611</v>
      </c>
      <c r="D868" s="321" t="s">
        <v>28</v>
      </c>
      <c r="E868" s="321" t="s">
        <v>32</v>
      </c>
      <c r="F868" s="405">
        <v>0</v>
      </c>
      <c r="G868" s="321">
        <v>0</v>
      </c>
      <c r="H868" s="321">
        <v>0.03</v>
      </c>
      <c r="I868" s="321" t="s">
        <v>30</v>
      </c>
      <c r="J868" s="321" t="s">
        <v>59</v>
      </c>
      <c r="K868" s="224" t="e">
        <f>H868/F868</f>
        <v>#DIV/0!</v>
      </c>
    </row>
    <row r="869" spans="1:12">
      <c r="A869" s="321">
        <v>288</v>
      </c>
      <c r="B869" s="321">
        <v>4153</v>
      </c>
      <c r="C869" s="321" t="s">
        <v>611</v>
      </c>
      <c r="D869" s="321" t="s">
        <v>28</v>
      </c>
      <c r="E869" s="321" t="s">
        <v>32</v>
      </c>
      <c r="F869" s="405">
        <v>0</v>
      </c>
      <c r="G869" s="321">
        <v>0</v>
      </c>
      <c r="H869" s="405">
        <v>25.04</v>
      </c>
      <c r="I869" s="321" t="s">
        <v>30</v>
      </c>
      <c r="J869" s="321" t="s">
        <v>59</v>
      </c>
      <c r="K869" s="224" t="e">
        <f>H869/F869</f>
        <v>#DIV/0!</v>
      </c>
    </row>
    <row r="870" spans="1:12">
      <c r="A870" s="321">
        <v>1</v>
      </c>
      <c r="B870" s="321" t="s">
        <v>332</v>
      </c>
      <c r="C870" s="321" t="s">
        <v>333</v>
      </c>
      <c r="D870" s="321" t="s">
        <v>16</v>
      </c>
      <c r="E870" s="321" t="s">
        <v>228</v>
      </c>
      <c r="F870" s="405">
        <v>258</v>
      </c>
      <c r="G870" s="321">
        <v>11352</v>
      </c>
      <c r="H870" s="321">
        <v>15884.85</v>
      </c>
      <c r="I870" s="321" t="s">
        <v>35</v>
      </c>
      <c r="J870" s="321" t="s">
        <v>23</v>
      </c>
      <c r="K870" s="224">
        <f>H870/F870</f>
        <v>61.569186046511632</v>
      </c>
    </row>
    <row r="871" spans="1:12">
      <c r="A871" s="321">
        <v>201</v>
      </c>
      <c r="B871" s="321">
        <v>6501</v>
      </c>
      <c r="C871" s="321" t="s">
        <v>570</v>
      </c>
      <c r="D871" s="321" t="s">
        <v>28</v>
      </c>
      <c r="E871" s="321" t="s">
        <v>29</v>
      </c>
      <c r="F871" s="405">
        <v>1</v>
      </c>
      <c r="G871" s="321">
        <v>36.4</v>
      </c>
      <c r="H871" s="321">
        <v>13.44</v>
      </c>
      <c r="I871" s="321" t="s">
        <v>30</v>
      </c>
      <c r="J871" s="321" t="s">
        <v>19</v>
      </c>
      <c r="K871" s="224">
        <f>H871/F871</f>
        <v>13.44</v>
      </c>
    </row>
    <row r="872" spans="1:12" ht="12.75" customHeight="1">
      <c r="A872" s="321">
        <v>201</v>
      </c>
      <c r="B872" s="321">
        <v>6502</v>
      </c>
      <c r="C872" s="321" t="s">
        <v>574</v>
      </c>
      <c r="D872" s="321" t="s">
        <v>28</v>
      </c>
      <c r="E872" s="321" t="s">
        <v>29</v>
      </c>
      <c r="F872" s="405">
        <v>3</v>
      </c>
      <c r="G872" s="321">
        <v>107.7</v>
      </c>
      <c r="H872" s="321">
        <v>41.2</v>
      </c>
      <c r="I872" s="321" t="s">
        <v>30</v>
      </c>
      <c r="J872" s="321" t="s">
        <v>19</v>
      </c>
      <c r="K872" s="224">
        <f>H872/F872</f>
        <v>13.733333333333334</v>
      </c>
      <c r="L872" s="215"/>
    </row>
    <row r="873" spans="1:12">
      <c r="A873" s="321">
        <v>11</v>
      </c>
      <c r="B873" s="321" t="s">
        <v>605</v>
      </c>
      <c r="C873" s="321" t="s">
        <v>606</v>
      </c>
      <c r="D873" s="321" t="s">
        <v>16</v>
      </c>
      <c r="E873" s="321" t="s">
        <v>22</v>
      </c>
      <c r="F873" s="405">
        <v>15000</v>
      </c>
      <c r="G873" s="321">
        <v>1.5</v>
      </c>
      <c r="H873" s="321">
        <v>175.5</v>
      </c>
      <c r="I873" s="321" t="s">
        <v>18</v>
      </c>
      <c r="J873" s="321" t="s">
        <v>23</v>
      </c>
      <c r="K873" s="224">
        <f>H873/F873</f>
        <v>1.17E-2</v>
      </c>
    </row>
    <row r="874" spans="1:12">
      <c r="A874" s="321">
        <v>288</v>
      </c>
      <c r="B874" s="321">
        <v>9814</v>
      </c>
      <c r="C874" s="321" t="s">
        <v>393</v>
      </c>
      <c r="D874" s="321" t="s">
        <v>28</v>
      </c>
      <c r="E874" s="321" t="s">
        <v>54</v>
      </c>
      <c r="F874" s="405">
        <v>-1</v>
      </c>
      <c r="G874" s="321">
        <v>-49</v>
      </c>
      <c r="H874" s="321">
        <v>1604.31</v>
      </c>
      <c r="I874" s="321" t="s">
        <v>30</v>
      </c>
      <c r="J874" s="321" t="s">
        <v>19</v>
      </c>
      <c r="K874" s="224">
        <f>H874/F874</f>
        <v>-1604.31</v>
      </c>
    </row>
    <row r="875" spans="1:12">
      <c r="A875" s="321">
        <v>99</v>
      </c>
      <c r="B875" s="321">
        <v>4153</v>
      </c>
      <c r="C875" s="321" t="s">
        <v>611</v>
      </c>
      <c r="D875" s="321" t="s">
        <v>28</v>
      </c>
      <c r="E875" s="321" t="s">
        <v>32</v>
      </c>
      <c r="F875" s="405">
        <v>1311</v>
      </c>
      <c r="G875" s="321">
        <v>36183.599999999999</v>
      </c>
      <c r="H875" s="321">
        <v>16042.06</v>
      </c>
      <c r="I875" s="321" t="s">
        <v>30</v>
      </c>
      <c r="J875" s="321" t="s">
        <v>59</v>
      </c>
      <c r="K875" s="224">
        <f>H875/F875</f>
        <v>12.236506483600305</v>
      </c>
    </row>
    <row r="876" spans="1:12" ht="12.75" customHeight="1">
      <c r="A876" s="321">
        <v>201</v>
      </c>
      <c r="B876" s="321" t="s">
        <v>609</v>
      </c>
      <c r="C876" s="321" t="s">
        <v>610</v>
      </c>
      <c r="D876" s="321" t="s">
        <v>16</v>
      </c>
      <c r="E876" s="321" t="s">
        <v>17</v>
      </c>
      <c r="F876" s="405">
        <v>10190</v>
      </c>
      <c r="G876" s="321">
        <v>10190</v>
      </c>
      <c r="H876" s="321">
        <v>5639.15</v>
      </c>
      <c r="I876" s="321" t="s">
        <v>18</v>
      </c>
      <c r="J876" s="321" t="s">
        <v>19</v>
      </c>
      <c r="K876" s="224">
        <f>H876/F876</f>
        <v>0.55340039254170748</v>
      </c>
    </row>
    <row r="877" spans="1:12" ht="12.75" customHeight="1">
      <c r="A877" s="321">
        <v>288</v>
      </c>
      <c r="B877" s="321" t="s">
        <v>498</v>
      </c>
      <c r="C877" s="321" t="s">
        <v>499</v>
      </c>
      <c r="D877" s="321" t="s">
        <v>16</v>
      </c>
      <c r="E877" s="321" t="s">
        <v>26</v>
      </c>
      <c r="F877" s="405">
        <v>0</v>
      </c>
      <c r="G877" s="321">
        <v>0</v>
      </c>
      <c r="H877" s="321">
        <v>0</v>
      </c>
      <c r="I877" s="321" t="s">
        <v>18</v>
      </c>
      <c r="J877" s="321" t="s">
        <v>19</v>
      </c>
      <c r="K877" s="224" t="e">
        <f>H877/F877</f>
        <v>#DIV/0!</v>
      </c>
    </row>
    <row r="878" spans="1:12" ht="12.75" customHeight="1">
      <c r="A878" s="321">
        <v>11</v>
      </c>
      <c r="B878" s="321" t="s">
        <v>609</v>
      </c>
      <c r="C878" s="321" t="s">
        <v>610</v>
      </c>
      <c r="D878" s="321" t="s">
        <v>16</v>
      </c>
      <c r="E878" s="321" t="s">
        <v>17</v>
      </c>
      <c r="F878" s="405">
        <v>-550</v>
      </c>
      <c r="G878" s="321">
        <v>-550</v>
      </c>
      <c r="H878" s="321">
        <v>-250.69</v>
      </c>
      <c r="I878" s="321" t="s">
        <v>18</v>
      </c>
      <c r="J878" s="321" t="s">
        <v>23</v>
      </c>
      <c r="K878" s="224">
        <f>H878/F878</f>
        <v>0.45579999999999998</v>
      </c>
    </row>
    <row r="879" spans="1:12" ht="12.75" customHeight="1">
      <c r="A879" s="321">
        <v>601</v>
      </c>
      <c r="B879" s="321">
        <v>4153</v>
      </c>
      <c r="C879" s="321" t="s">
        <v>611</v>
      </c>
      <c r="D879" s="321" t="s">
        <v>28</v>
      </c>
      <c r="E879" s="321" t="s">
        <v>32</v>
      </c>
      <c r="F879" s="321">
        <v>1278</v>
      </c>
      <c r="G879" s="321">
        <v>35272.800000000003</v>
      </c>
      <c r="H879" s="321">
        <v>15637.88</v>
      </c>
      <c r="I879" s="321" t="s">
        <v>30</v>
      </c>
      <c r="J879" s="321" t="s">
        <v>59</v>
      </c>
      <c r="K879" s="224">
        <f>H879/F879</f>
        <v>12.23621283255086</v>
      </c>
    </row>
    <row r="880" spans="1:12" ht="12.75" customHeight="1">
      <c r="A880" s="321">
        <v>1</v>
      </c>
      <c r="B880" s="321" t="s">
        <v>609</v>
      </c>
      <c r="C880" s="321" t="s">
        <v>610</v>
      </c>
      <c r="D880" s="321" t="s">
        <v>16</v>
      </c>
      <c r="E880" s="321" t="s">
        <v>17</v>
      </c>
      <c r="F880" s="405">
        <v>6807</v>
      </c>
      <c r="G880" s="321">
        <v>6807</v>
      </c>
      <c r="H880" s="321">
        <v>3101.97</v>
      </c>
      <c r="I880" s="321" t="s">
        <v>18</v>
      </c>
      <c r="J880" s="321" t="s">
        <v>23</v>
      </c>
      <c r="K880" s="224">
        <f>H880/F880</f>
        <v>0.45570295284266193</v>
      </c>
    </row>
    <row r="881" spans="1:12">
      <c r="A881" s="321">
        <v>602</v>
      </c>
      <c r="B881" s="321">
        <v>4153</v>
      </c>
      <c r="C881" s="321" t="s">
        <v>611</v>
      </c>
      <c r="D881" s="321" t="s">
        <v>28</v>
      </c>
      <c r="E881" s="321" t="s">
        <v>32</v>
      </c>
      <c r="F881" s="405">
        <v>15</v>
      </c>
      <c r="G881" s="321">
        <v>414</v>
      </c>
      <c r="H881" s="321">
        <v>183.51</v>
      </c>
      <c r="I881" s="321" t="s">
        <v>30</v>
      </c>
      <c r="J881" s="321" t="s">
        <v>59</v>
      </c>
      <c r="K881" s="224">
        <f>H881/F881</f>
        <v>12.234</v>
      </c>
    </row>
    <row r="882" spans="1:12">
      <c r="A882" s="321">
        <v>603</v>
      </c>
      <c r="B882" s="321">
        <v>4153</v>
      </c>
      <c r="C882" s="321" t="s">
        <v>611</v>
      </c>
      <c r="D882" s="321" t="s">
        <v>28</v>
      </c>
      <c r="E882" s="321" t="s">
        <v>32</v>
      </c>
      <c r="F882" s="405">
        <v>41</v>
      </c>
      <c r="G882" s="321">
        <v>1131.5999999999999</v>
      </c>
      <c r="H882" s="321">
        <v>501.71</v>
      </c>
      <c r="I882" s="321" t="s">
        <v>30</v>
      </c>
      <c r="J882" s="321" t="s">
        <v>59</v>
      </c>
      <c r="K882" s="224">
        <f>H882/F882</f>
        <v>12.236829268292682</v>
      </c>
    </row>
    <row r="883" spans="1:12" ht="12.75" customHeight="1">
      <c r="A883" s="321">
        <v>601</v>
      </c>
      <c r="B883" s="321">
        <v>4121</v>
      </c>
      <c r="C883" s="321" t="s">
        <v>612</v>
      </c>
      <c r="D883" s="321" t="s">
        <v>28</v>
      </c>
      <c r="E883" s="321" t="s">
        <v>29</v>
      </c>
      <c r="F883" s="405">
        <v>1095</v>
      </c>
      <c r="G883" s="321">
        <v>41610</v>
      </c>
      <c r="H883" s="405">
        <v>25132.44</v>
      </c>
      <c r="I883" s="321" t="s">
        <v>30</v>
      </c>
      <c r="J883" s="321" t="s">
        <v>59</v>
      </c>
      <c r="K883" s="224">
        <f>H883/F883</f>
        <v>22.951999999999998</v>
      </c>
    </row>
    <row r="884" spans="1:12">
      <c r="A884" s="321">
        <v>602</v>
      </c>
      <c r="B884" s="321">
        <v>4121</v>
      </c>
      <c r="C884" s="321" t="s">
        <v>612</v>
      </c>
      <c r="D884" s="321" t="s">
        <v>28</v>
      </c>
      <c r="E884" s="321" t="s">
        <v>29</v>
      </c>
      <c r="F884" s="405">
        <v>15</v>
      </c>
      <c r="G884" s="321">
        <v>570</v>
      </c>
      <c r="H884" s="321">
        <v>345.1</v>
      </c>
      <c r="I884" s="321" t="s">
        <v>30</v>
      </c>
      <c r="J884" s="321" t="s">
        <v>59</v>
      </c>
      <c r="K884" s="224">
        <f>H884/F884</f>
        <v>23.006666666666668</v>
      </c>
    </row>
    <row r="885" spans="1:12" ht="12.75" customHeight="1">
      <c r="A885" s="321">
        <v>11</v>
      </c>
      <c r="B885" s="321" t="s">
        <v>2763</v>
      </c>
      <c r="C885" s="321" t="s">
        <v>2764</v>
      </c>
      <c r="D885" s="321" t="s">
        <v>34</v>
      </c>
      <c r="E885" s="321"/>
      <c r="F885" s="405">
        <v>1525</v>
      </c>
      <c r="G885" s="321">
        <v>16165</v>
      </c>
      <c r="H885" s="321">
        <v>7484.55</v>
      </c>
      <c r="I885" s="321" t="s">
        <v>35</v>
      </c>
      <c r="J885" s="321" t="s">
        <v>59</v>
      </c>
      <c r="K885" s="224">
        <f>H885/F885</f>
        <v>4.9079016393442627</v>
      </c>
    </row>
    <row r="886" spans="1:12">
      <c r="A886" s="321">
        <v>603</v>
      </c>
      <c r="B886" s="321">
        <v>4121</v>
      </c>
      <c r="C886" s="321" t="s">
        <v>612</v>
      </c>
      <c r="D886" s="321" t="s">
        <v>28</v>
      </c>
      <c r="E886" s="321" t="s">
        <v>29</v>
      </c>
      <c r="F886" s="405">
        <v>77</v>
      </c>
      <c r="G886" s="321">
        <v>2926</v>
      </c>
      <c r="H886" s="321">
        <v>1767.7</v>
      </c>
      <c r="I886" s="321" t="s">
        <v>30</v>
      </c>
      <c r="J886" s="321" t="s">
        <v>59</v>
      </c>
      <c r="K886" s="224">
        <f>H886/F886</f>
        <v>22.957142857142859</v>
      </c>
    </row>
    <row r="887" spans="1:12">
      <c r="A887" s="321">
        <v>211</v>
      </c>
      <c r="B887" s="321">
        <v>7506</v>
      </c>
      <c r="C887" s="321" t="s">
        <v>102</v>
      </c>
      <c r="D887" s="321" t="s">
        <v>28</v>
      </c>
      <c r="E887" s="321" t="s">
        <v>29</v>
      </c>
      <c r="F887" s="405">
        <v>639</v>
      </c>
      <c r="G887" s="321">
        <v>23259.599999999999</v>
      </c>
      <c r="H887" s="321">
        <v>15989.66</v>
      </c>
      <c r="I887" s="321" t="s">
        <v>30</v>
      </c>
      <c r="J887" s="321" t="s">
        <v>19</v>
      </c>
      <c r="K887" s="224">
        <f>H887/F887</f>
        <v>25.022942097026604</v>
      </c>
    </row>
    <row r="888" spans="1:12" ht="12.75" customHeight="1">
      <c r="A888" s="321">
        <v>88</v>
      </c>
      <c r="B888" s="321" t="s">
        <v>265</v>
      </c>
      <c r="C888" s="321" t="s">
        <v>266</v>
      </c>
      <c r="D888" s="321" t="s">
        <v>43</v>
      </c>
      <c r="E888" s="321"/>
      <c r="F888" s="321">
        <v>-11.6</v>
      </c>
      <c r="G888" s="321">
        <v>-11.6</v>
      </c>
      <c r="H888" s="321">
        <v>-50.46</v>
      </c>
      <c r="I888" s="321" t="s">
        <v>44</v>
      </c>
      <c r="J888" s="321" t="s">
        <v>23</v>
      </c>
      <c r="K888" s="224">
        <f>H888/F888</f>
        <v>4.3500000000000005</v>
      </c>
    </row>
    <row r="889" spans="1:12" ht="12.75" customHeight="1">
      <c r="A889" s="321">
        <v>211</v>
      </c>
      <c r="B889" s="321">
        <v>9002</v>
      </c>
      <c r="C889" s="321" t="s">
        <v>586</v>
      </c>
      <c r="D889" s="321" t="s">
        <v>28</v>
      </c>
      <c r="E889" s="321" t="s">
        <v>29</v>
      </c>
      <c r="F889" s="405">
        <v>414</v>
      </c>
      <c r="G889" s="321">
        <v>15251.76</v>
      </c>
      <c r="H889" s="321">
        <v>3059.8</v>
      </c>
      <c r="I889" s="321" t="s">
        <v>30</v>
      </c>
      <c r="J889" s="321" t="s">
        <v>19</v>
      </c>
      <c r="K889" s="224">
        <f>H889/F889</f>
        <v>7.3908212560386479</v>
      </c>
    </row>
    <row r="890" spans="1:12">
      <c r="A890" s="321">
        <v>211</v>
      </c>
      <c r="B890" s="321">
        <v>6501</v>
      </c>
      <c r="C890" s="321" t="s">
        <v>570</v>
      </c>
      <c r="D890" s="321" t="s">
        <v>28</v>
      </c>
      <c r="E890" s="321" t="s">
        <v>29</v>
      </c>
      <c r="F890" s="405">
        <v>1038</v>
      </c>
      <c r="G890" s="321">
        <v>37783.199999999997</v>
      </c>
      <c r="H890" s="321">
        <v>14228.44</v>
      </c>
      <c r="I890" s="321" t="s">
        <v>30</v>
      </c>
      <c r="J890" s="321" t="s">
        <v>19</v>
      </c>
      <c r="K890" s="224">
        <f>H890/F890</f>
        <v>13.707552986512525</v>
      </c>
    </row>
    <row r="891" spans="1:12">
      <c r="A891" s="321">
        <v>288</v>
      </c>
      <c r="B891" s="321" t="s">
        <v>609</v>
      </c>
      <c r="C891" s="321" t="s">
        <v>610</v>
      </c>
      <c r="D891" s="321" t="s">
        <v>16</v>
      </c>
      <c r="E891" s="321" t="s">
        <v>17</v>
      </c>
      <c r="F891" s="405">
        <v>-230</v>
      </c>
      <c r="G891" s="321">
        <v>-230</v>
      </c>
      <c r="H891" s="321">
        <v>-127.25</v>
      </c>
      <c r="I891" s="321" t="s">
        <v>18</v>
      </c>
      <c r="J891" s="321" t="s">
        <v>19</v>
      </c>
      <c r="K891" s="224">
        <f>H891/F891</f>
        <v>0.55326086956521736</v>
      </c>
    </row>
    <row r="892" spans="1:12">
      <c r="A892" s="321">
        <v>201</v>
      </c>
      <c r="B892" s="321">
        <v>4153</v>
      </c>
      <c r="C892" s="321" t="s">
        <v>611</v>
      </c>
      <c r="D892" s="321" t="s">
        <v>28</v>
      </c>
      <c r="E892" s="321" t="s">
        <v>32</v>
      </c>
      <c r="F892" s="405">
        <v>1</v>
      </c>
      <c r="G892" s="321">
        <v>27.6</v>
      </c>
      <c r="H892" s="321">
        <v>12.18</v>
      </c>
      <c r="I892" s="321" t="s">
        <v>30</v>
      </c>
      <c r="J892" s="321" t="s">
        <v>59</v>
      </c>
      <c r="K892" s="224">
        <f>H892/F892</f>
        <v>12.18</v>
      </c>
    </row>
    <row r="893" spans="1:12">
      <c r="A893" s="321">
        <v>211</v>
      </c>
      <c r="B893" s="321">
        <v>9006</v>
      </c>
      <c r="C893" s="321" t="s">
        <v>587</v>
      </c>
      <c r="D893" s="321" t="s">
        <v>28</v>
      </c>
      <c r="E893" s="321" t="s">
        <v>29</v>
      </c>
      <c r="F893" s="405">
        <v>370</v>
      </c>
      <c r="G893" s="321">
        <v>13468</v>
      </c>
      <c r="H893" s="321">
        <v>2857.08</v>
      </c>
      <c r="I893" s="321" t="s">
        <v>30</v>
      </c>
      <c r="J893" s="321" t="s">
        <v>19</v>
      </c>
      <c r="K893" s="224">
        <f>H893/F893</f>
        <v>7.7218378378378381</v>
      </c>
    </row>
    <row r="894" spans="1:12" ht="12.75" customHeight="1">
      <c r="A894" s="321">
        <v>211</v>
      </c>
      <c r="B894" s="321">
        <v>6227</v>
      </c>
      <c r="C894" s="321" t="s">
        <v>405</v>
      </c>
      <c r="D894" s="321" t="s">
        <v>28</v>
      </c>
      <c r="E894" s="321" t="s">
        <v>406</v>
      </c>
      <c r="F894" s="405">
        <v>60</v>
      </c>
      <c r="G894" s="321">
        <v>2100</v>
      </c>
      <c r="H894" s="321">
        <v>917.48</v>
      </c>
      <c r="I894" s="321" t="s">
        <v>30</v>
      </c>
      <c r="J894" s="321" t="s">
        <v>19</v>
      </c>
      <c r="K894" s="224">
        <f>H894/F894</f>
        <v>15.291333333333334</v>
      </c>
    </row>
    <row r="895" spans="1:12">
      <c r="A895" s="321">
        <v>201</v>
      </c>
      <c r="B895" s="321" t="s">
        <v>498</v>
      </c>
      <c r="C895" s="321" t="s">
        <v>499</v>
      </c>
      <c r="D895" s="321" t="s">
        <v>16</v>
      </c>
      <c r="E895" s="321" t="s">
        <v>26</v>
      </c>
      <c r="F895" s="405">
        <v>118605</v>
      </c>
      <c r="G895" s="321">
        <v>118.61</v>
      </c>
      <c r="H895" s="321">
        <v>2561.87</v>
      </c>
      <c r="I895" s="321" t="s">
        <v>18</v>
      </c>
      <c r="J895" s="321" t="s">
        <v>19</v>
      </c>
      <c r="K895" s="224">
        <f>H895/F895</f>
        <v>2.1600016862695502E-2</v>
      </c>
    </row>
    <row r="896" spans="1:12" ht="12.75" customHeight="1">
      <c r="A896" s="321">
        <v>88</v>
      </c>
      <c r="B896" s="321" t="s">
        <v>213</v>
      </c>
      <c r="C896" s="321" t="s">
        <v>214</v>
      </c>
      <c r="D896" s="321" t="s">
        <v>43</v>
      </c>
      <c r="E896" s="321"/>
      <c r="F896" s="405">
        <v>-1</v>
      </c>
      <c r="G896" s="321">
        <v>-1</v>
      </c>
      <c r="H896" s="321">
        <v>-7</v>
      </c>
      <c r="I896" s="321" t="s">
        <v>44</v>
      </c>
      <c r="J896" s="321" t="s">
        <v>23</v>
      </c>
      <c r="K896" s="224">
        <f>H896/F896</f>
        <v>7</v>
      </c>
      <c r="L896" s="215"/>
    </row>
    <row r="897" spans="1:12">
      <c r="A897" s="321">
        <v>1</v>
      </c>
      <c r="B897" s="321" t="s">
        <v>498</v>
      </c>
      <c r="C897" s="321" t="s">
        <v>499</v>
      </c>
      <c r="D897" s="321" t="s">
        <v>16</v>
      </c>
      <c r="E897" s="321" t="s">
        <v>26</v>
      </c>
      <c r="F897" s="405">
        <v>51200</v>
      </c>
      <c r="G897" s="321">
        <v>51.2</v>
      </c>
      <c r="H897" s="405">
        <v>1100.8</v>
      </c>
      <c r="I897" s="321" t="s">
        <v>18</v>
      </c>
      <c r="J897" s="321" t="s">
        <v>23</v>
      </c>
      <c r="K897" s="224">
        <f>H897/F897</f>
        <v>2.1499999999999998E-2</v>
      </c>
    </row>
    <row r="898" spans="1:12" ht="12.75" customHeight="1">
      <c r="A898" s="321">
        <v>201</v>
      </c>
      <c r="B898" s="321" t="s">
        <v>2856</v>
      </c>
      <c r="C898" s="321" t="s">
        <v>2857</v>
      </c>
      <c r="D898" s="321" t="s">
        <v>16</v>
      </c>
      <c r="E898" s="321" t="s">
        <v>22</v>
      </c>
      <c r="F898" s="405">
        <v>8702</v>
      </c>
      <c r="G898" s="321">
        <v>0.87</v>
      </c>
      <c r="H898" s="321">
        <v>106.17</v>
      </c>
      <c r="I898" s="321" t="s">
        <v>18</v>
      </c>
      <c r="J898" s="321" t="s">
        <v>19</v>
      </c>
      <c r="K898" s="224">
        <f>H898/F898</f>
        <v>1.2200643530222937E-2</v>
      </c>
    </row>
    <row r="899" spans="1:12" ht="12.75" customHeight="1">
      <c r="A899" s="321">
        <v>201</v>
      </c>
      <c r="B899" s="321" t="s">
        <v>613</v>
      </c>
      <c r="C899" s="321" t="s">
        <v>614</v>
      </c>
      <c r="D899" s="321" t="s">
        <v>16</v>
      </c>
      <c r="E899" s="321" t="s">
        <v>22</v>
      </c>
      <c r="F899" s="405">
        <v>10529</v>
      </c>
      <c r="G899" s="321">
        <v>1.05</v>
      </c>
      <c r="H899" s="321">
        <v>110.55</v>
      </c>
      <c r="I899" s="321" t="s">
        <v>18</v>
      </c>
      <c r="J899" s="321" t="s">
        <v>59</v>
      </c>
      <c r="K899" s="224">
        <f>H899/F899</f>
        <v>1.0499572608984709E-2</v>
      </c>
    </row>
    <row r="900" spans="1:12" ht="12.75" customHeight="1">
      <c r="A900" s="321">
        <v>211</v>
      </c>
      <c r="B900" s="321">
        <v>6506</v>
      </c>
      <c r="C900" s="321" t="s">
        <v>615</v>
      </c>
      <c r="D900" s="321" t="s">
        <v>28</v>
      </c>
      <c r="E900" s="321" t="s">
        <v>56</v>
      </c>
      <c r="F900" s="405">
        <v>775</v>
      </c>
      <c r="G900" s="321">
        <v>21700</v>
      </c>
      <c r="H900" s="321">
        <v>8439.7099999999991</v>
      </c>
      <c r="I900" s="321" t="s">
        <v>30</v>
      </c>
      <c r="J900" s="321" t="s">
        <v>19</v>
      </c>
      <c r="K900" s="224">
        <f>H900/F900</f>
        <v>10.889948387096773</v>
      </c>
    </row>
    <row r="901" spans="1:12" ht="12.75" customHeight="1">
      <c r="A901" s="321">
        <v>223</v>
      </c>
      <c r="B901" s="321" t="s">
        <v>37</v>
      </c>
      <c r="C901" s="321" t="s">
        <v>38</v>
      </c>
      <c r="D901" s="321" t="s">
        <v>16</v>
      </c>
      <c r="E901" s="321" t="s">
        <v>22</v>
      </c>
      <c r="F901" s="405">
        <v>70000</v>
      </c>
      <c r="G901" s="321">
        <v>7</v>
      </c>
      <c r="H901" s="321">
        <v>924</v>
      </c>
      <c r="I901" s="321" t="s">
        <v>18</v>
      </c>
      <c r="J901" s="321" t="s">
        <v>19</v>
      </c>
      <c r="K901" s="224">
        <f>H901/F901</f>
        <v>1.32E-2</v>
      </c>
    </row>
    <row r="902" spans="1:12">
      <c r="A902" s="321">
        <v>201</v>
      </c>
      <c r="B902" s="321" t="s">
        <v>616</v>
      </c>
      <c r="C902" s="321" t="s">
        <v>617</v>
      </c>
      <c r="D902" s="321" t="s">
        <v>16</v>
      </c>
      <c r="E902" s="321" t="s">
        <v>22</v>
      </c>
      <c r="F902" s="405">
        <v>10651</v>
      </c>
      <c r="G902" s="321">
        <v>1.07</v>
      </c>
      <c r="H902" s="405">
        <v>141.66</v>
      </c>
      <c r="I902" s="321" t="s">
        <v>18</v>
      </c>
      <c r="J902" s="321" t="s">
        <v>19</v>
      </c>
      <c r="K902" s="224">
        <f>H902/F902</f>
        <v>1.3300159609426345E-2</v>
      </c>
    </row>
    <row r="903" spans="1:12" ht="12.75" customHeight="1">
      <c r="A903" s="321">
        <v>1</v>
      </c>
      <c r="B903" s="321" t="s">
        <v>616</v>
      </c>
      <c r="C903" s="321" t="s">
        <v>617</v>
      </c>
      <c r="D903" s="321" t="s">
        <v>16</v>
      </c>
      <c r="E903" s="321" t="s">
        <v>22</v>
      </c>
      <c r="F903" s="321">
        <v>14011</v>
      </c>
      <c r="G903" s="321">
        <v>1.4</v>
      </c>
      <c r="H903" s="321">
        <v>186.35</v>
      </c>
      <c r="I903" s="321" t="s">
        <v>18</v>
      </c>
      <c r="J903" s="321" t="s">
        <v>23</v>
      </c>
      <c r="K903" s="224">
        <f>H903/F903</f>
        <v>1.3300264078224253E-2</v>
      </c>
    </row>
    <row r="904" spans="1:12">
      <c r="A904" s="321">
        <v>11</v>
      </c>
      <c r="B904" s="321" t="s">
        <v>613</v>
      </c>
      <c r="C904" s="321" t="s">
        <v>614</v>
      </c>
      <c r="D904" s="321" t="s">
        <v>16</v>
      </c>
      <c r="E904" s="321" t="s">
        <v>22</v>
      </c>
      <c r="F904" s="405">
        <v>30000</v>
      </c>
      <c r="G904" s="321">
        <v>3</v>
      </c>
      <c r="H904" s="321">
        <v>315</v>
      </c>
      <c r="I904" s="321" t="s">
        <v>18</v>
      </c>
      <c r="J904" s="321" t="s">
        <v>59</v>
      </c>
      <c r="K904" s="224">
        <f>H904/F904</f>
        <v>1.0500000000000001E-2</v>
      </c>
    </row>
    <row r="905" spans="1:12">
      <c r="A905" s="321">
        <v>201</v>
      </c>
      <c r="B905" s="321" t="s">
        <v>330</v>
      </c>
      <c r="C905" s="321" t="s">
        <v>331</v>
      </c>
      <c r="D905" s="321" t="s">
        <v>43</v>
      </c>
      <c r="E905" s="321"/>
      <c r="F905" s="321">
        <v>13427</v>
      </c>
      <c r="G905" s="321">
        <v>13427</v>
      </c>
      <c r="H905" s="321">
        <v>5776.29</v>
      </c>
      <c r="I905" s="321" t="s">
        <v>44</v>
      </c>
      <c r="J905" s="321" t="s">
        <v>19</v>
      </c>
      <c r="K905" s="224">
        <f>H905/F905</f>
        <v>0.43019959782527745</v>
      </c>
    </row>
    <row r="906" spans="1:12">
      <c r="A906" s="321">
        <v>201</v>
      </c>
      <c r="B906" s="321">
        <v>6516</v>
      </c>
      <c r="C906" s="321" t="s">
        <v>575</v>
      </c>
      <c r="D906" s="321" t="s">
        <v>28</v>
      </c>
      <c r="E906" s="321" t="s">
        <v>56</v>
      </c>
      <c r="F906" s="405">
        <v>5</v>
      </c>
      <c r="G906" s="321">
        <v>69</v>
      </c>
      <c r="H906" s="321">
        <v>30.82</v>
      </c>
      <c r="I906" s="321" t="s">
        <v>30</v>
      </c>
      <c r="J906" s="321" t="s">
        <v>19</v>
      </c>
      <c r="K906" s="224">
        <f>H906/F906</f>
        <v>6.1639999999999997</v>
      </c>
    </row>
    <row r="907" spans="1:12" ht="12.75" customHeight="1">
      <c r="A907" s="321">
        <v>223</v>
      </c>
      <c r="B907" s="321" t="s">
        <v>500</v>
      </c>
      <c r="C907" s="321" t="s">
        <v>501</v>
      </c>
      <c r="D907" s="321" t="s">
        <v>16</v>
      </c>
      <c r="E907" s="321" t="s">
        <v>17</v>
      </c>
      <c r="F907" s="405">
        <v>29150</v>
      </c>
      <c r="G907" s="321">
        <v>29150</v>
      </c>
      <c r="H907" s="321">
        <v>17143.12</v>
      </c>
      <c r="I907" s="321" t="s">
        <v>18</v>
      </c>
      <c r="J907" s="321" t="s">
        <v>19</v>
      </c>
      <c r="K907" s="224">
        <f>H907/F907</f>
        <v>0.58810017152658656</v>
      </c>
      <c r="L907" s="215"/>
    </row>
    <row r="908" spans="1:12">
      <c r="A908" s="321">
        <v>11</v>
      </c>
      <c r="B908" s="321" t="s">
        <v>63</v>
      </c>
      <c r="C908" s="321" t="s">
        <v>64</v>
      </c>
      <c r="D908" s="321" t="s">
        <v>16</v>
      </c>
      <c r="E908" s="321" t="s">
        <v>22</v>
      </c>
      <c r="F908" s="405">
        <v>50000</v>
      </c>
      <c r="G908" s="321">
        <v>5</v>
      </c>
      <c r="H908" s="405">
        <v>660</v>
      </c>
      <c r="I908" s="321" t="s">
        <v>18</v>
      </c>
      <c r="J908" s="321" t="s">
        <v>23</v>
      </c>
      <c r="K908" s="224">
        <f>H908/F908</f>
        <v>1.32E-2</v>
      </c>
    </row>
    <row r="909" spans="1:12">
      <c r="A909" s="321">
        <v>1</v>
      </c>
      <c r="B909" s="321" t="s">
        <v>613</v>
      </c>
      <c r="C909" s="321" t="s">
        <v>614</v>
      </c>
      <c r="D909" s="321" t="s">
        <v>16</v>
      </c>
      <c r="E909" s="321" t="s">
        <v>22</v>
      </c>
      <c r="F909" s="321">
        <v>14377</v>
      </c>
      <c r="G909" s="321">
        <v>1.44</v>
      </c>
      <c r="H909" s="321">
        <v>150.96</v>
      </c>
      <c r="I909" s="321" t="s">
        <v>18</v>
      </c>
      <c r="J909" s="321" t="s">
        <v>59</v>
      </c>
      <c r="K909" s="224">
        <f>H909/F909</f>
        <v>1.0500104333310148E-2</v>
      </c>
    </row>
    <row r="910" spans="1:12">
      <c r="A910" s="321">
        <v>288</v>
      </c>
      <c r="B910" s="321" t="s">
        <v>330</v>
      </c>
      <c r="C910" s="321" t="s">
        <v>331</v>
      </c>
      <c r="D910" s="321" t="s">
        <v>43</v>
      </c>
      <c r="E910" s="321"/>
      <c r="F910" s="405">
        <v>-462.99</v>
      </c>
      <c r="G910" s="321">
        <v>-462.97</v>
      </c>
      <c r="H910" s="321">
        <v>-191.49</v>
      </c>
      <c r="I910" s="321" t="s">
        <v>44</v>
      </c>
      <c r="J910" s="321" t="s">
        <v>19</v>
      </c>
      <c r="K910" s="224">
        <f>H910/F910</f>
        <v>0.41359424609602802</v>
      </c>
    </row>
    <row r="911" spans="1:12" ht="12.75" customHeight="1">
      <c r="A911" s="321">
        <v>223</v>
      </c>
      <c r="B911" s="321" t="s">
        <v>524</v>
      </c>
      <c r="C911" s="321" t="s">
        <v>525</v>
      </c>
      <c r="D911" s="321" t="s">
        <v>16</v>
      </c>
      <c r="E911" s="321" t="s">
        <v>22</v>
      </c>
      <c r="F911" s="405">
        <v>40000</v>
      </c>
      <c r="G911" s="321">
        <v>4</v>
      </c>
      <c r="H911" s="321">
        <v>520</v>
      </c>
      <c r="I911" s="321" t="s">
        <v>18</v>
      </c>
      <c r="J911" s="321" t="s">
        <v>59</v>
      </c>
      <c r="K911" s="224">
        <f>H911/F911</f>
        <v>1.2999999999999999E-2</v>
      </c>
    </row>
    <row r="912" spans="1:12">
      <c r="A912" s="321">
        <v>1</v>
      </c>
      <c r="B912" s="321">
        <v>7502</v>
      </c>
      <c r="C912" s="321" t="s">
        <v>27</v>
      </c>
      <c r="D912" s="321" t="s">
        <v>28</v>
      </c>
      <c r="E912" s="321" t="s">
        <v>29</v>
      </c>
      <c r="F912" s="405">
        <v>1787</v>
      </c>
      <c r="G912" s="321">
        <v>65118.28</v>
      </c>
      <c r="H912" s="321">
        <v>43520.959999999999</v>
      </c>
      <c r="I912" s="321" t="s">
        <v>30</v>
      </c>
      <c r="J912" s="321" t="s">
        <v>23</v>
      </c>
      <c r="K912" s="224">
        <f>H912/F912</f>
        <v>24.354202574146615</v>
      </c>
    </row>
    <row r="913" spans="1:11" ht="12.75" customHeight="1">
      <c r="A913" s="321">
        <v>223</v>
      </c>
      <c r="B913" s="321" t="s">
        <v>63</v>
      </c>
      <c r="C913" s="321" t="s">
        <v>64</v>
      </c>
      <c r="D913" s="321" t="s">
        <v>16</v>
      </c>
      <c r="E913" s="321" t="s">
        <v>22</v>
      </c>
      <c r="F913" s="405">
        <v>40000</v>
      </c>
      <c r="G913" s="321">
        <v>4</v>
      </c>
      <c r="H913" s="321">
        <v>528</v>
      </c>
      <c r="I913" s="321" t="s">
        <v>18</v>
      </c>
      <c r="J913" s="321" t="s">
        <v>19</v>
      </c>
      <c r="K913" s="224">
        <f>H913/F913</f>
        <v>1.32E-2</v>
      </c>
    </row>
    <row r="914" spans="1:11" ht="12.75" customHeight="1">
      <c r="A914" s="321">
        <v>288</v>
      </c>
      <c r="B914" s="321" t="s">
        <v>247</v>
      </c>
      <c r="C914" s="321" t="s">
        <v>248</v>
      </c>
      <c r="D914" s="321" t="s">
        <v>43</v>
      </c>
      <c r="E914" s="321"/>
      <c r="F914" s="405">
        <v>0</v>
      </c>
      <c r="G914" s="321">
        <v>0</v>
      </c>
      <c r="H914" s="405">
        <v>0</v>
      </c>
      <c r="I914" s="321" t="s">
        <v>44</v>
      </c>
      <c r="J914" s="321" t="s">
        <v>19</v>
      </c>
      <c r="K914" s="224" t="e">
        <f>H914/F914</f>
        <v>#DIV/0!</v>
      </c>
    </row>
    <row r="915" spans="1:11">
      <c r="A915" s="321">
        <v>223</v>
      </c>
      <c r="B915" s="321" t="s">
        <v>229</v>
      </c>
      <c r="C915" s="321" t="s">
        <v>230</v>
      </c>
      <c r="D915" s="321" t="s">
        <v>43</v>
      </c>
      <c r="E915" s="321"/>
      <c r="F915" s="405">
        <v>1100</v>
      </c>
      <c r="G915" s="321">
        <v>1100</v>
      </c>
      <c r="H915" s="321">
        <v>4609</v>
      </c>
      <c r="I915" s="321" t="s">
        <v>44</v>
      </c>
      <c r="J915" s="321" t="s">
        <v>19</v>
      </c>
      <c r="K915" s="224">
        <f>H915/F915</f>
        <v>4.1900000000000004</v>
      </c>
    </row>
    <row r="916" spans="1:11">
      <c r="A916" s="321">
        <v>201</v>
      </c>
      <c r="B916" s="321">
        <v>6593</v>
      </c>
      <c r="C916" s="321" t="s">
        <v>572</v>
      </c>
      <c r="D916" s="321" t="s">
        <v>28</v>
      </c>
      <c r="E916" s="321" t="s">
        <v>56</v>
      </c>
      <c r="F916" s="405">
        <v>2</v>
      </c>
      <c r="G916" s="321">
        <v>26</v>
      </c>
      <c r="H916" s="321">
        <v>12.27</v>
      </c>
      <c r="I916" s="321" t="s">
        <v>30</v>
      </c>
      <c r="J916" s="321" t="s">
        <v>19</v>
      </c>
      <c r="K916" s="224">
        <f>H916/F916</f>
        <v>6.1349999999999998</v>
      </c>
    </row>
    <row r="917" spans="1:11">
      <c r="A917" s="321">
        <v>223</v>
      </c>
      <c r="B917" s="321" t="s">
        <v>148</v>
      </c>
      <c r="C917" s="321" t="s">
        <v>149</v>
      </c>
      <c r="D917" s="321" t="s">
        <v>16</v>
      </c>
      <c r="E917" s="321" t="s">
        <v>22</v>
      </c>
      <c r="F917" s="405">
        <v>40000</v>
      </c>
      <c r="G917" s="321">
        <v>4</v>
      </c>
      <c r="H917" s="405">
        <v>528</v>
      </c>
      <c r="I917" s="321" t="s">
        <v>18</v>
      </c>
      <c r="J917" s="321" t="s">
        <v>19</v>
      </c>
      <c r="K917" s="224">
        <f>H917/F917</f>
        <v>1.32E-2</v>
      </c>
    </row>
    <row r="918" spans="1:11">
      <c r="A918" s="321">
        <v>223</v>
      </c>
      <c r="B918" s="321" t="s">
        <v>170</v>
      </c>
      <c r="C918" s="321" t="s">
        <v>2751</v>
      </c>
      <c r="D918" s="321" t="s">
        <v>43</v>
      </c>
      <c r="E918" s="321"/>
      <c r="F918" s="405">
        <v>3527.36</v>
      </c>
      <c r="G918" s="321">
        <v>3527.36</v>
      </c>
      <c r="H918" s="321">
        <v>2209.54</v>
      </c>
      <c r="I918" s="321" t="s">
        <v>44</v>
      </c>
      <c r="J918" s="321" t="s">
        <v>19</v>
      </c>
      <c r="K918" s="224">
        <f>H918/F918</f>
        <v>0.62640048081284583</v>
      </c>
    </row>
    <row r="919" spans="1:11">
      <c r="A919" s="321">
        <v>223</v>
      </c>
      <c r="B919" s="321" t="s">
        <v>478</v>
      </c>
      <c r="C919" s="321" t="s">
        <v>479</v>
      </c>
      <c r="D919" s="321" t="s">
        <v>16</v>
      </c>
      <c r="E919" s="321" t="s">
        <v>26</v>
      </c>
      <c r="F919" s="405">
        <v>87500</v>
      </c>
      <c r="G919" s="321">
        <v>87.5</v>
      </c>
      <c r="H919" s="321">
        <v>1855</v>
      </c>
      <c r="I919" s="321" t="s">
        <v>18</v>
      </c>
      <c r="J919" s="321" t="s">
        <v>19</v>
      </c>
      <c r="K919" s="224">
        <f>H919/F919</f>
        <v>2.12E-2</v>
      </c>
    </row>
    <row r="920" spans="1:11">
      <c r="A920" s="321">
        <v>88</v>
      </c>
      <c r="B920" s="321" t="s">
        <v>2814</v>
      </c>
      <c r="C920" s="321" t="s">
        <v>2815</v>
      </c>
      <c r="D920" s="321" t="s">
        <v>43</v>
      </c>
      <c r="E920" s="321"/>
      <c r="F920" s="405">
        <v>120524</v>
      </c>
      <c r="G920" s="321">
        <v>120524</v>
      </c>
      <c r="H920" s="321">
        <v>13534.85</v>
      </c>
      <c r="I920" s="321" t="s">
        <v>2782</v>
      </c>
      <c r="J920" s="321" t="s">
        <v>23</v>
      </c>
      <c r="K920" s="224">
        <f>H920/F920</f>
        <v>0.11230003982609273</v>
      </c>
    </row>
    <row r="921" spans="1:11">
      <c r="A921" s="321">
        <v>11</v>
      </c>
      <c r="B921" s="321" t="s">
        <v>619</v>
      </c>
      <c r="C921" s="321" t="s">
        <v>620</v>
      </c>
      <c r="D921" s="321" t="s">
        <v>16</v>
      </c>
      <c r="E921" s="321" t="s">
        <v>22</v>
      </c>
      <c r="F921" s="405">
        <v>40000</v>
      </c>
      <c r="G921" s="321">
        <v>4</v>
      </c>
      <c r="H921" s="321">
        <v>536</v>
      </c>
      <c r="I921" s="321" t="s">
        <v>18</v>
      </c>
      <c r="J921" s="321" t="s">
        <v>23</v>
      </c>
      <c r="K921" s="224">
        <f>H921/F921</f>
        <v>1.34E-2</v>
      </c>
    </row>
    <row r="922" spans="1:11">
      <c r="A922" s="321">
        <v>223</v>
      </c>
      <c r="B922" s="321" t="s">
        <v>660</v>
      </c>
      <c r="C922" s="321" t="s">
        <v>661</v>
      </c>
      <c r="D922" s="321" t="s">
        <v>16</v>
      </c>
      <c r="E922" s="321" t="s">
        <v>22</v>
      </c>
      <c r="F922" s="405">
        <v>40000</v>
      </c>
      <c r="G922" s="321">
        <v>4</v>
      </c>
      <c r="H922" s="321">
        <v>1116</v>
      </c>
      <c r="I922" s="321" t="s">
        <v>18</v>
      </c>
      <c r="J922" s="321" t="s">
        <v>59</v>
      </c>
      <c r="K922" s="224">
        <f>H922/F922</f>
        <v>2.7900000000000001E-2</v>
      </c>
    </row>
    <row r="923" spans="1:11">
      <c r="A923" s="321">
        <v>211</v>
      </c>
      <c r="B923" s="321">
        <v>7591</v>
      </c>
      <c r="C923" s="321" t="s">
        <v>235</v>
      </c>
      <c r="D923" s="321" t="s">
        <v>28</v>
      </c>
      <c r="E923" s="321" t="s">
        <v>29</v>
      </c>
      <c r="F923" s="405">
        <v>4023</v>
      </c>
      <c r="G923" s="321">
        <v>146437.20000000001</v>
      </c>
      <c r="H923" s="321">
        <v>100427.32</v>
      </c>
      <c r="I923" s="321" t="s">
        <v>30</v>
      </c>
      <c r="J923" s="321" t="s">
        <v>19</v>
      </c>
      <c r="K923" s="224">
        <f>H923/F923</f>
        <v>24.963291076311211</v>
      </c>
    </row>
    <row r="924" spans="1:11" ht="12.75" customHeight="1">
      <c r="A924" s="321">
        <v>223</v>
      </c>
      <c r="B924" s="321" t="s">
        <v>459</v>
      </c>
      <c r="C924" s="321" t="s">
        <v>460</v>
      </c>
      <c r="D924" s="321" t="s">
        <v>16</v>
      </c>
      <c r="E924" s="321"/>
      <c r="F924" s="405">
        <v>48</v>
      </c>
      <c r="G924" s="321">
        <v>0.05</v>
      </c>
      <c r="H924" s="321">
        <v>24</v>
      </c>
      <c r="I924" s="321" t="s">
        <v>18</v>
      </c>
      <c r="J924" s="321" t="s">
        <v>19</v>
      </c>
      <c r="K924" s="224">
        <f>H924/F924</f>
        <v>0.5</v>
      </c>
    </row>
    <row r="925" spans="1:11">
      <c r="A925" s="321">
        <v>288</v>
      </c>
      <c r="B925" s="321">
        <v>7506</v>
      </c>
      <c r="C925" s="321" t="s">
        <v>102</v>
      </c>
      <c r="D925" s="321" t="s">
        <v>28</v>
      </c>
      <c r="E925" s="321" t="s">
        <v>29</v>
      </c>
      <c r="F925" s="405">
        <v>-2</v>
      </c>
      <c r="G925" s="321">
        <v>-72.8</v>
      </c>
      <c r="H925" s="321">
        <v>-179.25</v>
      </c>
      <c r="I925" s="321" t="s">
        <v>30</v>
      </c>
      <c r="J925" s="321" t="s">
        <v>19</v>
      </c>
      <c r="K925" s="224">
        <f>H925/F925</f>
        <v>89.625</v>
      </c>
    </row>
    <row r="926" spans="1:11">
      <c r="A926" s="321">
        <v>223</v>
      </c>
      <c r="B926" s="321" t="s">
        <v>509</v>
      </c>
      <c r="C926" s="321" t="s">
        <v>272</v>
      </c>
      <c r="D926" s="321" t="s">
        <v>16</v>
      </c>
      <c r="E926" s="321" t="s">
        <v>22</v>
      </c>
      <c r="F926" s="405">
        <v>40000</v>
      </c>
      <c r="G926" s="321">
        <v>4</v>
      </c>
      <c r="H926" s="321">
        <v>536</v>
      </c>
      <c r="I926" s="321" t="s">
        <v>18</v>
      </c>
      <c r="J926" s="321" t="s">
        <v>19</v>
      </c>
      <c r="K926" s="224">
        <f>H926/F926</f>
        <v>1.34E-2</v>
      </c>
    </row>
    <row r="927" spans="1:11">
      <c r="A927" s="321">
        <v>88</v>
      </c>
      <c r="B927" s="321" t="s">
        <v>112</v>
      </c>
      <c r="C927" s="321" t="s">
        <v>113</v>
      </c>
      <c r="D927" s="321" t="s">
        <v>34</v>
      </c>
      <c r="E927" s="321"/>
      <c r="F927" s="405">
        <v>-2901</v>
      </c>
      <c r="G927" s="321">
        <v>-25818.9</v>
      </c>
      <c r="H927" s="321">
        <v>-18566.400000000001</v>
      </c>
      <c r="I927" s="321" t="s">
        <v>35</v>
      </c>
      <c r="J927" s="321" t="s">
        <v>23</v>
      </c>
      <c r="K927" s="224">
        <f>H927/F927</f>
        <v>6.4</v>
      </c>
    </row>
    <row r="928" spans="1:11">
      <c r="A928" s="321">
        <v>201</v>
      </c>
      <c r="B928" s="321" t="s">
        <v>621</v>
      </c>
      <c r="C928" s="321" t="s">
        <v>622</v>
      </c>
      <c r="D928" s="321" t="s">
        <v>16</v>
      </c>
      <c r="E928" s="321" t="s">
        <v>94</v>
      </c>
      <c r="F928" s="405">
        <v>3248</v>
      </c>
      <c r="G928" s="321">
        <v>3248</v>
      </c>
      <c r="H928" s="321">
        <v>1236.8499999999999</v>
      </c>
      <c r="I928" s="321" t="s">
        <v>18</v>
      </c>
      <c r="J928" s="321" t="s">
        <v>19</v>
      </c>
      <c r="K928" s="224">
        <f>H928/F928</f>
        <v>0.38080357142857141</v>
      </c>
    </row>
    <row r="929" spans="1:12">
      <c r="A929" s="321">
        <v>11</v>
      </c>
      <c r="B929" s="321" t="s">
        <v>79</v>
      </c>
      <c r="C929" s="321" t="s">
        <v>80</v>
      </c>
      <c r="D929" s="321" t="s">
        <v>16</v>
      </c>
      <c r="E929" s="321" t="s">
        <v>22</v>
      </c>
      <c r="F929" s="405">
        <v>40000</v>
      </c>
      <c r="G929" s="321">
        <v>4</v>
      </c>
      <c r="H929" s="321">
        <v>536</v>
      </c>
      <c r="I929" s="321" t="s">
        <v>18</v>
      </c>
      <c r="J929" s="321" t="s">
        <v>23</v>
      </c>
      <c r="K929" s="224">
        <f>H929/F929</f>
        <v>1.34E-2</v>
      </c>
    </row>
    <row r="930" spans="1:12" ht="12.75" customHeight="1">
      <c r="A930" s="321">
        <v>11</v>
      </c>
      <c r="B930" s="321" t="s">
        <v>621</v>
      </c>
      <c r="C930" s="321" t="s">
        <v>622</v>
      </c>
      <c r="D930" s="321" t="s">
        <v>16</v>
      </c>
      <c r="E930" s="321" t="s">
        <v>94</v>
      </c>
      <c r="F930" s="405">
        <v>10530</v>
      </c>
      <c r="G930" s="321">
        <v>10530</v>
      </c>
      <c r="H930" s="321">
        <v>3348.54</v>
      </c>
      <c r="I930" s="321" t="s">
        <v>18</v>
      </c>
      <c r="J930" s="321" t="s">
        <v>23</v>
      </c>
      <c r="K930" s="224">
        <f>H930/F930</f>
        <v>0.318</v>
      </c>
    </row>
    <row r="931" spans="1:12" ht="12.75" customHeight="1">
      <c r="A931" s="321">
        <v>1</v>
      </c>
      <c r="B931" s="321" t="s">
        <v>621</v>
      </c>
      <c r="C931" s="321" t="s">
        <v>622</v>
      </c>
      <c r="D931" s="321" t="s">
        <v>16</v>
      </c>
      <c r="E931" s="321" t="s">
        <v>94</v>
      </c>
      <c r="F931" s="405">
        <v>1241</v>
      </c>
      <c r="G931" s="321">
        <v>1241</v>
      </c>
      <c r="H931" s="321">
        <v>394.51</v>
      </c>
      <c r="I931" s="321" t="s">
        <v>18</v>
      </c>
      <c r="J931" s="321" t="s">
        <v>23</v>
      </c>
      <c r="K931" s="224">
        <f>H931/F931</f>
        <v>0.31789685737308621</v>
      </c>
    </row>
    <row r="932" spans="1:12">
      <c r="A932" s="321">
        <v>201</v>
      </c>
      <c r="B932" s="321" t="s">
        <v>625</v>
      </c>
      <c r="C932" s="321" t="s">
        <v>626</v>
      </c>
      <c r="D932" s="321" t="s">
        <v>43</v>
      </c>
      <c r="E932" s="321"/>
      <c r="F932" s="405">
        <v>52.57</v>
      </c>
      <c r="G932" s="321">
        <v>52.57</v>
      </c>
      <c r="H932" s="321">
        <v>1230.77</v>
      </c>
      <c r="I932" s="321" t="s">
        <v>44</v>
      </c>
      <c r="J932" s="321" t="s">
        <v>19</v>
      </c>
      <c r="K932" s="224">
        <f>H932/F932</f>
        <v>23.412022065817006</v>
      </c>
    </row>
    <row r="933" spans="1:12">
      <c r="A933" s="321">
        <v>11</v>
      </c>
      <c r="B933" s="321" t="s">
        <v>629</v>
      </c>
      <c r="C933" s="321" t="s">
        <v>630</v>
      </c>
      <c r="D933" s="321" t="s">
        <v>16</v>
      </c>
      <c r="E933" s="321" t="s">
        <v>22</v>
      </c>
      <c r="F933" s="405">
        <v>40000</v>
      </c>
      <c r="G933" s="321">
        <v>4</v>
      </c>
      <c r="H933" s="321">
        <v>596</v>
      </c>
      <c r="I933" s="321" t="s">
        <v>18</v>
      </c>
      <c r="J933" s="321" t="s">
        <v>59</v>
      </c>
      <c r="K933" s="224">
        <f>H933/F933</f>
        <v>1.49E-2</v>
      </c>
    </row>
    <row r="934" spans="1:12">
      <c r="A934" s="321">
        <v>288</v>
      </c>
      <c r="B934" s="321">
        <v>9002</v>
      </c>
      <c r="C934" s="321" t="s">
        <v>586</v>
      </c>
      <c r="D934" s="321" t="s">
        <v>28</v>
      </c>
      <c r="E934" s="321" t="s">
        <v>29</v>
      </c>
      <c r="F934" s="405">
        <v>0</v>
      </c>
      <c r="G934" s="321">
        <v>0</v>
      </c>
      <c r="H934" s="321">
        <v>110.26</v>
      </c>
      <c r="I934" s="321" t="s">
        <v>30</v>
      </c>
      <c r="J934" s="321" t="s">
        <v>19</v>
      </c>
      <c r="K934" s="224" t="e">
        <f>H934/F934</f>
        <v>#DIV/0!</v>
      </c>
    </row>
    <row r="935" spans="1:12">
      <c r="A935" s="321">
        <v>201</v>
      </c>
      <c r="B935" s="321" t="s">
        <v>596</v>
      </c>
      <c r="C935" s="321" t="s">
        <v>597</v>
      </c>
      <c r="D935" s="321" t="s">
        <v>16</v>
      </c>
      <c r="E935" s="321" t="s">
        <v>22</v>
      </c>
      <c r="F935" s="405">
        <v>4805</v>
      </c>
      <c r="G935" s="321">
        <v>0.48</v>
      </c>
      <c r="H935" s="321">
        <v>64.39</v>
      </c>
      <c r="I935" s="321" t="s">
        <v>18</v>
      </c>
      <c r="J935" s="321" t="s">
        <v>19</v>
      </c>
      <c r="K935" s="224">
        <f>H935/F935</f>
        <v>1.3400624349635796E-2</v>
      </c>
    </row>
    <row r="936" spans="1:12" ht="12.75" customHeight="1">
      <c r="A936" s="321">
        <v>288</v>
      </c>
      <c r="B936" s="321">
        <v>6501</v>
      </c>
      <c r="C936" s="321" t="s">
        <v>570</v>
      </c>
      <c r="D936" s="321" t="s">
        <v>28</v>
      </c>
      <c r="E936" s="321" t="s">
        <v>29</v>
      </c>
      <c r="F936" s="405">
        <v>0</v>
      </c>
      <c r="G936" s="321">
        <v>0</v>
      </c>
      <c r="H936" s="321">
        <v>26.4</v>
      </c>
      <c r="I936" s="321" t="s">
        <v>30</v>
      </c>
      <c r="J936" s="321" t="s">
        <v>19</v>
      </c>
      <c r="K936" s="224" t="e">
        <f>H936/F936</f>
        <v>#DIV/0!</v>
      </c>
    </row>
    <row r="937" spans="1:12">
      <c r="A937" s="321">
        <v>1</v>
      </c>
      <c r="B937" s="321" t="s">
        <v>596</v>
      </c>
      <c r="C937" s="321" t="s">
        <v>597</v>
      </c>
      <c r="D937" s="321" t="s">
        <v>16</v>
      </c>
      <c r="E937" s="321" t="s">
        <v>22</v>
      </c>
      <c r="F937" s="405">
        <v>21488</v>
      </c>
      <c r="G937" s="321">
        <v>2.15</v>
      </c>
      <c r="H937" s="321">
        <v>287.94</v>
      </c>
      <c r="I937" s="321" t="s">
        <v>18</v>
      </c>
      <c r="J937" s="321" t="s">
        <v>23</v>
      </c>
      <c r="K937" s="224">
        <f>H937/F937</f>
        <v>1.3400037230081907E-2</v>
      </c>
    </row>
    <row r="938" spans="1:12">
      <c r="A938" s="321">
        <v>201</v>
      </c>
      <c r="B938" s="321" t="s">
        <v>627</v>
      </c>
      <c r="C938" s="321" t="s">
        <v>628</v>
      </c>
      <c r="D938" s="321" t="s">
        <v>16</v>
      </c>
      <c r="E938" s="321" t="s">
        <v>22</v>
      </c>
      <c r="F938" s="405">
        <v>46674</v>
      </c>
      <c r="G938" s="321">
        <v>4.67</v>
      </c>
      <c r="H938" s="321">
        <v>620.76</v>
      </c>
      <c r="I938" s="321" t="s">
        <v>18</v>
      </c>
      <c r="J938" s="321" t="s">
        <v>19</v>
      </c>
      <c r="K938" s="224">
        <f>H938/F938</f>
        <v>1.3299910014140635E-2</v>
      </c>
    </row>
    <row r="939" spans="1:12">
      <c r="A939" s="321">
        <v>223</v>
      </c>
      <c r="B939" s="321" t="s">
        <v>2761</v>
      </c>
      <c r="C939" s="321" t="s">
        <v>2762</v>
      </c>
      <c r="D939" s="321" t="s">
        <v>16</v>
      </c>
      <c r="E939" s="321" t="s">
        <v>22</v>
      </c>
      <c r="F939" s="405">
        <v>40000</v>
      </c>
      <c r="G939" s="321">
        <v>4</v>
      </c>
      <c r="H939" s="321">
        <v>400</v>
      </c>
      <c r="I939" s="321" t="s">
        <v>18</v>
      </c>
      <c r="J939" s="321" t="s">
        <v>19</v>
      </c>
      <c r="K939" s="224">
        <f>H939/F939</f>
        <v>0.01</v>
      </c>
    </row>
    <row r="940" spans="1:12" ht="12.75" customHeight="1">
      <c r="A940" s="321">
        <v>1</v>
      </c>
      <c r="B940" s="321" t="s">
        <v>2768</v>
      </c>
      <c r="C940" s="321" t="s">
        <v>2769</v>
      </c>
      <c r="D940" s="321" t="s">
        <v>43</v>
      </c>
      <c r="E940" s="321" t="s">
        <v>2770</v>
      </c>
      <c r="F940" s="405">
        <v>100</v>
      </c>
      <c r="G940" s="321">
        <v>100</v>
      </c>
      <c r="H940" s="321">
        <v>3259.68</v>
      </c>
      <c r="I940" s="321" t="s">
        <v>44</v>
      </c>
      <c r="J940" s="321" t="s">
        <v>23</v>
      </c>
      <c r="K940" s="224">
        <f>H940/F940</f>
        <v>32.596800000000002</v>
      </c>
    </row>
    <row r="941" spans="1:12" ht="12.75" customHeight="1">
      <c r="A941" s="321">
        <v>1</v>
      </c>
      <c r="B941" s="321" t="s">
        <v>627</v>
      </c>
      <c r="C941" s="321" t="s">
        <v>628</v>
      </c>
      <c r="D941" s="321" t="s">
        <v>16</v>
      </c>
      <c r="E941" s="321" t="s">
        <v>22</v>
      </c>
      <c r="F941" s="405">
        <v>30108</v>
      </c>
      <c r="G941" s="321">
        <v>3.01</v>
      </c>
      <c r="H941" s="321">
        <v>403.45</v>
      </c>
      <c r="I941" s="321" t="s">
        <v>18</v>
      </c>
      <c r="J941" s="321" t="s">
        <v>23</v>
      </c>
      <c r="K941" s="224">
        <f>H941/F941</f>
        <v>1.3400092998538594E-2</v>
      </c>
      <c r="L941" s="215"/>
    </row>
    <row r="942" spans="1:12">
      <c r="A942" s="321">
        <v>201</v>
      </c>
      <c r="B942" s="321" t="s">
        <v>629</v>
      </c>
      <c r="C942" s="321" t="s">
        <v>630</v>
      </c>
      <c r="D942" s="321" t="s">
        <v>16</v>
      </c>
      <c r="E942" s="321" t="s">
        <v>22</v>
      </c>
      <c r="F942" s="405">
        <v>51969</v>
      </c>
      <c r="G942" s="321">
        <v>5.2</v>
      </c>
      <c r="H942" s="321">
        <v>774.34</v>
      </c>
      <c r="I942" s="321" t="s">
        <v>18</v>
      </c>
      <c r="J942" s="321" t="s">
        <v>59</v>
      </c>
      <c r="K942" s="224">
        <f>H942/F942</f>
        <v>1.4900036560257077E-2</v>
      </c>
    </row>
    <row r="943" spans="1:12" ht="12.75" customHeight="1">
      <c r="A943" s="321">
        <v>288</v>
      </c>
      <c r="B943" s="321">
        <v>9006</v>
      </c>
      <c r="C943" s="321" t="s">
        <v>587</v>
      </c>
      <c r="D943" s="321" t="s">
        <v>28</v>
      </c>
      <c r="E943" s="321" t="s">
        <v>29</v>
      </c>
      <c r="F943" s="405">
        <v>0</v>
      </c>
      <c r="G943" s="321">
        <v>0</v>
      </c>
      <c r="H943" s="321">
        <v>310.45</v>
      </c>
      <c r="I943" s="321" t="s">
        <v>30</v>
      </c>
      <c r="J943" s="321" t="s">
        <v>19</v>
      </c>
      <c r="K943" s="224" t="e">
        <f>H943/F943</f>
        <v>#DIV/0!</v>
      </c>
    </row>
    <row r="944" spans="1:12">
      <c r="A944" s="321">
        <v>288</v>
      </c>
      <c r="B944" s="321" t="s">
        <v>621</v>
      </c>
      <c r="C944" s="321" t="s">
        <v>622</v>
      </c>
      <c r="D944" s="321" t="s">
        <v>16</v>
      </c>
      <c r="E944" s="321" t="s">
        <v>94</v>
      </c>
      <c r="F944" s="405">
        <v>0</v>
      </c>
      <c r="G944" s="321">
        <v>0</v>
      </c>
      <c r="H944" s="321">
        <v>-11.26</v>
      </c>
      <c r="I944" s="321" t="s">
        <v>18</v>
      </c>
      <c r="J944" s="321" t="s">
        <v>19</v>
      </c>
      <c r="K944" s="224" t="e">
        <f>H944/F944</f>
        <v>#DIV/0!</v>
      </c>
    </row>
    <row r="945" spans="1:12" ht="12.75" customHeight="1">
      <c r="A945" s="321">
        <v>1</v>
      </c>
      <c r="B945" s="321" t="s">
        <v>629</v>
      </c>
      <c r="C945" s="321" t="s">
        <v>630</v>
      </c>
      <c r="D945" s="321" t="s">
        <v>16</v>
      </c>
      <c r="E945" s="321" t="s">
        <v>22</v>
      </c>
      <c r="F945" s="405">
        <v>1140</v>
      </c>
      <c r="G945" s="321">
        <v>0.11</v>
      </c>
      <c r="H945" s="321">
        <v>16.989999999999998</v>
      </c>
      <c r="I945" s="321" t="s">
        <v>18</v>
      </c>
      <c r="J945" s="321" t="s">
        <v>59</v>
      </c>
      <c r="K945" s="224">
        <f>H945/F945</f>
        <v>1.4903508771929823E-2</v>
      </c>
      <c r="L945" s="215"/>
    </row>
    <row r="946" spans="1:12">
      <c r="A946" s="321">
        <v>11</v>
      </c>
      <c r="B946" s="321" t="s">
        <v>2768</v>
      </c>
      <c r="C946" s="321" t="s">
        <v>2769</v>
      </c>
      <c r="D946" s="321" t="s">
        <v>43</v>
      </c>
      <c r="E946" s="321" t="s">
        <v>2770</v>
      </c>
      <c r="F946" s="405">
        <v>100</v>
      </c>
      <c r="G946" s="321">
        <v>100</v>
      </c>
      <c r="H946" s="321">
        <v>5970</v>
      </c>
      <c r="I946" s="321" t="s">
        <v>44</v>
      </c>
      <c r="J946" s="321" t="s">
        <v>23</v>
      </c>
      <c r="K946" s="224">
        <f>H946/F946</f>
        <v>59.7</v>
      </c>
    </row>
    <row r="947" spans="1:12" ht="12.75" customHeight="1">
      <c r="A947" s="321">
        <v>211</v>
      </c>
      <c r="B947" s="321">
        <v>9660</v>
      </c>
      <c r="C947" s="321" t="s">
        <v>275</v>
      </c>
      <c r="D947" s="321" t="s">
        <v>28</v>
      </c>
      <c r="E947" s="321" t="s">
        <v>56</v>
      </c>
      <c r="F947" s="405">
        <v>36</v>
      </c>
      <c r="G947" s="321">
        <v>1116</v>
      </c>
      <c r="H947" s="321">
        <v>577.08000000000004</v>
      </c>
      <c r="I947" s="321" t="s">
        <v>30</v>
      </c>
      <c r="J947" s="321" t="s">
        <v>19</v>
      </c>
      <c r="K947" s="224">
        <f>H947/F947</f>
        <v>16.03</v>
      </c>
    </row>
    <row r="948" spans="1:12">
      <c r="A948" s="321">
        <v>201</v>
      </c>
      <c r="B948" s="321" t="s">
        <v>2768</v>
      </c>
      <c r="C948" s="321" t="s">
        <v>2769</v>
      </c>
      <c r="D948" s="321" t="s">
        <v>43</v>
      </c>
      <c r="E948" s="321" t="s">
        <v>2770</v>
      </c>
      <c r="F948" s="405">
        <v>100</v>
      </c>
      <c r="G948" s="321">
        <v>100</v>
      </c>
      <c r="H948" s="321">
        <v>3275.98</v>
      </c>
      <c r="I948" s="321" t="s">
        <v>44</v>
      </c>
      <c r="J948" s="321" t="s">
        <v>19</v>
      </c>
      <c r="K948" s="224">
        <f>H948/F948</f>
        <v>32.759799999999998</v>
      </c>
    </row>
    <row r="949" spans="1:12">
      <c r="A949" s="321">
        <v>211</v>
      </c>
      <c r="B949" s="321">
        <v>6502</v>
      </c>
      <c r="C949" s="321" t="s">
        <v>574</v>
      </c>
      <c r="D949" s="321" t="s">
        <v>28</v>
      </c>
      <c r="E949" s="321" t="s">
        <v>29</v>
      </c>
      <c r="F949" s="405">
        <v>1442</v>
      </c>
      <c r="G949" s="321">
        <v>51767.8</v>
      </c>
      <c r="H949" s="321">
        <v>19769.38</v>
      </c>
      <c r="I949" s="321" t="s">
        <v>30</v>
      </c>
      <c r="J949" s="321" t="s">
        <v>19</v>
      </c>
      <c r="K949" s="224">
        <f>H949/F949</f>
        <v>13.709694868238559</v>
      </c>
    </row>
    <row r="950" spans="1:12" ht="12.75" customHeight="1">
      <c r="A950" s="321">
        <v>11</v>
      </c>
      <c r="B950" s="321" t="s">
        <v>60</v>
      </c>
      <c r="C950" s="321" t="s">
        <v>61</v>
      </c>
      <c r="D950" s="321" t="s">
        <v>16</v>
      </c>
      <c r="E950" s="321" t="s">
        <v>22</v>
      </c>
      <c r="F950" s="405">
        <v>70000</v>
      </c>
      <c r="G950" s="321">
        <v>7</v>
      </c>
      <c r="H950" s="321">
        <v>938</v>
      </c>
      <c r="I950" s="321" t="s">
        <v>18</v>
      </c>
      <c r="J950" s="321" t="s">
        <v>23</v>
      </c>
      <c r="K950" s="224">
        <f>H950/F950</f>
        <v>1.34E-2</v>
      </c>
    </row>
    <row r="951" spans="1:12">
      <c r="A951" s="321">
        <v>223</v>
      </c>
      <c r="B951" s="321" t="s">
        <v>182</v>
      </c>
      <c r="C951" s="321" t="s">
        <v>183</v>
      </c>
      <c r="D951" s="321" t="s">
        <v>34</v>
      </c>
      <c r="E951" s="321"/>
      <c r="F951" s="405">
        <v>300</v>
      </c>
      <c r="G951" s="321">
        <v>2400</v>
      </c>
      <c r="H951" s="321">
        <v>3091.77</v>
      </c>
      <c r="I951" s="321" t="s">
        <v>44</v>
      </c>
      <c r="J951" s="321" t="s">
        <v>19</v>
      </c>
      <c r="K951" s="224">
        <f>H951/F951</f>
        <v>10.305899999999999</v>
      </c>
    </row>
    <row r="952" spans="1:12" ht="12.75" customHeight="1">
      <c r="A952" s="321">
        <v>223</v>
      </c>
      <c r="B952" s="321" t="s">
        <v>79</v>
      </c>
      <c r="C952" s="321" t="s">
        <v>80</v>
      </c>
      <c r="D952" s="321" t="s">
        <v>16</v>
      </c>
      <c r="E952" s="321" t="s">
        <v>22</v>
      </c>
      <c r="F952" s="405">
        <v>40000</v>
      </c>
      <c r="G952" s="321">
        <v>4</v>
      </c>
      <c r="H952" s="321">
        <v>536</v>
      </c>
      <c r="I952" s="321" t="s">
        <v>18</v>
      </c>
      <c r="J952" s="321" t="s">
        <v>19</v>
      </c>
      <c r="K952" s="224">
        <f>H952/F952</f>
        <v>1.34E-2</v>
      </c>
    </row>
    <row r="953" spans="1:12">
      <c r="A953" s="321">
        <v>11</v>
      </c>
      <c r="B953" s="321" t="s">
        <v>627</v>
      </c>
      <c r="C953" s="321" t="s">
        <v>628</v>
      </c>
      <c r="D953" s="321" t="s">
        <v>16</v>
      </c>
      <c r="E953" s="321" t="s">
        <v>22</v>
      </c>
      <c r="F953" s="405">
        <v>30000</v>
      </c>
      <c r="G953" s="321">
        <v>3</v>
      </c>
      <c r="H953" s="321">
        <v>402</v>
      </c>
      <c r="I953" s="321" t="s">
        <v>18</v>
      </c>
      <c r="J953" s="321" t="s">
        <v>23</v>
      </c>
      <c r="K953" s="224">
        <f>H953/F953</f>
        <v>1.34E-2</v>
      </c>
    </row>
    <row r="954" spans="1:12" ht="12.75" customHeight="1">
      <c r="A954" s="321">
        <v>223</v>
      </c>
      <c r="B954" s="321" t="s">
        <v>584</v>
      </c>
      <c r="C954" s="321" t="s">
        <v>585</v>
      </c>
      <c r="D954" s="321" t="s">
        <v>16</v>
      </c>
      <c r="E954" s="321" t="s">
        <v>22</v>
      </c>
      <c r="F954" s="405">
        <v>30000</v>
      </c>
      <c r="G954" s="321">
        <v>3</v>
      </c>
      <c r="H954" s="321">
        <v>399</v>
      </c>
      <c r="I954" s="321" t="s">
        <v>18</v>
      </c>
      <c r="J954" s="321" t="s">
        <v>59</v>
      </c>
      <c r="K954" s="224">
        <f>H954/F954</f>
        <v>1.3299999999999999E-2</v>
      </c>
    </row>
    <row r="955" spans="1:12" ht="12.75" customHeight="1">
      <c r="A955" s="321">
        <v>223</v>
      </c>
      <c r="B955" s="321" t="s">
        <v>14</v>
      </c>
      <c r="C955" s="321" t="s">
        <v>15</v>
      </c>
      <c r="D955" s="321" t="s">
        <v>16</v>
      </c>
      <c r="E955" s="321" t="s">
        <v>17</v>
      </c>
      <c r="F955" s="405">
        <v>38500</v>
      </c>
      <c r="G955" s="321">
        <v>38500</v>
      </c>
      <c r="H955" s="405">
        <v>30719.15</v>
      </c>
      <c r="I955" s="321" t="s">
        <v>18</v>
      </c>
      <c r="J955" s="321" t="s">
        <v>19</v>
      </c>
      <c r="K955" s="224">
        <f>H955/F955</f>
        <v>0.79790000000000005</v>
      </c>
    </row>
    <row r="956" spans="1:12" ht="12.75" customHeight="1">
      <c r="A956" s="321">
        <v>601</v>
      </c>
      <c r="B956" s="321">
        <v>4157</v>
      </c>
      <c r="C956" s="321" t="s">
        <v>635</v>
      </c>
      <c r="D956" s="321" t="s">
        <v>28</v>
      </c>
      <c r="E956" s="321" t="s">
        <v>56</v>
      </c>
      <c r="F956" s="405">
        <v>283</v>
      </c>
      <c r="G956" s="321">
        <v>3942.19</v>
      </c>
      <c r="H956" s="321">
        <v>1758.36</v>
      </c>
      <c r="I956" s="321" t="s">
        <v>30</v>
      </c>
      <c r="J956" s="321" t="s">
        <v>59</v>
      </c>
      <c r="K956" s="224">
        <f>H956/F956</f>
        <v>6.2132862190812714</v>
      </c>
    </row>
    <row r="957" spans="1:12" ht="12.75" customHeight="1">
      <c r="A957" s="321">
        <v>223</v>
      </c>
      <c r="B957" s="321">
        <v>1335</v>
      </c>
      <c r="C957" s="321" t="s">
        <v>286</v>
      </c>
      <c r="D957" s="321" t="s">
        <v>28</v>
      </c>
      <c r="E957" s="321" t="s">
        <v>32</v>
      </c>
      <c r="F957" s="405">
        <v>0</v>
      </c>
      <c r="G957" s="321">
        <v>0</v>
      </c>
      <c r="H957" s="321">
        <v>0.02</v>
      </c>
      <c r="I957" s="321" t="s">
        <v>30</v>
      </c>
      <c r="J957" s="321" t="s">
        <v>19</v>
      </c>
      <c r="K957" s="224" t="e">
        <f>H957/F957</f>
        <v>#DIV/0!</v>
      </c>
    </row>
    <row r="958" spans="1:12" ht="12.75" customHeight="1">
      <c r="A958" s="321">
        <v>11</v>
      </c>
      <c r="B958" s="321" t="s">
        <v>204</v>
      </c>
      <c r="C958" s="321" t="s">
        <v>205</v>
      </c>
      <c r="D958" s="321" t="s">
        <v>16</v>
      </c>
      <c r="E958" s="321" t="s">
        <v>22</v>
      </c>
      <c r="F958" s="405">
        <v>20000</v>
      </c>
      <c r="G958" s="321">
        <v>2</v>
      </c>
      <c r="H958" s="321">
        <v>196</v>
      </c>
      <c r="I958" s="321" t="s">
        <v>18</v>
      </c>
      <c r="J958" s="321" t="s">
        <v>23</v>
      </c>
      <c r="K958" s="224">
        <f>H958/F958</f>
        <v>9.7999999999999997E-3</v>
      </c>
    </row>
    <row r="959" spans="1:12" ht="12.75" customHeight="1">
      <c r="A959" s="321">
        <v>288</v>
      </c>
      <c r="B959" s="321">
        <v>7591</v>
      </c>
      <c r="C959" s="321" t="s">
        <v>235</v>
      </c>
      <c r="D959" s="321" t="s">
        <v>28</v>
      </c>
      <c r="E959" s="321" t="s">
        <v>29</v>
      </c>
      <c r="F959" s="405">
        <v>0</v>
      </c>
      <c r="G959" s="321">
        <v>0</v>
      </c>
      <c r="H959" s="321">
        <v>-531.04999999999995</v>
      </c>
      <c r="I959" s="321" t="s">
        <v>30</v>
      </c>
      <c r="J959" s="321" t="s">
        <v>19</v>
      </c>
      <c r="K959" s="224" t="e">
        <f>H959/F959</f>
        <v>#DIV/0!</v>
      </c>
    </row>
    <row r="960" spans="1:12">
      <c r="A960" s="321">
        <v>11</v>
      </c>
      <c r="B960" s="321" t="s">
        <v>206</v>
      </c>
      <c r="C960" s="321" t="s">
        <v>207</v>
      </c>
      <c r="D960" s="321" t="s">
        <v>16</v>
      </c>
      <c r="E960" s="321" t="s">
        <v>22</v>
      </c>
      <c r="F960" s="405">
        <v>10000</v>
      </c>
      <c r="G960" s="321">
        <v>1</v>
      </c>
      <c r="H960" s="321">
        <v>114</v>
      </c>
      <c r="I960" s="321" t="s">
        <v>18</v>
      </c>
      <c r="J960" s="321" t="s">
        <v>23</v>
      </c>
      <c r="K960" s="224">
        <f>H960/F960</f>
        <v>1.14E-2</v>
      </c>
    </row>
    <row r="961" spans="1:11" ht="12.75" customHeight="1">
      <c r="A961" s="321">
        <v>88</v>
      </c>
      <c r="B961" s="321" t="s">
        <v>217</v>
      </c>
      <c r="C961" s="321" t="s">
        <v>218</v>
      </c>
      <c r="D961" s="321" t="s">
        <v>43</v>
      </c>
      <c r="E961" s="321"/>
      <c r="F961" s="405">
        <v>-10.9</v>
      </c>
      <c r="G961" s="321">
        <v>-10.9</v>
      </c>
      <c r="H961" s="321">
        <v>-458.35</v>
      </c>
      <c r="I961" s="321" t="s">
        <v>44</v>
      </c>
      <c r="J961" s="321" t="s">
        <v>23</v>
      </c>
      <c r="K961" s="224">
        <f>H961/F961</f>
        <v>42.050458715596328</v>
      </c>
    </row>
    <row r="962" spans="1:11">
      <c r="A962" s="321">
        <v>223</v>
      </c>
      <c r="B962" s="321" t="s">
        <v>60</v>
      </c>
      <c r="C962" s="321" t="s">
        <v>61</v>
      </c>
      <c r="D962" s="321" t="s">
        <v>16</v>
      </c>
      <c r="E962" s="321" t="s">
        <v>22</v>
      </c>
      <c r="F962" s="405">
        <v>60000</v>
      </c>
      <c r="G962" s="321">
        <v>6</v>
      </c>
      <c r="H962" s="405">
        <v>804</v>
      </c>
      <c r="I962" s="321" t="s">
        <v>18</v>
      </c>
      <c r="J962" s="321" t="s">
        <v>19</v>
      </c>
      <c r="K962" s="224">
        <f>H962/F962</f>
        <v>1.34E-2</v>
      </c>
    </row>
    <row r="963" spans="1:11">
      <c r="A963" s="321">
        <v>201</v>
      </c>
      <c r="B963" s="321" t="s">
        <v>638</v>
      </c>
      <c r="C963" s="321" t="s">
        <v>639</v>
      </c>
      <c r="D963" s="321" t="s">
        <v>16</v>
      </c>
      <c r="E963" s="321" t="s">
        <v>22</v>
      </c>
      <c r="F963" s="405">
        <v>17228</v>
      </c>
      <c r="G963" s="321">
        <v>1.72</v>
      </c>
      <c r="H963" s="405">
        <v>230.86</v>
      </c>
      <c r="I963" s="321" t="s">
        <v>18</v>
      </c>
      <c r="J963" s="321" t="s">
        <v>19</v>
      </c>
      <c r="K963" s="224">
        <f>H963/F963</f>
        <v>1.3400278616206176E-2</v>
      </c>
    </row>
    <row r="964" spans="1:11" ht="12.75" customHeight="1">
      <c r="A964" s="321">
        <v>288</v>
      </c>
      <c r="B964" s="321">
        <v>6506</v>
      </c>
      <c r="C964" s="321" t="s">
        <v>615</v>
      </c>
      <c r="D964" s="321" t="s">
        <v>28</v>
      </c>
      <c r="E964" s="321" t="s">
        <v>56</v>
      </c>
      <c r="F964" s="405">
        <v>0</v>
      </c>
      <c r="G964" s="321">
        <v>0</v>
      </c>
      <c r="H964" s="405">
        <v>11.48</v>
      </c>
      <c r="I964" s="321" t="s">
        <v>30</v>
      </c>
      <c r="J964" s="321" t="s">
        <v>19</v>
      </c>
      <c r="K964" s="224" t="e">
        <f>H964/F964</f>
        <v>#DIV/0!</v>
      </c>
    </row>
    <row r="965" spans="1:11" ht="12.75" customHeight="1">
      <c r="A965" s="321">
        <v>11</v>
      </c>
      <c r="B965" s="321">
        <v>2752</v>
      </c>
      <c r="C965" s="321" t="s">
        <v>327</v>
      </c>
      <c r="D965" s="321" t="s">
        <v>28</v>
      </c>
      <c r="E965" s="321" t="s">
        <v>56</v>
      </c>
      <c r="F965" s="405">
        <v>844</v>
      </c>
      <c r="G965" s="321">
        <v>24205.08</v>
      </c>
      <c r="H965" s="405">
        <v>13548.9</v>
      </c>
      <c r="I965" s="321" t="s">
        <v>30</v>
      </c>
      <c r="J965" s="321" t="s">
        <v>23</v>
      </c>
      <c r="K965" s="224">
        <f>H965/F965</f>
        <v>16.053199052132701</v>
      </c>
    </row>
    <row r="966" spans="1:11">
      <c r="A966" s="321">
        <v>11</v>
      </c>
      <c r="B966" s="321">
        <v>5204</v>
      </c>
      <c r="C966" s="321" t="s">
        <v>378</v>
      </c>
      <c r="D966" s="321" t="s">
        <v>28</v>
      </c>
      <c r="E966" s="321" t="s">
        <v>56</v>
      </c>
      <c r="F966" s="405">
        <v>91</v>
      </c>
      <c r="G966" s="321">
        <v>3037.58</v>
      </c>
      <c r="H966" s="405">
        <v>1677.45</v>
      </c>
      <c r="I966" s="321" t="s">
        <v>30</v>
      </c>
      <c r="J966" s="321" t="s">
        <v>23</v>
      </c>
      <c r="K966" s="224">
        <f>H966/F966</f>
        <v>18.433516483516485</v>
      </c>
    </row>
    <row r="967" spans="1:11" ht="12.75" customHeight="1">
      <c r="A967" s="321">
        <v>211</v>
      </c>
      <c r="B967" s="321">
        <v>6513</v>
      </c>
      <c r="C967" s="321" t="s">
        <v>637</v>
      </c>
      <c r="D967" s="321" t="s">
        <v>28</v>
      </c>
      <c r="E967" s="321" t="s">
        <v>56</v>
      </c>
      <c r="F967" s="405">
        <v>401</v>
      </c>
      <c r="G967" s="321">
        <v>11228</v>
      </c>
      <c r="H967" s="405">
        <v>4311.63</v>
      </c>
      <c r="I967" s="321" t="s">
        <v>30</v>
      </c>
      <c r="J967" s="321" t="s">
        <v>19</v>
      </c>
      <c r="K967" s="224">
        <f>H967/F967</f>
        <v>10.752194513715711</v>
      </c>
    </row>
    <row r="968" spans="1:11" ht="12.75" customHeight="1">
      <c r="A968" s="321">
        <v>11</v>
      </c>
      <c r="B968" s="321">
        <v>5204</v>
      </c>
      <c r="C968" s="321" t="s">
        <v>378</v>
      </c>
      <c r="D968" s="321" t="s">
        <v>16</v>
      </c>
      <c r="E968" s="321" t="s">
        <v>88</v>
      </c>
      <c r="F968" s="405">
        <v>-1</v>
      </c>
      <c r="G968" s="321">
        <v>-5.56</v>
      </c>
      <c r="H968" s="405">
        <v>-4.6100000000000003</v>
      </c>
      <c r="I968" s="321" t="s">
        <v>30</v>
      </c>
      <c r="J968" s="321" t="s">
        <v>23</v>
      </c>
      <c r="K968" s="224">
        <f>H968/F968</f>
        <v>4.6100000000000003</v>
      </c>
    </row>
    <row r="969" spans="1:11" ht="12.75" customHeight="1">
      <c r="A969" s="321">
        <v>11</v>
      </c>
      <c r="B969" s="321" t="s">
        <v>2780</v>
      </c>
      <c r="C969" s="321" t="s">
        <v>2781</v>
      </c>
      <c r="D969" s="321" t="s">
        <v>16</v>
      </c>
      <c r="E969" s="321" t="s">
        <v>529</v>
      </c>
      <c r="F969" s="405">
        <v>3315</v>
      </c>
      <c r="G969" s="321">
        <v>3315</v>
      </c>
      <c r="H969" s="405">
        <v>1524.9</v>
      </c>
      <c r="I969" s="321" t="s">
        <v>18</v>
      </c>
      <c r="J969" s="321" t="s">
        <v>23</v>
      </c>
      <c r="K969" s="224">
        <f>H969/F969</f>
        <v>0.46</v>
      </c>
    </row>
    <row r="970" spans="1:11" ht="12.75" customHeight="1">
      <c r="A970" s="321">
        <v>1</v>
      </c>
      <c r="B970" s="321" t="s">
        <v>2780</v>
      </c>
      <c r="C970" s="321" t="s">
        <v>2781</v>
      </c>
      <c r="D970" s="321" t="s">
        <v>16</v>
      </c>
      <c r="E970" s="321" t="s">
        <v>529</v>
      </c>
      <c r="F970" s="405">
        <v>984</v>
      </c>
      <c r="G970" s="321">
        <v>984</v>
      </c>
      <c r="H970" s="321">
        <v>452.64</v>
      </c>
      <c r="I970" s="321" t="s">
        <v>18</v>
      </c>
      <c r="J970" s="321" t="s">
        <v>23</v>
      </c>
      <c r="K970" s="224">
        <f>H970/F970</f>
        <v>0.45999999999999996</v>
      </c>
    </row>
    <row r="971" spans="1:11" ht="12.75" customHeight="1">
      <c r="A971" s="321">
        <v>223</v>
      </c>
      <c r="B971" s="321" t="s">
        <v>267</v>
      </c>
      <c r="C971" s="321" t="s">
        <v>268</v>
      </c>
      <c r="D971" s="321" t="s">
        <v>16</v>
      </c>
      <c r="E971" s="321" t="s">
        <v>22</v>
      </c>
      <c r="F971" s="405">
        <v>40000</v>
      </c>
      <c r="G971" s="321">
        <v>4</v>
      </c>
      <c r="H971" s="321">
        <v>536</v>
      </c>
      <c r="I971" s="321" t="s">
        <v>18</v>
      </c>
      <c r="J971" s="321" t="s">
        <v>19</v>
      </c>
      <c r="K971" s="224">
        <f>H971/F971</f>
        <v>1.34E-2</v>
      </c>
    </row>
    <row r="972" spans="1:11">
      <c r="A972" s="321">
        <v>11</v>
      </c>
      <c r="B972" s="321" t="s">
        <v>638</v>
      </c>
      <c r="C972" s="321" t="s">
        <v>639</v>
      </c>
      <c r="D972" s="321" t="s">
        <v>16</v>
      </c>
      <c r="E972" s="321" t="s">
        <v>22</v>
      </c>
      <c r="F972" s="405">
        <v>50000</v>
      </c>
      <c r="G972" s="321">
        <v>5</v>
      </c>
      <c r="H972" s="321">
        <v>670</v>
      </c>
      <c r="I972" s="321" t="s">
        <v>18</v>
      </c>
      <c r="J972" s="321" t="s">
        <v>23</v>
      </c>
      <c r="K972" s="224">
        <f>H972/F972</f>
        <v>1.34E-2</v>
      </c>
    </row>
    <row r="973" spans="1:11">
      <c r="A973" s="321">
        <v>288</v>
      </c>
      <c r="B973" s="321">
        <v>6502</v>
      </c>
      <c r="C973" s="321" t="s">
        <v>574</v>
      </c>
      <c r="D973" s="321" t="s">
        <v>28</v>
      </c>
      <c r="E973" s="321" t="s">
        <v>29</v>
      </c>
      <c r="F973" s="405">
        <v>-2</v>
      </c>
      <c r="G973" s="321">
        <v>-71.8</v>
      </c>
      <c r="H973" s="321">
        <v>4.32</v>
      </c>
      <c r="I973" s="321" t="s">
        <v>30</v>
      </c>
      <c r="J973" s="321" t="s">
        <v>19</v>
      </c>
      <c r="K973" s="224">
        <f>H973/F973</f>
        <v>-2.16</v>
      </c>
    </row>
    <row r="974" spans="1:11" ht="12.75" customHeight="1">
      <c r="A974" s="321">
        <v>223</v>
      </c>
      <c r="B974" s="321" t="s">
        <v>2783</v>
      </c>
      <c r="C974" s="321" t="s">
        <v>2784</v>
      </c>
      <c r="D974" s="321" t="s">
        <v>16</v>
      </c>
      <c r="E974" s="321" t="s">
        <v>22</v>
      </c>
      <c r="F974" s="405">
        <v>10000</v>
      </c>
      <c r="G974" s="321">
        <v>1</v>
      </c>
      <c r="H974" s="321">
        <v>134</v>
      </c>
      <c r="I974" s="321" t="s">
        <v>18</v>
      </c>
      <c r="J974" s="321" t="s">
        <v>19</v>
      </c>
      <c r="K974" s="224">
        <f>H974/F974</f>
        <v>1.34E-2</v>
      </c>
    </row>
    <row r="975" spans="1:11" ht="12.75" customHeight="1">
      <c r="A975" s="321">
        <v>223</v>
      </c>
      <c r="B975" s="321" t="s">
        <v>150</v>
      </c>
      <c r="C975" s="321" t="s">
        <v>151</v>
      </c>
      <c r="D975" s="321" t="s">
        <v>43</v>
      </c>
      <c r="E975" s="321"/>
      <c r="F975" s="405">
        <v>1428</v>
      </c>
      <c r="G975" s="321">
        <v>1428</v>
      </c>
      <c r="H975" s="321">
        <v>1106.4100000000001</v>
      </c>
      <c r="I975" s="321" t="s">
        <v>44</v>
      </c>
      <c r="J975" s="321" t="s">
        <v>19</v>
      </c>
      <c r="K975" s="224">
        <f>H975/F975</f>
        <v>0.77479691876750711</v>
      </c>
    </row>
    <row r="976" spans="1:11">
      <c r="A976" s="321">
        <v>211</v>
      </c>
      <c r="B976" s="321">
        <v>6593</v>
      </c>
      <c r="C976" s="321" t="s">
        <v>572</v>
      </c>
      <c r="D976" s="321" t="s">
        <v>28</v>
      </c>
      <c r="E976" s="321" t="s">
        <v>56</v>
      </c>
      <c r="F976" s="405">
        <v>5431</v>
      </c>
      <c r="G976" s="321">
        <v>70603</v>
      </c>
      <c r="H976" s="321">
        <v>33312.14</v>
      </c>
      <c r="I976" s="321" t="s">
        <v>30</v>
      </c>
      <c r="J976" s="321" t="s">
        <v>19</v>
      </c>
      <c r="K976" s="224">
        <f>H976/F976</f>
        <v>6.1337028171607439</v>
      </c>
    </row>
    <row r="977" spans="1:12">
      <c r="A977" s="321">
        <v>11</v>
      </c>
      <c r="B977" s="321" t="s">
        <v>640</v>
      </c>
      <c r="C977" s="321" t="s">
        <v>641</v>
      </c>
      <c r="D977" s="321" t="s">
        <v>16</v>
      </c>
      <c r="E977" s="321" t="s">
        <v>22</v>
      </c>
      <c r="F977" s="405">
        <v>90000</v>
      </c>
      <c r="G977" s="321">
        <v>9</v>
      </c>
      <c r="H977" s="321">
        <v>945</v>
      </c>
      <c r="I977" s="321" t="s">
        <v>18</v>
      </c>
      <c r="J977" s="321" t="s">
        <v>59</v>
      </c>
      <c r="K977" s="224">
        <f>H977/F977</f>
        <v>1.0500000000000001E-2</v>
      </c>
    </row>
    <row r="978" spans="1:12" ht="12.75" customHeight="1">
      <c r="A978" s="321">
        <v>201</v>
      </c>
      <c r="B978" s="321">
        <v>7540</v>
      </c>
      <c r="C978" s="321" t="s">
        <v>358</v>
      </c>
      <c r="D978" s="321" t="s">
        <v>28</v>
      </c>
      <c r="E978" s="321" t="s">
        <v>29</v>
      </c>
      <c r="F978" s="405">
        <v>1</v>
      </c>
      <c r="G978" s="321">
        <v>36.4</v>
      </c>
      <c r="H978" s="321">
        <v>22.77</v>
      </c>
      <c r="I978" s="321" t="s">
        <v>30</v>
      </c>
      <c r="J978" s="321" t="s">
        <v>19</v>
      </c>
      <c r="K978" s="224">
        <f>H978/F978</f>
        <v>22.77</v>
      </c>
    </row>
    <row r="979" spans="1:12">
      <c r="A979" s="321">
        <v>11</v>
      </c>
      <c r="B979" s="321" t="s">
        <v>219</v>
      </c>
      <c r="C979" s="321" t="s">
        <v>220</v>
      </c>
      <c r="D979" s="321" t="s">
        <v>16</v>
      </c>
      <c r="E979" s="321" t="s">
        <v>221</v>
      </c>
      <c r="F979" s="405">
        <v>6000</v>
      </c>
      <c r="G979" s="321">
        <v>3000</v>
      </c>
      <c r="H979" s="321">
        <v>5418</v>
      </c>
      <c r="I979" s="321" t="s">
        <v>18</v>
      </c>
      <c r="J979" s="321" t="s">
        <v>23</v>
      </c>
      <c r="K979" s="224">
        <f>H979/F979</f>
        <v>0.90300000000000002</v>
      </c>
    </row>
    <row r="980" spans="1:12" ht="12.75" customHeight="1">
      <c r="A980" s="321">
        <v>201</v>
      </c>
      <c r="B980" s="321" t="s">
        <v>640</v>
      </c>
      <c r="C980" s="321" t="s">
        <v>641</v>
      </c>
      <c r="D980" s="321" t="s">
        <v>16</v>
      </c>
      <c r="E980" s="321" t="s">
        <v>22</v>
      </c>
      <c r="F980" s="405">
        <v>71617</v>
      </c>
      <c r="G980" s="321">
        <v>7.16</v>
      </c>
      <c r="H980" s="321">
        <v>751.98</v>
      </c>
      <c r="I980" s="321" t="s">
        <v>18</v>
      </c>
      <c r="J980" s="321" t="s">
        <v>59</v>
      </c>
      <c r="K980" s="224">
        <f>H980/F980</f>
        <v>1.0500020944747756E-2</v>
      </c>
      <c r="L980" s="215"/>
    </row>
    <row r="981" spans="1:12" ht="12.75" customHeight="1">
      <c r="A981" s="321">
        <v>11</v>
      </c>
      <c r="B981" s="321" t="s">
        <v>623</v>
      </c>
      <c r="C981" s="321" t="s">
        <v>624</v>
      </c>
      <c r="D981" s="321" t="s">
        <v>34</v>
      </c>
      <c r="E981" s="321"/>
      <c r="F981" s="321">
        <v>65</v>
      </c>
      <c r="G981" s="321">
        <v>578.5</v>
      </c>
      <c r="H981" s="321">
        <v>225.88</v>
      </c>
      <c r="I981" s="321" t="s">
        <v>35</v>
      </c>
      <c r="J981" s="321" t="s">
        <v>23</v>
      </c>
      <c r="K981" s="224">
        <f>H981/F981</f>
        <v>3.475076923076923</v>
      </c>
    </row>
    <row r="982" spans="1:12" ht="12.75" customHeight="1">
      <c r="A982" s="321">
        <v>1</v>
      </c>
      <c r="B982" s="321" t="s">
        <v>640</v>
      </c>
      <c r="C982" s="321" t="s">
        <v>641</v>
      </c>
      <c r="D982" s="321" t="s">
        <v>16</v>
      </c>
      <c r="E982" s="321" t="s">
        <v>22</v>
      </c>
      <c r="F982" s="405">
        <v>1115</v>
      </c>
      <c r="G982" s="321">
        <v>0.11</v>
      </c>
      <c r="H982" s="321">
        <v>11.71</v>
      </c>
      <c r="I982" s="321" t="s">
        <v>18</v>
      </c>
      <c r="J982" s="321" t="s">
        <v>59</v>
      </c>
      <c r="K982" s="224">
        <f>H982/F982</f>
        <v>1.0502242152466368E-2</v>
      </c>
    </row>
    <row r="983" spans="1:12" ht="12.75" customHeight="1">
      <c r="A983" s="321">
        <v>11</v>
      </c>
      <c r="B983" s="321" t="s">
        <v>173</v>
      </c>
      <c r="C983" s="321" t="s">
        <v>174</v>
      </c>
      <c r="D983" s="321" t="s">
        <v>34</v>
      </c>
      <c r="E983" s="321"/>
      <c r="F983" s="405">
        <v>10640</v>
      </c>
      <c r="G983" s="321">
        <v>94696</v>
      </c>
      <c r="H983" s="321">
        <v>36069.599999999999</v>
      </c>
      <c r="I983" s="321" t="s">
        <v>35</v>
      </c>
      <c r="J983" s="321" t="s">
        <v>23</v>
      </c>
      <c r="K983" s="224">
        <f>H983/F983</f>
        <v>3.3899999999999997</v>
      </c>
    </row>
    <row r="984" spans="1:12">
      <c r="A984" s="321">
        <v>88</v>
      </c>
      <c r="B984" s="321" t="s">
        <v>47</v>
      </c>
      <c r="C984" s="321" t="s">
        <v>48</v>
      </c>
      <c r="D984" s="321" t="s">
        <v>43</v>
      </c>
      <c r="E984" s="321"/>
      <c r="F984" s="405">
        <v>0</v>
      </c>
      <c r="G984" s="321">
        <v>0</v>
      </c>
      <c r="H984" s="321">
        <v>0</v>
      </c>
      <c r="I984" s="321" t="s">
        <v>44</v>
      </c>
      <c r="J984" s="321" t="s">
        <v>23</v>
      </c>
      <c r="K984" s="224" t="e">
        <f>H984/F984</f>
        <v>#DIV/0!</v>
      </c>
    </row>
    <row r="985" spans="1:12">
      <c r="A985" s="321">
        <v>211</v>
      </c>
      <c r="B985" s="321">
        <v>6516</v>
      </c>
      <c r="C985" s="321" t="s">
        <v>575</v>
      </c>
      <c r="D985" s="321" t="s">
        <v>28</v>
      </c>
      <c r="E985" s="321" t="s">
        <v>56</v>
      </c>
      <c r="F985" s="405">
        <v>2067</v>
      </c>
      <c r="G985" s="321">
        <v>28524.6</v>
      </c>
      <c r="H985" s="321">
        <v>12790</v>
      </c>
      <c r="I985" s="321" t="s">
        <v>30</v>
      </c>
      <c r="J985" s="321" t="s">
        <v>19</v>
      </c>
      <c r="K985" s="224">
        <f>H985/F985</f>
        <v>6.1877116594097723</v>
      </c>
    </row>
    <row r="986" spans="1:12" ht="12.75" customHeight="1">
      <c r="A986" s="321">
        <v>88</v>
      </c>
      <c r="B986" s="321" t="s">
        <v>239</v>
      </c>
      <c r="C986" s="321" t="s">
        <v>240</v>
      </c>
      <c r="D986" s="321" t="s">
        <v>43</v>
      </c>
      <c r="E986" s="321"/>
      <c r="F986" s="321">
        <v>-231.7</v>
      </c>
      <c r="G986" s="321">
        <v>-231.7</v>
      </c>
      <c r="H986" s="321">
        <v>-3433.89</v>
      </c>
      <c r="I986" s="321" t="s">
        <v>44</v>
      </c>
      <c r="J986" s="321" t="s">
        <v>23</v>
      </c>
      <c r="K986" s="224">
        <f>H986/F986</f>
        <v>14.820414328873543</v>
      </c>
    </row>
    <row r="987" spans="1:12" ht="12.75" customHeight="1">
      <c r="A987" s="321">
        <v>11</v>
      </c>
      <c r="B987" s="321" t="s">
        <v>651</v>
      </c>
      <c r="C987" s="321" t="s">
        <v>652</v>
      </c>
      <c r="D987" s="321" t="s">
        <v>28</v>
      </c>
      <c r="E987" s="321" t="s">
        <v>56</v>
      </c>
      <c r="F987" s="405">
        <v>1805</v>
      </c>
      <c r="G987" s="321">
        <v>29060.5</v>
      </c>
      <c r="H987" s="321">
        <v>15851.33</v>
      </c>
      <c r="I987" s="321" t="s">
        <v>30</v>
      </c>
      <c r="J987" s="321" t="s">
        <v>59</v>
      </c>
      <c r="K987" s="224">
        <f>H987/F987</f>
        <v>8.7819002770083099</v>
      </c>
    </row>
    <row r="988" spans="1:12" ht="12.75" customHeight="1">
      <c r="A988" s="321">
        <v>223</v>
      </c>
      <c r="B988" s="321" t="s">
        <v>426</v>
      </c>
      <c r="C988" s="321" t="s">
        <v>427</v>
      </c>
      <c r="D988" s="321" t="s">
        <v>16</v>
      </c>
      <c r="E988" s="321" t="s">
        <v>22</v>
      </c>
      <c r="F988" s="405">
        <v>410000</v>
      </c>
      <c r="G988" s="321">
        <v>41</v>
      </c>
      <c r="H988" s="321">
        <v>2911</v>
      </c>
      <c r="I988" s="321" t="s">
        <v>18</v>
      </c>
      <c r="J988" s="321" t="s">
        <v>19</v>
      </c>
      <c r="K988" s="224">
        <f>H988/F988</f>
        <v>7.1000000000000004E-3</v>
      </c>
    </row>
    <row r="989" spans="1:12" ht="12.75" customHeight="1">
      <c r="A989" s="321">
        <v>201</v>
      </c>
      <c r="B989" s="321" t="s">
        <v>642</v>
      </c>
      <c r="C989" s="321" t="s">
        <v>643</v>
      </c>
      <c r="D989" s="321" t="s">
        <v>16</v>
      </c>
      <c r="E989" s="321" t="s">
        <v>17</v>
      </c>
      <c r="F989" s="405">
        <v>539</v>
      </c>
      <c r="G989" s="321">
        <v>539</v>
      </c>
      <c r="H989" s="321">
        <v>367.12</v>
      </c>
      <c r="I989" s="321" t="s">
        <v>18</v>
      </c>
      <c r="J989" s="321" t="s">
        <v>19</v>
      </c>
      <c r="K989" s="224">
        <f>H989/F989</f>
        <v>0.68111317254174397</v>
      </c>
    </row>
    <row r="990" spans="1:12">
      <c r="A990" s="321">
        <v>11</v>
      </c>
      <c r="B990" s="321" t="s">
        <v>644</v>
      </c>
      <c r="C990" s="321" t="s">
        <v>645</v>
      </c>
      <c r="D990" s="321" t="s">
        <v>16</v>
      </c>
      <c r="E990" s="321" t="s">
        <v>22</v>
      </c>
      <c r="F990" s="405">
        <v>10000</v>
      </c>
      <c r="G990" s="321">
        <v>1</v>
      </c>
      <c r="H990" s="321">
        <v>134</v>
      </c>
      <c r="I990" s="321" t="s">
        <v>18</v>
      </c>
      <c r="J990" s="321" t="s">
        <v>23</v>
      </c>
      <c r="K990" s="224">
        <f>H990/F990</f>
        <v>1.34E-2</v>
      </c>
    </row>
    <row r="991" spans="1:12">
      <c r="A991" s="321">
        <v>211</v>
      </c>
      <c r="B991" s="321">
        <v>9630</v>
      </c>
      <c r="C991" s="321" t="s">
        <v>506</v>
      </c>
      <c r="D991" s="321" t="s">
        <v>28</v>
      </c>
      <c r="E991" s="321" t="s">
        <v>32</v>
      </c>
      <c r="F991" s="405">
        <v>600</v>
      </c>
      <c r="G991" s="321">
        <v>18874.2</v>
      </c>
      <c r="H991" s="321">
        <v>10494</v>
      </c>
      <c r="I991" s="321" t="s">
        <v>30</v>
      </c>
      <c r="J991" s="321" t="s">
        <v>19</v>
      </c>
      <c r="K991" s="224">
        <f>H991/F991</f>
        <v>17.489999999999998</v>
      </c>
    </row>
    <row r="992" spans="1:12" ht="12.75" customHeight="1">
      <c r="A992" s="321">
        <v>288</v>
      </c>
      <c r="B992" s="321">
        <v>6513</v>
      </c>
      <c r="C992" s="321" t="s">
        <v>637</v>
      </c>
      <c r="D992" s="321" t="s">
        <v>28</v>
      </c>
      <c r="E992" s="321" t="s">
        <v>56</v>
      </c>
      <c r="F992" s="405">
        <v>0</v>
      </c>
      <c r="G992" s="321">
        <v>0</v>
      </c>
      <c r="H992" s="321">
        <v>3.93</v>
      </c>
      <c r="I992" s="321" t="s">
        <v>30</v>
      </c>
      <c r="J992" s="321" t="s">
        <v>19</v>
      </c>
      <c r="K992" s="224" t="e">
        <f>H992/F992</f>
        <v>#DIV/0!</v>
      </c>
    </row>
    <row r="993" spans="1:11">
      <c r="A993" s="321">
        <v>1</v>
      </c>
      <c r="B993" s="321" t="s">
        <v>644</v>
      </c>
      <c r="C993" s="321" t="s">
        <v>645</v>
      </c>
      <c r="D993" s="321" t="s">
        <v>16</v>
      </c>
      <c r="E993" s="321" t="s">
        <v>22</v>
      </c>
      <c r="F993" s="405">
        <v>23611</v>
      </c>
      <c r="G993" s="321">
        <v>2.36</v>
      </c>
      <c r="H993" s="321">
        <v>316.39</v>
      </c>
      <c r="I993" s="321" t="s">
        <v>18</v>
      </c>
      <c r="J993" s="321" t="s">
        <v>23</v>
      </c>
      <c r="K993" s="224">
        <f>H993/F993</f>
        <v>1.3400110118165262E-2</v>
      </c>
    </row>
    <row r="994" spans="1:11" ht="12.75" customHeight="1">
      <c r="A994" s="321">
        <v>223</v>
      </c>
      <c r="B994" s="321" t="s">
        <v>488</v>
      </c>
      <c r="C994" s="321" t="s">
        <v>489</v>
      </c>
      <c r="D994" s="321" t="s">
        <v>16</v>
      </c>
      <c r="E994" s="321" t="s">
        <v>22</v>
      </c>
      <c r="F994" s="405">
        <v>440000</v>
      </c>
      <c r="G994" s="321">
        <v>44</v>
      </c>
      <c r="H994" s="321">
        <v>3124</v>
      </c>
      <c r="I994" s="321" t="s">
        <v>18</v>
      </c>
      <c r="J994" s="321" t="s">
        <v>19</v>
      </c>
      <c r="K994" s="224">
        <f>H994/F994</f>
        <v>7.1000000000000004E-3</v>
      </c>
    </row>
    <row r="995" spans="1:11" ht="12.75" customHeight="1">
      <c r="A995" s="321">
        <v>11</v>
      </c>
      <c r="B995" s="321" t="s">
        <v>349</v>
      </c>
      <c r="C995" s="321" t="s">
        <v>350</v>
      </c>
      <c r="D995" s="321" t="s">
        <v>34</v>
      </c>
      <c r="E995" s="321" t="s">
        <v>2847</v>
      </c>
      <c r="F995" s="405">
        <v>40223</v>
      </c>
      <c r="G995" s="321">
        <v>357984.7</v>
      </c>
      <c r="H995" s="321">
        <v>136758.20000000001</v>
      </c>
      <c r="I995" s="321" t="s">
        <v>35</v>
      </c>
      <c r="J995" s="321" t="s">
        <v>23</v>
      </c>
      <c r="K995" s="224">
        <f>H995/F995</f>
        <v>3.4000000000000004</v>
      </c>
    </row>
    <row r="996" spans="1:11" ht="12.75" customHeight="1">
      <c r="A996" s="321">
        <v>288</v>
      </c>
      <c r="B996" s="321" t="s">
        <v>189</v>
      </c>
      <c r="C996" s="321" t="s">
        <v>190</v>
      </c>
      <c r="D996" s="321" t="s">
        <v>43</v>
      </c>
      <c r="E996" s="321"/>
      <c r="F996" s="405">
        <v>6</v>
      </c>
      <c r="G996" s="321">
        <v>6</v>
      </c>
      <c r="H996" s="321">
        <v>204.5</v>
      </c>
      <c r="I996" s="321" t="s">
        <v>44</v>
      </c>
      <c r="J996" s="321" t="s">
        <v>19</v>
      </c>
      <c r="K996" s="224">
        <f>H996/F996</f>
        <v>34.083333333333336</v>
      </c>
    </row>
    <row r="997" spans="1:11">
      <c r="A997" s="321">
        <v>201</v>
      </c>
      <c r="B997" s="321" t="s">
        <v>646</v>
      </c>
      <c r="C997" s="321" t="s">
        <v>647</v>
      </c>
      <c r="D997" s="321" t="s">
        <v>16</v>
      </c>
      <c r="E997" s="321" t="s">
        <v>22</v>
      </c>
      <c r="F997" s="405">
        <v>12983</v>
      </c>
      <c r="G997" s="321">
        <v>1.3</v>
      </c>
      <c r="H997" s="321">
        <v>168.78</v>
      </c>
      <c r="I997" s="321" t="s">
        <v>18</v>
      </c>
      <c r="J997" s="321" t="s">
        <v>59</v>
      </c>
      <c r="K997" s="224">
        <f>H997/F997</f>
        <v>1.3000077023800355E-2</v>
      </c>
    </row>
    <row r="998" spans="1:11" ht="12.75" customHeight="1">
      <c r="A998" s="321">
        <v>11</v>
      </c>
      <c r="B998" s="321" t="s">
        <v>648</v>
      </c>
      <c r="C998" s="321" t="s">
        <v>649</v>
      </c>
      <c r="D998" s="321" t="s">
        <v>34</v>
      </c>
      <c r="E998" s="321" t="s">
        <v>650</v>
      </c>
      <c r="F998" s="405">
        <v>2115</v>
      </c>
      <c r="G998" s="321">
        <v>18537.98</v>
      </c>
      <c r="H998" s="321">
        <v>7905.02</v>
      </c>
      <c r="I998" s="321" t="s">
        <v>35</v>
      </c>
      <c r="J998" s="321" t="s">
        <v>23</v>
      </c>
      <c r="K998" s="224">
        <f>H998/F998</f>
        <v>3.7375981087470453</v>
      </c>
    </row>
    <row r="999" spans="1:11" ht="12.75" customHeight="1">
      <c r="A999" s="321">
        <v>601</v>
      </c>
      <c r="B999" s="321" t="s">
        <v>651</v>
      </c>
      <c r="C999" s="321" t="s">
        <v>652</v>
      </c>
      <c r="D999" s="321" t="s">
        <v>28</v>
      </c>
      <c r="E999" s="321" t="s">
        <v>56</v>
      </c>
      <c r="F999" s="405">
        <v>6292</v>
      </c>
      <c r="G999" s="321">
        <v>101301.2</v>
      </c>
      <c r="H999" s="321">
        <v>53997.95</v>
      </c>
      <c r="I999" s="321" t="s">
        <v>30</v>
      </c>
      <c r="J999" s="321" t="s">
        <v>59</v>
      </c>
      <c r="K999" s="224">
        <f>H999/F999</f>
        <v>8.5820009535918622</v>
      </c>
    </row>
    <row r="1000" spans="1:11" ht="12.75" customHeight="1">
      <c r="A1000" s="321">
        <v>11</v>
      </c>
      <c r="B1000" s="321" t="s">
        <v>646</v>
      </c>
      <c r="C1000" s="321" t="s">
        <v>647</v>
      </c>
      <c r="D1000" s="321" t="s">
        <v>16</v>
      </c>
      <c r="E1000" s="321" t="s">
        <v>22</v>
      </c>
      <c r="F1000" s="405">
        <v>50000</v>
      </c>
      <c r="G1000" s="321">
        <v>5</v>
      </c>
      <c r="H1000" s="321">
        <v>650</v>
      </c>
      <c r="I1000" s="321" t="s">
        <v>18</v>
      </c>
      <c r="J1000" s="321" t="s">
        <v>59</v>
      </c>
      <c r="K1000" s="224">
        <f>H1000/F1000</f>
        <v>1.2999999999999999E-2</v>
      </c>
    </row>
    <row r="1001" spans="1:11" ht="12.75" customHeight="1">
      <c r="A1001" s="321">
        <v>602</v>
      </c>
      <c r="B1001" s="321" t="s">
        <v>651</v>
      </c>
      <c r="C1001" s="321" t="s">
        <v>652</v>
      </c>
      <c r="D1001" s="321" t="s">
        <v>28</v>
      </c>
      <c r="E1001" s="321" t="s">
        <v>56</v>
      </c>
      <c r="F1001" s="405">
        <v>30</v>
      </c>
      <c r="G1001" s="321">
        <v>483</v>
      </c>
      <c r="H1001" s="405">
        <v>257.07</v>
      </c>
      <c r="I1001" s="321" t="s">
        <v>30</v>
      </c>
      <c r="J1001" s="321" t="s">
        <v>59</v>
      </c>
      <c r="K1001" s="224">
        <f>H1001/F1001</f>
        <v>8.5689999999999991</v>
      </c>
    </row>
    <row r="1002" spans="1:11" ht="12.75" customHeight="1">
      <c r="A1002" s="321">
        <v>211</v>
      </c>
      <c r="B1002" s="321" t="s">
        <v>651</v>
      </c>
      <c r="C1002" s="321" t="s">
        <v>652</v>
      </c>
      <c r="D1002" s="321" t="s">
        <v>28</v>
      </c>
      <c r="E1002" s="321" t="s">
        <v>56</v>
      </c>
      <c r="F1002" s="405">
        <v>1576</v>
      </c>
      <c r="G1002" s="321">
        <v>25373.599999999999</v>
      </c>
      <c r="H1002" s="321">
        <v>13198.37</v>
      </c>
      <c r="I1002" s="321" t="s">
        <v>30</v>
      </c>
      <c r="J1002" s="321" t="s">
        <v>59</v>
      </c>
      <c r="K1002" s="224">
        <f>H1002/F1002</f>
        <v>8.3746002538071078</v>
      </c>
    </row>
    <row r="1003" spans="1:11" ht="12.75" customHeight="1">
      <c r="A1003" s="321">
        <v>1</v>
      </c>
      <c r="B1003" s="321" t="s">
        <v>646</v>
      </c>
      <c r="C1003" s="321" t="s">
        <v>647</v>
      </c>
      <c r="D1003" s="321" t="s">
        <v>16</v>
      </c>
      <c r="E1003" s="321" t="s">
        <v>22</v>
      </c>
      <c r="F1003" s="405">
        <v>15291</v>
      </c>
      <c r="G1003" s="321">
        <v>1.53</v>
      </c>
      <c r="H1003" s="321">
        <v>198.78</v>
      </c>
      <c r="I1003" s="321" t="s">
        <v>18</v>
      </c>
      <c r="J1003" s="321" t="s">
        <v>59</v>
      </c>
      <c r="K1003" s="224">
        <f>H1003/F1003</f>
        <v>1.2999803806160486E-2</v>
      </c>
    </row>
    <row r="1004" spans="1:11" ht="12.75" customHeight="1">
      <c r="A1004" s="321">
        <v>288</v>
      </c>
      <c r="B1004" s="321" t="s">
        <v>210</v>
      </c>
      <c r="C1004" s="321" t="s">
        <v>211</v>
      </c>
      <c r="D1004" s="321" t="s">
        <v>43</v>
      </c>
      <c r="E1004" s="321" t="s">
        <v>212</v>
      </c>
      <c r="F1004" s="405">
        <v>-17.100000000000001</v>
      </c>
      <c r="G1004" s="321">
        <v>-17.100000000000001</v>
      </c>
      <c r="H1004" s="321">
        <v>-22.71</v>
      </c>
      <c r="I1004" s="321" t="s">
        <v>44</v>
      </c>
      <c r="J1004" s="321" t="s">
        <v>19</v>
      </c>
      <c r="K1004" s="224">
        <f>H1004/F1004</f>
        <v>1.3280701754385964</v>
      </c>
    </row>
    <row r="1005" spans="1:11" ht="12.75" customHeight="1">
      <c r="A1005" s="321">
        <v>99</v>
      </c>
      <c r="B1005" s="321" t="s">
        <v>651</v>
      </c>
      <c r="C1005" s="321" t="s">
        <v>652</v>
      </c>
      <c r="D1005" s="321" t="s">
        <v>28</v>
      </c>
      <c r="E1005" s="321" t="s">
        <v>56</v>
      </c>
      <c r="F1005" s="405">
        <v>0</v>
      </c>
      <c r="G1005" s="321">
        <v>0</v>
      </c>
      <c r="H1005" s="321">
        <v>-0.06</v>
      </c>
      <c r="I1005" s="321" t="s">
        <v>30</v>
      </c>
      <c r="J1005" s="321" t="s">
        <v>59</v>
      </c>
      <c r="K1005" s="224" t="e">
        <f>H1005/F1005</f>
        <v>#DIV/0!</v>
      </c>
    </row>
    <row r="1006" spans="1:11" ht="12.75" customHeight="1">
      <c r="A1006" s="321">
        <v>211</v>
      </c>
      <c r="B1006" s="321">
        <v>7502</v>
      </c>
      <c r="C1006" s="321" t="s">
        <v>27</v>
      </c>
      <c r="D1006" s="321" t="s">
        <v>28</v>
      </c>
      <c r="E1006" s="321" t="s">
        <v>29</v>
      </c>
      <c r="F1006" s="405">
        <v>1357</v>
      </c>
      <c r="G1006" s="321">
        <v>49449.08</v>
      </c>
      <c r="H1006" s="321">
        <v>33324.25</v>
      </c>
      <c r="I1006" s="321" t="s">
        <v>30</v>
      </c>
      <c r="J1006" s="321" t="s">
        <v>19</v>
      </c>
      <c r="K1006" s="224">
        <f>H1006/F1006</f>
        <v>24.557295504789977</v>
      </c>
    </row>
    <row r="1007" spans="1:11" ht="12.75" customHeight="1">
      <c r="A1007" s="321">
        <v>289</v>
      </c>
      <c r="B1007" s="321" t="s">
        <v>373</v>
      </c>
      <c r="C1007" s="321" t="s">
        <v>374</v>
      </c>
      <c r="D1007" s="321" t="s">
        <v>16</v>
      </c>
      <c r="E1007" s="321" t="s">
        <v>88</v>
      </c>
      <c r="F1007" s="405">
        <v>40206</v>
      </c>
      <c r="G1007" s="321">
        <v>28144.2</v>
      </c>
      <c r="H1007" s="321">
        <v>19222.46</v>
      </c>
      <c r="I1007" s="321" t="s">
        <v>35</v>
      </c>
      <c r="J1007" s="321" t="s">
        <v>19</v>
      </c>
      <c r="K1007" s="224">
        <f>H1007/F1007</f>
        <v>0.47809928866338353</v>
      </c>
    </row>
    <row r="1008" spans="1:11">
      <c r="A1008" s="321">
        <v>289</v>
      </c>
      <c r="B1008" s="321">
        <v>1335</v>
      </c>
      <c r="C1008" s="321" t="s">
        <v>286</v>
      </c>
      <c r="D1008" s="321" t="s">
        <v>28</v>
      </c>
      <c r="E1008" s="321" t="s">
        <v>32</v>
      </c>
      <c r="F1008" s="405">
        <v>-13440</v>
      </c>
      <c r="G1008" s="321">
        <v>-120960</v>
      </c>
      <c r="H1008" s="321">
        <v>-79695.17</v>
      </c>
      <c r="I1008" s="321" t="s">
        <v>30</v>
      </c>
      <c r="J1008" s="321" t="s">
        <v>19</v>
      </c>
      <c r="K1008" s="224">
        <f>H1008/F1008</f>
        <v>5.9297001488095233</v>
      </c>
    </row>
    <row r="1009" spans="1:12">
      <c r="A1009" s="321">
        <v>288</v>
      </c>
      <c r="B1009" s="321">
        <v>6593</v>
      </c>
      <c r="C1009" s="321" t="s">
        <v>572</v>
      </c>
      <c r="D1009" s="321" t="s">
        <v>28</v>
      </c>
      <c r="E1009" s="321" t="s">
        <v>56</v>
      </c>
      <c r="F1009" s="405">
        <v>-2</v>
      </c>
      <c r="G1009" s="321">
        <v>-26</v>
      </c>
      <c r="H1009" s="321">
        <v>-51.83</v>
      </c>
      <c r="I1009" s="321" t="s">
        <v>30</v>
      </c>
      <c r="J1009" s="321" t="s">
        <v>19</v>
      </c>
      <c r="K1009" s="224">
        <f>H1009/F1009</f>
        <v>25.914999999999999</v>
      </c>
    </row>
    <row r="1010" spans="1:12" ht="12.75" customHeight="1">
      <c r="A1010" s="321">
        <v>289</v>
      </c>
      <c r="B1010" s="321" t="s">
        <v>394</v>
      </c>
      <c r="C1010" s="321" t="s">
        <v>395</v>
      </c>
      <c r="D1010" s="321" t="s">
        <v>16</v>
      </c>
      <c r="E1010" s="321" t="s">
        <v>88</v>
      </c>
      <c r="F1010" s="405">
        <v>40081</v>
      </c>
      <c r="G1010" s="321">
        <v>28056.7</v>
      </c>
      <c r="H1010" s="321">
        <v>17976.349999999999</v>
      </c>
      <c r="I1010" s="321" t="s">
        <v>35</v>
      </c>
      <c r="J1010" s="321" t="s">
        <v>19</v>
      </c>
      <c r="K1010" s="224">
        <f>H1010/F1010</f>
        <v>0.44850053641376209</v>
      </c>
    </row>
    <row r="1011" spans="1:12" ht="12.75" customHeight="1">
      <c r="A1011" s="321">
        <v>201</v>
      </c>
      <c r="B1011" s="321" t="s">
        <v>653</v>
      </c>
      <c r="C1011" s="321" t="s">
        <v>654</v>
      </c>
      <c r="D1011" s="321" t="s">
        <v>16</v>
      </c>
      <c r="E1011" s="321" t="s">
        <v>22</v>
      </c>
      <c r="F1011" s="321">
        <v>9429</v>
      </c>
      <c r="G1011" s="321">
        <v>0.94</v>
      </c>
      <c r="H1011" s="321">
        <v>66</v>
      </c>
      <c r="I1011" s="321" t="s">
        <v>18</v>
      </c>
      <c r="J1011" s="321" t="s">
        <v>19</v>
      </c>
      <c r="K1011" s="224">
        <f>H1011/F1011</f>
        <v>6.9996818326439709E-3</v>
      </c>
    </row>
    <row r="1012" spans="1:12" ht="12.75" customHeight="1">
      <c r="A1012" s="321">
        <v>289</v>
      </c>
      <c r="B1012" s="321" t="s">
        <v>436</v>
      </c>
      <c r="C1012" s="321" t="s">
        <v>437</v>
      </c>
      <c r="D1012" s="321" t="s">
        <v>16</v>
      </c>
      <c r="E1012" s="321" t="s">
        <v>88</v>
      </c>
      <c r="F1012" s="405">
        <v>40781</v>
      </c>
      <c r="G1012" s="321">
        <v>28546.7</v>
      </c>
      <c r="H1012" s="321">
        <v>20696.34</v>
      </c>
      <c r="I1012" s="321" t="s">
        <v>35</v>
      </c>
      <c r="J1012" s="321" t="s">
        <v>19</v>
      </c>
      <c r="K1012" s="224">
        <f>H1012/F1012</f>
        <v>0.50749957087859543</v>
      </c>
      <c r="L1012" s="215"/>
    </row>
    <row r="1013" spans="1:12">
      <c r="A1013" s="321">
        <v>11</v>
      </c>
      <c r="B1013" s="321" t="s">
        <v>653</v>
      </c>
      <c r="C1013" s="321" t="s">
        <v>654</v>
      </c>
      <c r="D1013" s="321" t="s">
        <v>16</v>
      </c>
      <c r="E1013" s="321" t="s">
        <v>22</v>
      </c>
      <c r="F1013" s="405">
        <v>40000</v>
      </c>
      <c r="G1013" s="321">
        <v>4</v>
      </c>
      <c r="H1013" s="321">
        <v>536</v>
      </c>
      <c r="I1013" s="321" t="s">
        <v>18</v>
      </c>
      <c r="J1013" s="321" t="s">
        <v>23</v>
      </c>
      <c r="K1013" s="224">
        <f>H1013/F1013</f>
        <v>1.34E-2</v>
      </c>
    </row>
    <row r="1014" spans="1:12" ht="12.75" customHeight="1">
      <c r="A1014" s="321">
        <v>289</v>
      </c>
      <c r="B1014" s="321" t="s">
        <v>441</v>
      </c>
      <c r="C1014" s="321" t="s">
        <v>442</v>
      </c>
      <c r="D1014" s="321" t="s">
        <v>16</v>
      </c>
      <c r="E1014" s="321" t="s">
        <v>88</v>
      </c>
      <c r="F1014" s="405">
        <v>40604</v>
      </c>
      <c r="G1014" s="321">
        <v>28422.799999999999</v>
      </c>
      <c r="H1014" s="321">
        <v>20740.650000000001</v>
      </c>
      <c r="I1014" s="321" t="s">
        <v>35</v>
      </c>
      <c r="J1014" s="321" t="s">
        <v>19</v>
      </c>
      <c r="K1014" s="224">
        <f>H1014/F1014</f>
        <v>0.51080312284503993</v>
      </c>
    </row>
    <row r="1015" spans="1:12">
      <c r="A1015" s="321">
        <v>1</v>
      </c>
      <c r="B1015" s="321" t="s">
        <v>653</v>
      </c>
      <c r="C1015" s="321" t="s">
        <v>654</v>
      </c>
      <c r="D1015" s="321" t="s">
        <v>16</v>
      </c>
      <c r="E1015" s="321" t="s">
        <v>22</v>
      </c>
      <c r="F1015" s="405">
        <v>7005</v>
      </c>
      <c r="G1015" s="321">
        <v>0.7</v>
      </c>
      <c r="H1015" s="321">
        <v>93.87</v>
      </c>
      <c r="I1015" s="321" t="s">
        <v>18</v>
      </c>
      <c r="J1015" s="321" t="s">
        <v>23</v>
      </c>
      <c r="K1015" s="224">
        <f>H1015/F1015</f>
        <v>1.3400428265524626E-2</v>
      </c>
    </row>
    <row r="1016" spans="1:12">
      <c r="A1016" s="321">
        <v>288</v>
      </c>
      <c r="B1016" s="321">
        <v>6516</v>
      </c>
      <c r="C1016" s="321" t="s">
        <v>575</v>
      </c>
      <c r="D1016" s="321" t="s">
        <v>28</v>
      </c>
      <c r="E1016" s="321" t="s">
        <v>56</v>
      </c>
      <c r="F1016" s="405">
        <v>-3</v>
      </c>
      <c r="G1016" s="321">
        <v>-41.4</v>
      </c>
      <c r="H1016" s="321">
        <v>-35.86</v>
      </c>
      <c r="I1016" s="321" t="s">
        <v>30</v>
      </c>
      <c r="J1016" s="321" t="s">
        <v>19</v>
      </c>
      <c r="K1016" s="224">
        <f>H1016/F1016</f>
        <v>11.953333333333333</v>
      </c>
    </row>
    <row r="1017" spans="1:12" ht="12.75" customHeight="1">
      <c r="A1017" s="321">
        <v>211</v>
      </c>
      <c r="B1017" s="321" t="s">
        <v>369</v>
      </c>
      <c r="C1017" s="321" t="s">
        <v>370</v>
      </c>
      <c r="D1017" s="321" t="s">
        <v>28</v>
      </c>
      <c r="E1017" s="321" t="s">
        <v>54</v>
      </c>
      <c r="F1017" s="405">
        <v>-6</v>
      </c>
      <c r="G1017" s="321">
        <v>-304.8</v>
      </c>
      <c r="H1017" s="321">
        <v>-174.97</v>
      </c>
      <c r="I1017" s="321" t="s">
        <v>30</v>
      </c>
      <c r="J1017" s="321" t="s">
        <v>19</v>
      </c>
      <c r="K1017" s="224">
        <f>H1017/F1017</f>
        <v>29.161666666666665</v>
      </c>
    </row>
    <row r="1018" spans="1:12" ht="12.75" customHeight="1">
      <c r="A1018" s="321">
        <v>1</v>
      </c>
      <c r="B1018" s="321" t="s">
        <v>655</v>
      </c>
      <c r="C1018" s="321" t="s">
        <v>656</v>
      </c>
      <c r="D1018" s="321" t="s">
        <v>16</v>
      </c>
      <c r="E1018" s="321" t="s">
        <v>17</v>
      </c>
      <c r="F1018" s="405">
        <v>1036</v>
      </c>
      <c r="G1018" s="321">
        <v>1036</v>
      </c>
      <c r="H1018" s="405">
        <v>483.81</v>
      </c>
      <c r="I1018" s="321" t="s">
        <v>18</v>
      </c>
      <c r="J1018" s="321" t="s">
        <v>23</v>
      </c>
      <c r="K1018" s="224">
        <f>H1018/F1018</f>
        <v>0.46699806949806949</v>
      </c>
    </row>
    <row r="1019" spans="1:12" ht="12.75" customHeight="1">
      <c r="A1019" s="321">
        <v>201</v>
      </c>
      <c r="B1019" s="321" t="s">
        <v>655</v>
      </c>
      <c r="C1019" s="321" t="s">
        <v>656</v>
      </c>
      <c r="D1019" s="321" t="s">
        <v>16</v>
      </c>
      <c r="E1019" s="321" t="s">
        <v>17</v>
      </c>
      <c r="F1019" s="405">
        <v>1560</v>
      </c>
      <c r="G1019" s="321">
        <v>1560</v>
      </c>
      <c r="H1019" s="321">
        <v>908.72</v>
      </c>
      <c r="I1019" s="321" t="s">
        <v>18</v>
      </c>
      <c r="J1019" s="321" t="s">
        <v>19</v>
      </c>
      <c r="K1019" s="224">
        <f>H1019/F1019</f>
        <v>0.5825128205128205</v>
      </c>
    </row>
    <row r="1020" spans="1:12">
      <c r="A1020" s="321">
        <v>11</v>
      </c>
      <c r="B1020" s="321" t="s">
        <v>655</v>
      </c>
      <c r="C1020" s="321" t="s">
        <v>656</v>
      </c>
      <c r="D1020" s="321" t="s">
        <v>16</v>
      </c>
      <c r="E1020" s="321" t="s">
        <v>17</v>
      </c>
      <c r="F1020" s="405">
        <v>32661</v>
      </c>
      <c r="G1020" s="321">
        <v>32661</v>
      </c>
      <c r="H1020" s="321">
        <v>15523.77</v>
      </c>
      <c r="I1020" s="321" t="s">
        <v>18</v>
      </c>
      <c r="J1020" s="321" t="s">
        <v>23</v>
      </c>
      <c r="K1020" s="224">
        <f>H1020/F1020</f>
        <v>0.47529989896206487</v>
      </c>
    </row>
    <row r="1021" spans="1:12" ht="12.75" customHeight="1">
      <c r="A1021" s="321">
        <v>288</v>
      </c>
      <c r="B1021" s="321" t="s">
        <v>657</v>
      </c>
      <c r="C1021" s="321" t="s">
        <v>658</v>
      </c>
      <c r="D1021" s="321" t="s">
        <v>43</v>
      </c>
      <c r="E1021" s="321" t="s">
        <v>659</v>
      </c>
      <c r="F1021" s="405">
        <v>0</v>
      </c>
      <c r="G1021" s="321">
        <v>0</v>
      </c>
      <c r="H1021" s="321">
        <v>0</v>
      </c>
      <c r="I1021" s="321" t="s">
        <v>44</v>
      </c>
      <c r="J1021" s="321" t="s">
        <v>19</v>
      </c>
      <c r="K1021" s="224" t="e">
        <f>H1021/F1021</f>
        <v>#DIV/0!</v>
      </c>
    </row>
    <row r="1022" spans="1:12">
      <c r="A1022" s="321">
        <v>288</v>
      </c>
      <c r="B1022" s="321" t="s">
        <v>655</v>
      </c>
      <c r="C1022" s="321" t="s">
        <v>656</v>
      </c>
      <c r="D1022" s="321" t="s">
        <v>16</v>
      </c>
      <c r="E1022" s="321" t="s">
        <v>17</v>
      </c>
      <c r="F1022" s="405">
        <v>0</v>
      </c>
      <c r="G1022" s="321">
        <v>0</v>
      </c>
      <c r="H1022" s="321">
        <v>1.58</v>
      </c>
      <c r="I1022" s="321" t="s">
        <v>18</v>
      </c>
      <c r="J1022" s="321" t="s">
        <v>19</v>
      </c>
      <c r="K1022" s="224" t="e">
        <f>H1022/F1022</f>
        <v>#DIV/0!</v>
      </c>
    </row>
    <row r="1023" spans="1:12">
      <c r="A1023" s="321">
        <v>201</v>
      </c>
      <c r="B1023" s="321" t="s">
        <v>657</v>
      </c>
      <c r="C1023" s="321" t="s">
        <v>658</v>
      </c>
      <c r="D1023" s="321" t="s">
        <v>43</v>
      </c>
      <c r="E1023" s="321" t="s">
        <v>659</v>
      </c>
      <c r="F1023" s="405">
        <v>93.4</v>
      </c>
      <c r="G1023" s="321">
        <v>93.4</v>
      </c>
      <c r="H1023" s="321">
        <v>1875.47</v>
      </c>
      <c r="I1023" s="321" t="s">
        <v>44</v>
      </c>
      <c r="J1023" s="321" t="s">
        <v>19</v>
      </c>
      <c r="K1023" s="224">
        <f>H1023/F1023</f>
        <v>20.079978586723769</v>
      </c>
    </row>
    <row r="1024" spans="1:12" ht="12.75" customHeight="1">
      <c r="A1024" s="321">
        <v>11</v>
      </c>
      <c r="B1024" s="321" t="s">
        <v>660</v>
      </c>
      <c r="C1024" s="321" t="s">
        <v>661</v>
      </c>
      <c r="D1024" s="321" t="s">
        <v>16</v>
      </c>
      <c r="E1024" s="321" t="s">
        <v>22</v>
      </c>
      <c r="F1024" s="405">
        <v>45000</v>
      </c>
      <c r="G1024" s="321">
        <v>4.5</v>
      </c>
      <c r="H1024" s="321">
        <v>1255.5</v>
      </c>
      <c r="I1024" s="321" t="s">
        <v>18</v>
      </c>
      <c r="J1024" s="321" t="s">
        <v>59</v>
      </c>
      <c r="K1024" s="224">
        <f>H1024/F1024</f>
        <v>2.7900000000000001E-2</v>
      </c>
    </row>
    <row r="1025" spans="1:12" ht="12.75" customHeight="1">
      <c r="A1025" s="321">
        <v>223</v>
      </c>
      <c r="B1025" s="321" t="s">
        <v>279</v>
      </c>
      <c r="C1025" s="321" t="s">
        <v>280</v>
      </c>
      <c r="D1025" s="321" t="s">
        <v>16</v>
      </c>
      <c r="E1025" s="321" t="s">
        <v>17</v>
      </c>
      <c r="F1025" s="405">
        <v>7830</v>
      </c>
      <c r="G1025" s="321">
        <v>7830</v>
      </c>
      <c r="H1025" s="405">
        <v>4712.09</v>
      </c>
      <c r="I1025" s="321" t="s">
        <v>18</v>
      </c>
      <c r="J1025" s="321" t="s">
        <v>19</v>
      </c>
      <c r="K1025" s="224">
        <f>H1025/F1025</f>
        <v>0.6017994891443168</v>
      </c>
    </row>
    <row r="1026" spans="1:12" ht="12.75" customHeight="1">
      <c r="A1026" s="321">
        <v>223</v>
      </c>
      <c r="B1026" s="321" t="s">
        <v>423</v>
      </c>
      <c r="C1026" s="321" t="s">
        <v>345</v>
      </c>
      <c r="D1026" s="321" t="s">
        <v>16</v>
      </c>
      <c r="E1026" s="321" t="s">
        <v>22</v>
      </c>
      <c r="F1026" s="405">
        <v>20000</v>
      </c>
      <c r="G1026" s="321">
        <v>2</v>
      </c>
      <c r="H1026" s="321">
        <v>266</v>
      </c>
      <c r="I1026" s="321" t="s">
        <v>18</v>
      </c>
      <c r="J1026" s="321" t="s">
        <v>19</v>
      </c>
      <c r="K1026" s="224">
        <f>H1026/F1026</f>
        <v>1.3299999999999999E-2</v>
      </c>
    </row>
    <row r="1027" spans="1:12">
      <c r="A1027" s="321">
        <v>11</v>
      </c>
      <c r="B1027" s="321">
        <v>6590</v>
      </c>
      <c r="C1027" s="321" t="s">
        <v>68</v>
      </c>
      <c r="D1027" s="321" t="s">
        <v>16</v>
      </c>
      <c r="E1027" s="321" t="s">
        <v>88</v>
      </c>
      <c r="F1027" s="405">
        <v>-4</v>
      </c>
      <c r="G1027" s="321">
        <v>-20.3</v>
      </c>
      <c r="H1027" s="321">
        <v>-11.57</v>
      </c>
      <c r="I1027" s="321" t="s">
        <v>30</v>
      </c>
      <c r="J1027" s="321" t="s">
        <v>23</v>
      </c>
      <c r="K1027" s="224">
        <f>H1027/F1027</f>
        <v>2.8925000000000001</v>
      </c>
    </row>
    <row r="1028" spans="1:12" ht="12.75" customHeight="1">
      <c r="A1028" s="321">
        <v>201</v>
      </c>
      <c r="B1028" s="321">
        <v>4175</v>
      </c>
      <c r="C1028" s="321" t="s">
        <v>662</v>
      </c>
      <c r="D1028" s="321" t="s">
        <v>28</v>
      </c>
      <c r="E1028" s="321" t="s">
        <v>54</v>
      </c>
      <c r="F1028" s="405">
        <v>48</v>
      </c>
      <c r="G1028" s="321">
        <v>2260.8000000000002</v>
      </c>
      <c r="H1028" s="321">
        <v>988.68</v>
      </c>
      <c r="I1028" s="321" t="s">
        <v>30</v>
      </c>
      <c r="J1028" s="321" t="s">
        <v>59</v>
      </c>
      <c r="K1028" s="224">
        <f>H1028/F1028</f>
        <v>20.5975</v>
      </c>
    </row>
    <row r="1029" spans="1:12">
      <c r="A1029" s="321">
        <v>11</v>
      </c>
      <c r="B1029" s="321">
        <v>6590</v>
      </c>
      <c r="C1029" s="321" t="s">
        <v>68</v>
      </c>
      <c r="D1029" s="321" t="s">
        <v>28</v>
      </c>
      <c r="E1029" s="321" t="s">
        <v>56</v>
      </c>
      <c r="F1029" s="405">
        <v>513</v>
      </c>
      <c r="G1029" s="321">
        <v>16313.4</v>
      </c>
      <c r="H1029" s="321">
        <v>8901.58</v>
      </c>
      <c r="I1029" s="321" t="s">
        <v>30</v>
      </c>
      <c r="J1029" s="321" t="s">
        <v>23</v>
      </c>
      <c r="K1029" s="224">
        <f>H1029/F1029</f>
        <v>17.352007797270954</v>
      </c>
    </row>
    <row r="1030" spans="1:12" ht="12.75" customHeight="1">
      <c r="A1030" s="321">
        <v>201</v>
      </c>
      <c r="B1030" s="321">
        <v>4800</v>
      </c>
      <c r="C1030" s="321" t="s">
        <v>194</v>
      </c>
      <c r="D1030" s="321" t="s">
        <v>43</v>
      </c>
      <c r="E1030" s="321" t="s">
        <v>195</v>
      </c>
      <c r="F1030" s="405">
        <v>1066.22</v>
      </c>
      <c r="G1030" s="405">
        <v>1066.22</v>
      </c>
      <c r="H1030" s="405">
        <v>205.89</v>
      </c>
      <c r="I1030" s="321" t="s">
        <v>30</v>
      </c>
      <c r="J1030" s="321" t="s">
        <v>19</v>
      </c>
      <c r="K1030" s="224">
        <f>H1030/F1030</f>
        <v>0.19310273677102285</v>
      </c>
    </row>
    <row r="1031" spans="1:12" ht="12.75" customHeight="1">
      <c r="A1031" s="321">
        <v>288</v>
      </c>
      <c r="B1031" s="321" t="s">
        <v>663</v>
      </c>
      <c r="C1031" s="321" t="s">
        <v>664</v>
      </c>
      <c r="D1031" s="321" t="s">
        <v>34</v>
      </c>
      <c r="E1031" s="321"/>
      <c r="F1031" s="405">
        <v>90</v>
      </c>
      <c r="G1031" s="321">
        <v>801</v>
      </c>
      <c r="H1031" s="321">
        <v>261.42</v>
      </c>
      <c r="I1031" s="321" t="s">
        <v>35</v>
      </c>
      <c r="J1031" s="321" t="s">
        <v>19</v>
      </c>
      <c r="K1031" s="224">
        <f>H1031/F1031</f>
        <v>2.904666666666667</v>
      </c>
    </row>
    <row r="1032" spans="1:12">
      <c r="A1032" s="321">
        <v>288</v>
      </c>
      <c r="B1032" s="321" t="s">
        <v>258</v>
      </c>
      <c r="C1032" s="321" t="s">
        <v>259</v>
      </c>
      <c r="D1032" s="321" t="s">
        <v>34</v>
      </c>
      <c r="E1032" s="321"/>
      <c r="F1032" s="405">
        <v>-95</v>
      </c>
      <c r="G1032" s="321">
        <v>-1057.3499999999999</v>
      </c>
      <c r="H1032" s="321">
        <v>-1882.78</v>
      </c>
      <c r="I1032" s="321" t="s">
        <v>44</v>
      </c>
      <c r="J1032" s="321" t="s">
        <v>19</v>
      </c>
      <c r="K1032" s="224">
        <f>H1032/F1032</f>
        <v>19.818736842105263</v>
      </c>
    </row>
    <row r="1033" spans="1:12" ht="12.75" customHeight="1">
      <c r="A1033" s="321">
        <v>288</v>
      </c>
      <c r="B1033" s="321" t="s">
        <v>504</v>
      </c>
      <c r="C1033" s="321" t="s">
        <v>505</v>
      </c>
      <c r="D1033" s="321" t="s">
        <v>34</v>
      </c>
      <c r="E1033" s="321"/>
      <c r="F1033" s="405">
        <v>4425</v>
      </c>
      <c r="G1033" s="321">
        <v>38760.79</v>
      </c>
      <c r="H1033" s="321">
        <v>9777.92</v>
      </c>
      <c r="I1033" s="321" t="s">
        <v>35</v>
      </c>
      <c r="J1033" s="321" t="s">
        <v>19</v>
      </c>
      <c r="K1033" s="224">
        <f>H1033/F1033</f>
        <v>2.2096994350282486</v>
      </c>
    </row>
    <row r="1034" spans="1:12" ht="12.75" customHeight="1">
      <c r="A1034" s="321">
        <v>223</v>
      </c>
      <c r="B1034" s="321" t="s">
        <v>168</v>
      </c>
      <c r="C1034" s="321" t="s">
        <v>169</v>
      </c>
      <c r="D1034" s="321" t="s">
        <v>16</v>
      </c>
      <c r="E1034" s="321"/>
      <c r="F1034" s="405">
        <v>71972</v>
      </c>
      <c r="G1034" s="321">
        <v>7197.2</v>
      </c>
      <c r="H1034" s="321">
        <v>7643.42</v>
      </c>
      <c r="I1034" s="321" t="s">
        <v>18</v>
      </c>
      <c r="J1034" s="321" t="s">
        <v>19</v>
      </c>
      <c r="K1034" s="224">
        <f>H1034/F1034</f>
        <v>0.10619991107652976</v>
      </c>
    </row>
    <row r="1035" spans="1:12">
      <c r="A1035" s="321">
        <v>11</v>
      </c>
      <c r="B1035" s="321">
        <v>4175</v>
      </c>
      <c r="C1035" s="321" t="s">
        <v>662</v>
      </c>
      <c r="D1035" s="321" t="s">
        <v>28</v>
      </c>
      <c r="E1035" s="321" t="s">
        <v>54</v>
      </c>
      <c r="F1035" s="405">
        <v>268</v>
      </c>
      <c r="G1035" s="321">
        <v>12622.8</v>
      </c>
      <c r="H1035" s="321">
        <v>6353.96</v>
      </c>
      <c r="I1035" s="321" t="s">
        <v>30</v>
      </c>
      <c r="J1035" s="321" t="s">
        <v>59</v>
      </c>
      <c r="K1035" s="224">
        <f>H1035/F1035</f>
        <v>23.708805970149253</v>
      </c>
    </row>
    <row r="1036" spans="1:12" ht="12.75" customHeight="1">
      <c r="A1036" s="321">
        <v>11</v>
      </c>
      <c r="B1036" s="321" t="s">
        <v>2814</v>
      </c>
      <c r="C1036" s="321" t="s">
        <v>2815</v>
      </c>
      <c r="D1036" s="321" t="s">
        <v>43</v>
      </c>
      <c r="E1036" s="321"/>
      <c r="F1036" s="405">
        <v>39928</v>
      </c>
      <c r="G1036" s="321">
        <v>39928</v>
      </c>
      <c r="H1036" s="321">
        <v>8166.54</v>
      </c>
      <c r="I1036" s="321" t="s">
        <v>2782</v>
      </c>
      <c r="J1036" s="321" t="s">
        <v>23</v>
      </c>
      <c r="K1036" s="224">
        <f>H1036/F1036</f>
        <v>0.20453165698256862</v>
      </c>
      <c r="L1036" s="215"/>
    </row>
    <row r="1037" spans="1:12" ht="12.75" customHeight="1">
      <c r="A1037" s="321">
        <v>88</v>
      </c>
      <c r="B1037" s="321" t="s">
        <v>263</v>
      </c>
      <c r="C1037" s="321" t="s">
        <v>264</v>
      </c>
      <c r="D1037" s="321" t="s">
        <v>43</v>
      </c>
      <c r="E1037" s="321"/>
      <c r="F1037" s="405">
        <v>-67.099999999999994</v>
      </c>
      <c r="G1037" s="321">
        <v>-67.099999999999994</v>
      </c>
      <c r="H1037" s="321">
        <v>-423.4</v>
      </c>
      <c r="I1037" s="321" t="s">
        <v>44</v>
      </c>
      <c r="J1037" s="321" t="s">
        <v>23</v>
      </c>
      <c r="K1037" s="224">
        <f>H1037/F1037</f>
        <v>6.309985096870343</v>
      </c>
    </row>
    <row r="1038" spans="1:12" ht="12.75" customHeight="1">
      <c r="A1038" s="321">
        <v>223</v>
      </c>
      <c r="B1038" s="321" t="s">
        <v>492</v>
      </c>
      <c r="C1038" s="321" t="s">
        <v>493</v>
      </c>
      <c r="D1038" s="321" t="s">
        <v>16</v>
      </c>
      <c r="E1038" s="321" t="s">
        <v>22</v>
      </c>
      <c r="F1038" s="405">
        <v>40000</v>
      </c>
      <c r="G1038" s="321">
        <v>4</v>
      </c>
      <c r="H1038" s="321">
        <v>536</v>
      </c>
      <c r="I1038" s="321" t="s">
        <v>18</v>
      </c>
      <c r="J1038" s="321" t="s">
        <v>19</v>
      </c>
      <c r="K1038" s="224">
        <f>H1038/F1038</f>
        <v>1.34E-2</v>
      </c>
    </row>
    <row r="1039" spans="1:12" ht="12.75" customHeight="1">
      <c r="A1039" s="321">
        <v>1</v>
      </c>
      <c r="B1039" s="321" t="s">
        <v>619</v>
      </c>
      <c r="C1039" s="321" t="s">
        <v>620</v>
      </c>
      <c r="D1039" s="321" t="s">
        <v>16</v>
      </c>
      <c r="E1039" s="321" t="s">
        <v>22</v>
      </c>
      <c r="F1039" s="405">
        <v>16468</v>
      </c>
      <c r="G1039" s="321">
        <v>1.65</v>
      </c>
      <c r="H1039" s="321">
        <v>220.67</v>
      </c>
      <c r="I1039" s="321" t="s">
        <v>18</v>
      </c>
      <c r="J1039" s="321" t="s">
        <v>23</v>
      </c>
      <c r="K1039" s="224">
        <f>H1039/F1039</f>
        <v>1.3399927131406364E-2</v>
      </c>
    </row>
    <row r="1040" spans="1:12" ht="12.75" customHeight="1">
      <c r="A1040" s="321">
        <v>223</v>
      </c>
      <c r="B1040" s="321" t="s">
        <v>544</v>
      </c>
      <c r="C1040" s="321" t="s">
        <v>545</v>
      </c>
      <c r="D1040" s="321" t="s">
        <v>16</v>
      </c>
      <c r="E1040" s="321" t="s">
        <v>22</v>
      </c>
      <c r="F1040" s="405">
        <v>20000</v>
      </c>
      <c r="G1040" s="321">
        <v>2</v>
      </c>
      <c r="H1040" s="405">
        <v>308</v>
      </c>
      <c r="I1040" s="321" t="s">
        <v>18</v>
      </c>
      <c r="J1040" s="321" t="s">
        <v>19</v>
      </c>
      <c r="K1040" s="224">
        <f>H1040/F1040</f>
        <v>1.54E-2</v>
      </c>
    </row>
    <row r="1041" spans="1:11">
      <c r="A1041" s="321">
        <v>11</v>
      </c>
      <c r="B1041" s="321" t="s">
        <v>325</v>
      </c>
      <c r="C1041" s="321" t="s">
        <v>326</v>
      </c>
      <c r="D1041" s="321" t="s">
        <v>16</v>
      </c>
      <c r="E1041" s="321" t="s">
        <v>22</v>
      </c>
      <c r="F1041" s="405">
        <v>20000</v>
      </c>
      <c r="G1041" s="321">
        <v>2</v>
      </c>
      <c r="H1041" s="321">
        <v>244</v>
      </c>
      <c r="I1041" s="321" t="s">
        <v>18</v>
      </c>
      <c r="J1041" s="321" t="s">
        <v>23</v>
      </c>
      <c r="K1041" s="224">
        <f>H1041/F1041</f>
        <v>1.2200000000000001E-2</v>
      </c>
    </row>
    <row r="1042" spans="1:11" ht="12.75" customHeight="1">
      <c r="A1042" s="321">
        <v>1</v>
      </c>
      <c r="B1042" s="321" t="s">
        <v>63</v>
      </c>
      <c r="C1042" s="321" t="s">
        <v>64</v>
      </c>
      <c r="D1042" s="321" t="s">
        <v>16</v>
      </c>
      <c r="E1042" s="321" t="s">
        <v>22</v>
      </c>
      <c r="F1042" s="405">
        <v>22820</v>
      </c>
      <c r="G1042" s="321">
        <v>2.2799999999999998</v>
      </c>
      <c r="H1042" s="321">
        <v>301.22000000000003</v>
      </c>
      <c r="I1042" s="321" t="s">
        <v>18</v>
      </c>
      <c r="J1042" s="321" t="s">
        <v>23</v>
      </c>
      <c r="K1042" s="224">
        <f>H1042/F1042</f>
        <v>1.319982471516214E-2</v>
      </c>
    </row>
    <row r="1043" spans="1:11">
      <c r="A1043" s="321">
        <v>288</v>
      </c>
      <c r="B1043" s="321">
        <v>7502</v>
      </c>
      <c r="C1043" s="321" t="s">
        <v>27</v>
      </c>
      <c r="D1043" s="321" t="s">
        <v>28</v>
      </c>
      <c r="E1043" s="321" t="s">
        <v>29</v>
      </c>
      <c r="F1043" s="405">
        <v>0</v>
      </c>
      <c r="G1043" s="321">
        <v>0</v>
      </c>
      <c r="H1043" s="321">
        <v>-3403.92</v>
      </c>
      <c r="I1043" s="321" t="s">
        <v>30</v>
      </c>
      <c r="J1043" s="321" t="s">
        <v>19</v>
      </c>
      <c r="K1043" s="224" t="e">
        <f>H1043/F1043</f>
        <v>#DIV/0!</v>
      </c>
    </row>
    <row r="1044" spans="1:11" ht="12.75" customHeight="1">
      <c r="A1044" s="321">
        <v>201</v>
      </c>
      <c r="B1044" s="321" t="s">
        <v>667</v>
      </c>
      <c r="C1044" s="321" t="s">
        <v>668</v>
      </c>
      <c r="D1044" s="321" t="s">
        <v>16</v>
      </c>
      <c r="E1044" s="321" t="s">
        <v>17</v>
      </c>
      <c r="F1044" s="405">
        <v>109</v>
      </c>
      <c r="G1044" s="321">
        <v>109</v>
      </c>
      <c r="H1044" s="321">
        <v>116.03</v>
      </c>
      <c r="I1044" s="321" t="s">
        <v>18</v>
      </c>
      <c r="J1044" s="321" t="s">
        <v>19</v>
      </c>
      <c r="K1044" s="224">
        <f>H1044/F1044</f>
        <v>1.0644954128440367</v>
      </c>
    </row>
    <row r="1045" spans="1:11" ht="12.75" customHeight="1">
      <c r="A1045" s="321">
        <v>11</v>
      </c>
      <c r="B1045" s="321" t="s">
        <v>128</v>
      </c>
      <c r="C1045" s="321" t="s">
        <v>129</v>
      </c>
      <c r="D1045" s="321" t="s">
        <v>34</v>
      </c>
      <c r="E1045" s="321"/>
      <c r="F1045" s="405">
        <v>130</v>
      </c>
      <c r="G1045" s="321">
        <v>1191.05</v>
      </c>
      <c r="H1045" s="321">
        <v>638.01</v>
      </c>
      <c r="I1045" s="321" t="s">
        <v>35</v>
      </c>
      <c r="J1045" s="321" t="s">
        <v>23</v>
      </c>
      <c r="K1045" s="224">
        <f>H1045/F1045</f>
        <v>4.9077692307692304</v>
      </c>
    </row>
    <row r="1046" spans="1:11" ht="12.75" customHeight="1">
      <c r="A1046" s="321">
        <v>601</v>
      </c>
      <c r="B1046" s="321">
        <v>4175</v>
      </c>
      <c r="C1046" s="321" t="s">
        <v>662</v>
      </c>
      <c r="D1046" s="321" t="s">
        <v>28</v>
      </c>
      <c r="E1046" s="321" t="s">
        <v>54</v>
      </c>
      <c r="F1046" s="405">
        <v>437</v>
      </c>
      <c r="G1046" s="321">
        <v>20582.7</v>
      </c>
      <c r="H1046" s="321">
        <v>9001.0499999999993</v>
      </c>
      <c r="I1046" s="321" t="s">
        <v>30</v>
      </c>
      <c r="J1046" s="321" t="s">
        <v>59</v>
      </c>
      <c r="K1046" s="224">
        <f>H1046/F1046</f>
        <v>20.597368421052629</v>
      </c>
    </row>
    <row r="1047" spans="1:11" ht="12.75" customHeight="1">
      <c r="A1047" s="321">
        <v>88</v>
      </c>
      <c r="B1047" s="321" t="s">
        <v>138</v>
      </c>
      <c r="C1047" s="321" t="s">
        <v>139</v>
      </c>
      <c r="D1047" s="321" t="s">
        <v>43</v>
      </c>
      <c r="E1047" s="321" t="s">
        <v>140</v>
      </c>
      <c r="F1047" s="405">
        <v>-21341.599999999999</v>
      </c>
      <c r="G1047" s="321">
        <v>-21341.599999999999</v>
      </c>
      <c r="H1047" s="405">
        <v>-13218.16</v>
      </c>
      <c r="I1047" s="321" t="s">
        <v>44</v>
      </c>
      <c r="J1047" s="321" t="s">
        <v>23</v>
      </c>
      <c r="K1047" s="224">
        <f>H1047/F1047</f>
        <v>0.61936124751658739</v>
      </c>
    </row>
    <row r="1048" spans="1:11" ht="12.75" customHeight="1">
      <c r="A1048" s="321">
        <v>201</v>
      </c>
      <c r="B1048" s="321" t="s">
        <v>660</v>
      </c>
      <c r="C1048" s="321" t="s">
        <v>661</v>
      </c>
      <c r="D1048" s="321" t="s">
        <v>16</v>
      </c>
      <c r="E1048" s="321" t="s">
        <v>22</v>
      </c>
      <c r="F1048" s="405">
        <v>10073</v>
      </c>
      <c r="G1048" s="321">
        <v>1.01</v>
      </c>
      <c r="H1048" s="321">
        <v>277.01</v>
      </c>
      <c r="I1048" s="321" t="s">
        <v>18</v>
      </c>
      <c r="J1048" s="321" t="s">
        <v>59</v>
      </c>
      <c r="K1048" s="224">
        <f>H1048/F1048</f>
        <v>2.750024818822595E-2</v>
      </c>
    </row>
    <row r="1049" spans="1:11">
      <c r="A1049" s="321">
        <v>288</v>
      </c>
      <c r="B1049" s="321" t="s">
        <v>660</v>
      </c>
      <c r="C1049" s="321" t="s">
        <v>661</v>
      </c>
      <c r="D1049" s="321" t="s">
        <v>16</v>
      </c>
      <c r="E1049" s="321" t="s">
        <v>22</v>
      </c>
      <c r="F1049" s="405">
        <v>-448</v>
      </c>
      <c r="G1049" s="321">
        <v>-0.04</v>
      </c>
      <c r="H1049" s="321">
        <v>-12.32</v>
      </c>
      <c r="I1049" s="321" t="s">
        <v>18</v>
      </c>
      <c r="J1049" s="321" t="s">
        <v>59</v>
      </c>
      <c r="K1049" s="224">
        <f>H1049/F1049</f>
        <v>2.75E-2</v>
      </c>
    </row>
    <row r="1050" spans="1:11" ht="12.75" customHeight="1">
      <c r="A1050" s="321">
        <v>11</v>
      </c>
      <c r="B1050" s="321">
        <v>9820</v>
      </c>
      <c r="C1050" s="321" t="s">
        <v>179</v>
      </c>
      <c r="D1050" s="321" t="s">
        <v>28</v>
      </c>
      <c r="E1050" s="321" t="s">
        <v>56</v>
      </c>
      <c r="F1050" s="405">
        <v>5828</v>
      </c>
      <c r="G1050" s="321">
        <v>186496</v>
      </c>
      <c r="H1050" s="321">
        <v>78490.92</v>
      </c>
      <c r="I1050" s="321" t="s">
        <v>30</v>
      </c>
      <c r="J1050" s="321" t="s">
        <v>23</v>
      </c>
      <c r="K1050" s="224">
        <f>H1050/F1050</f>
        <v>13.467899794097461</v>
      </c>
    </row>
    <row r="1051" spans="1:11">
      <c r="A1051" s="321">
        <v>88</v>
      </c>
      <c r="B1051" s="321" t="s">
        <v>125</v>
      </c>
      <c r="C1051" s="321" t="s">
        <v>126</v>
      </c>
      <c r="D1051" s="321" t="s">
        <v>43</v>
      </c>
      <c r="E1051" s="321"/>
      <c r="F1051" s="405">
        <v>-1050</v>
      </c>
      <c r="G1051" s="321">
        <v>-1050</v>
      </c>
      <c r="H1051" s="321">
        <v>-662.97</v>
      </c>
      <c r="I1051" s="321" t="s">
        <v>44</v>
      </c>
      <c r="J1051" s="321" t="s">
        <v>23</v>
      </c>
      <c r="K1051" s="224">
        <f>H1051/F1051</f>
        <v>0.63140000000000007</v>
      </c>
    </row>
    <row r="1052" spans="1:11" ht="12.75" customHeight="1">
      <c r="A1052" s="321">
        <v>201</v>
      </c>
      <c r="B1052" s="321" t="s">
        <v>2825</v>
      </c>
      <c r="C1052" s="321" t="s">
        <v>2826</v>
      </c>
      <c r="D1052" s="321" t="s">
        <v>16</v>
      </c>
      <c r="E1052" s="321" t="s">
        <v>22</v>
      </c>
      <c r="F1052" s="405">
        <v>24637</v>
      </c>
      <c r="G1052" s="321">
        <v>2.46</v>
      </c>
      <c r="H1052" s="321">
        <v>330.14</v>
      </c>
      <c r="I1052" s="321" t="s">
        <v>18</v>
      </c>
      <c r="J1052" s="321" t="s">
        <v>19</v>
      </c>
      <c r="K1052" s="224">
        <f>H1052/F1052</f>
        <v>1.3400170475301376E-2</v>
      </c>
    </row>
    <row r="1053" spans="1:11" ht="12.75" customHeight="1">
      <c r="A1053" s="321">
        <v>11</v>
      </c>
      <c r="B1053" s="321" t="s">
        <v>2825</v>
      </c>
      <c r="C1053" s="321" t="s">
        <v>2826</v>
      </c>
      <c r="D1053" s="321" t="s">
        <v>16</v>
      </c>
      <c r="E1053" s="321" t="s">
        <v>22</v>
      </c>
      <c r="F1053" s="405">
        <v>25000</v>
      </c>
      <c r="G1053" s="321">
        <v>2.5</v>
      </c>
      <c r="H1053" s="321">
        <v>335</v>
      </c>
      <c r="I1053" s="321" t="s">
        <v>18</v>
      </c>
      <c r="J1053" s="321" t="s">
        <v>23</v>
      </c>
      <c r="K1053" s="224">
        <f>H1053/F1053</f>
        <v>1.34E-2</v>
      </c>
    </row>
    <row r="1054" spans="1:11" ht="12.75" customHeight="1">
      <c r="A1054" s="321">
        <v>1</v>
      </c>
      <c r="B1054" s="321" t="s">
        <v>79</v>
      </c>
      <c r="C1054" s="321" t="s">
        <v>80</v>
      </c>
      <c r="D1054" s="321" t="s">
        <v>16</v>
      </c>
      <c r="E1054" s="321" t="s">
        <v>22</v>
      </c>
      <c r="F1054" s="405">
        <v>21614</v>
      </c>
      <c r="G1054" s="321">
        <v>2.16</v>
      </c>
      <c r="H1054" s="321">
        <v>289.63</v>
      </c>
      <c r="I1054" s="321" t="s">
        <v>18</v>
      </c>
      <c r="J1054" s="321" t="s">
        <v>23</v>
      </c>
      <c r="K1054" s="224">
        <f>H1054/F1054</f>
        <v>1.3400111039141297E-2</v>
      </c>
    </row>
    <row r="1055" spans="1:11" ht="12.75" customHeight="1">
      <c r="A1055" s="321">
        <v>223</v>
      </c>
      <c r="B1055" s="321" t="s">
        <v>403</v>
      </c>
      <c r="C1055" s="321" t="s">
        <v>404</v>
      </c>
      <c r="D1055" s="321" t="s">
        <v>16</v>
      </c>
      <c r="E1055" s="321" t="s">
        <v>26</v>
      </c>
      <c r="F1055" s="405">
        <v>597500</v>
      </c>
      <c r="G1055" s="321">
        <v>597.5</v>
      </c>
      <c r="H1055" s="405">
        <v>12846.25</v>
      </c>
      <c r="I1055" s="321" t="s">
        <v>18</v>
      </c>
      <c r="J1055" s="321" t="s">
        <v>19</v>
      </c>
      <c r="K1055" s="224">
        <f>H1055/F1055</f>
        <v>2.1499999999999998E-2</v>
      </c>
    </row>
    <row r="1056" spans="1:11" ht="12.75" customHeight="1">
      <c r="A1056" s="321">
        <v>223</v>
      </c>
      <c r="B1056" s="321" t="s">
        <v>546</v>
      </c>
      <c r="C1056" s="321" t="s">
        <v>547</v>
      </c>
      <c r="D1056" s="321" t="s">
        <v>16</v>
      </c>
      <c r="E1056" s="321" t="s">
        <v>22</v>
      </c>
      <c r="F1056" s="405">
        <v>40000</v>
      </c>
      <c r="G1056" s="321">
        <v>4</v>
      </c>
      <c r="H1056" s="321">
        <v>536</v>
      </c>
      <c r="I1056" s="321" t="s">
        <v>18</v>
      </c>
      <c r="J1056" s="321" t="s">
        <v>19</v>
      </c>
      <c r="K1056" s="224">
        <f>H1056/F1056</f>
        <v>1.34E-2</v>
      </c>
    </row>
    <row r="1057" spans="1:12" ht="12.75" customHeight="1">
      <c r="A1057" s="321">
        <v>11</v>
      </c>
      <c r="B1057" s="321">
        <v>2753</v>
      </c>
      <c r="C1057" s="321" t="s">
        <v>398</v>
      </c>
      <c r="D1057" s="321" t="s">
        <v>28</v>
      </c>
      <c r="E1057" s="321" t="s">
        <v>56</v>
      </c>
      <c r="F1057" s="405">
        <v>900</v>
      </c>
      <c r="G1057" s="321">
        <v>25605.9</v>
      </c>
      <c r="H1057" s="321">
        <v>19291.37</v>
      </c>
      <c r="I1057" s="321" t="s">
        <v>30</v>
      </c>
      <c r="J1057" s="321" t="s">
        <v>23</v>
      </c>
      <c r="K1057" s="224">
        <f>H1057/F1057</f>
        <v>21.434855555555554</v>
      </c>
    </row>
    <row r="1058" spans="1:12">
      <c r="A1058" s="321">
        <v>11</v>
      </c>
      <c r="B1058" s="321" t="s">
        <v>371</v>
      </c>
      <c r="C1058" s="321" t="s">
        <v>372</v>
      </c>
      <c r="D1058" s="321" t="s">
        <v>43</v>
      </c>
      <c r="E1058" s="321"/>
      <c r="F1058" s="405">
        <v>9000</v>
      </c>
      <c r="G1058" s="321">
        <v>9000</v>
      </c>
      <c r="H1058" s="405">
        <v>7226.1</v>
      </c>
      <c r="I1058" s="321" t="s">
        <v>44</v>
      </c>
      <c r="J1058" s="321" t="s">
        <v>23</v>
      </c>
      <c r="K1058" s="224">
        <f>H1058/F1058</f>
        <v>0.80290000000000006</v>
      </c>
    </row>
    <row r="1059" spans="1:12" ht="12.75" customHeight="1">
      <c r="A1059" s="321">
        <v>11</v>
      </c>
      <c r="B1059" s="321" t="s">
        <v>988</v>
      </c>
      <c r="C1059" s="321" t="s">
        <v>2834</v>
      </c>
      <c r="D1059" s="321" t="s">
        <v>34</v>
      </c>
      <c r="E1059" s="321"/>
      <c r="F1059" s="405">
        <v>360</v>
      </c>
      <c r="G1059" s="321">
        <v>3888</v>
      </c>
      <c r="H1059" s="321">
        <v>2225.48</v>
      </c>
      <c r="I1059" s="321" t="s">
        <v>35</v>
      </c>
      <c r="J1059" s="321" t="s">
        <v>23</v>
      </c>
      <c r="K1059" s="224">
        <f>H1059/F1059</f>
        <v>6.1818888888888885</v>
      </c>
      <c r="L1059" s="215"/>
    </row>
    <row r="1060" spans="1:12" ht="12.75" customHeight="1">
      <c r="A1060" s="321">
        <v>88</v>
      </c>
      <c r="B1060" s="321" t="s">
        <v>33</v>
      </c>
      <c r="C1060" s="321" t="s">
        <v>2872</v>
      </c>
      <c r="D1060" s="321" t="s">
        <v>34</v>
      </c>
      <c r="E1060" s="321"/>
      <c r="F1060" s="405">
        <v>14798</v>
      </c>
      <c r="G1060" s="321">
        <v>129112.55</v>
      </c>
      <c r="H1060" s="321">
        <v>46712.85</v>
      </c>
      <c r="I1060" s="321" t="s">
        <v>35</v>
      </c>
      <c r="J1060" s="321" t="s">
        <v>23</v>
      </c>
      <c r="K1060" s="224">
        <f>H1060/F1060</f>
        <v>3.1567002297607782</v>
      </c>
    </row>
    <row r="1061" spans="1:12">
      <c r="A1061" s="321">
        <v>223</v>
      </c>
      <c r="B1061" s="321" t="s">
        <v>373</v>
      </c>
      <c r="C1061" s="321" t="s">
        <v>374</v>
      </c>
      <c r="D1061" s="321" t="s">
        <v>16</v>
      </c>
      <c r="E1061" s="321" t="s">
        <v>88</v>
      </c>
      <c r="F1061" s="405">
        <v>0</v>
      </c>
      <c r="G1061" s="321">
        <v>0</v>
      </c>
      <c r="H1061" s="321">
        <v>0</v>
      </c>
      <c r="I1061" s="321" t="s">
        <v>35</v>
      </c>
      <c r="J1061" s="321" t="s">
        <v>19</v>
      </c>
      <c r="K1061" s="224" t="e">
        <f>H1061/F1061</f>
        <v>#DIV/0!</v>
      </c>
    </row>
    <row r="1062" spans="1:12">
      <c r="A1062" s="321">
        <v>11</v>
      </c>
      <c r="B1062" s="321" t="s">
        <v>144</v>
      </c>
      <c r="C1062" s="321" t="s">
        <v>145</v>
      </c>
      <c r="D1062" s="321" t="s">
        <v>34</v>
      </c>
      <c r="E1062" s="321" t="s">
        <v>146</v>
      </c>
      <c r="F1062" s="405">
        <v>10166</v>
      </c>
      <c r="G1062" s="321">
        <v>90477.4</v>
      </c>
      <c r="H1062" s="321">
        <v>45673.81</v>
      </c>
      <c r="I1062" s="321" t="s">
        <v>35</v>
      </c>
      <c r="J1062" s="321" t="s">
        <v>23</v>
      </c>
      <c r="K1062" s="224">
        <f>H1062/F1062</f>
        <v>4.4928005115089515</v>
      </c>
    </row>
    <row r="1063" spans="1:12" ht="12.75" customHeight="1">
      <c r="A1063" s="321">
        <v>11</v>
      </c>
      <c r="B1063" s="321" t="s">
        <v>353</v>
      </c>
      <c r="C1063" s="321" t="s">
        <v>354</v>
      </c>
      <c r="D1063" s="321" t="s">
        <v>16</v>
      </c>
      <c r="E1063" s="321" t="s">
        <v>22</v>
      </c>
      <c r="F1063" s="405">
        <v>10000</v>
      </c>
      <c r="G1063" s="321">
        <v>1</v>
      </c>
      <c r="H1063" s="321">
        <v>133</v>
      </c>
      <c r="I1063" s="321" t="s">
        <v>18</v>
      </c>
      <c r="J1063" s="321" t="s">
        <v>23</v>
      </c>
      <c r="K1063" s="224">
        <f>H1063/F1063</f>
        <v>1.3299999999999999E-2</v>
      </c>
      <c r="L1063" s="215"/>
    </row>
    <row r="1064" spans="1:12">
      <c r="A1064" s="321">
        <v>1</v>
      </c>
      <c r="B1064" s="321" t="s">
        <v>60</v>
      </c>
      <c r="C1064" s="321" t="s">
        <v>61</v>
      </c>
      <c r="D1064" s="321" t="s">
        <v>16</v>
      </c>
      <c r="E1064" s="321" t="s">
        <v>22</v>
      </c>
      <c r="F1064" s="405">
        <v>23337</v>
      </c>
      <c r="G1064" s="321">
        <v>2.33</v>
      </c>
      <c r="H1064" s="405">
        <v>312.72000000000003</v>
      </c>
      <c r="I1064" s="321" t="s">
        <v>18</v>
      </c>
      <c r="J1064" s="321" t="s">
        <v>23</v>
      </c>
      <c r="K1064" s="224">
        <f>H1064/F1064</f>
        <v>1.3400179971718731E-2</v>
      </c>
    </row>
    <row r="1065" spans="1:12">
      <c r="A1065" s="321">
        <v>11</v>
      </c>
      <c r="B1065" s="321" t="s">
        <v>669</v>
      </c>
      <c r="C1065" s="321" t="s">
        <v>670</v>
      </c>
      <c r="D1065" s="321" t="s">
        <v>16</v>
      </c>
      <c r="E1065" s="321" t="s">
        <v>22</v>
      </c>
      <c r="F1065" s="405">
        <v>30000</v>
      </c>
      <c r="G1065" s="405">
        <v>3</v>
      </c>
      <c r="H1065" s="405">
        <v>447</v>
      </c>
      <c r="I1065" s="321" t="s">
        <v>18</v>
      </c>
      <c r="J1065" s="321" t="s">
        <v>59</v>
      </c>
      <c r="K1065" s="224">
        <f>H1065/F1065</f>
        <v>1.49E-2</v>
      </c>
    </row>
    <row r="1066" spans="1:12">
      <c r="A1066" s="321">
        <v>288</v>
      </c>
      <c r="B1066" s="321" t="s">
        <v>421</v>
      </c>
      <c r="C1066" s="321" t="s">
        <v>2846</v>
      </c>
      <c r="D1066" s="321" t="s">
        <v>34</v>
      </c>
      <c r="E1066" s="321"/>
      <c r="F1066" s="405">
        <v>-156</v>
      </c>
      <c r="G1066" s="321">
        <v>-1388.4</v>
      </c>
      <c r="H1066" s="405">
        <v>-454.85</v>
      </c>
      <c r="I1066" s="321" t="s">
        <v>35</v>
      </c>
      <c r="J1066" s="321" t="s">
        <v>19</v>
      </c>
      <c r="K1066" s="224">
        <f>H1066/F1066</f>
        <v>2.9157051282051283</v>
      </c>
    </row>
    <row r="1067" spans="1:12" ht="12.75" customHeight="1">
      <c r="A1067" s="321">
        <v>11</v>
      </c>
      <c r="B1067" s="321" t="s">
        <v>674</v>
      </c>
      <c r="C1067" s="321" t="s">
        <v>675</v>
      </c>
      <c r="D1067" s="321" t="s">
        <v>16</v>
      </c>
      <c r="E1067" s="321" t="s">
        <v>22</v>
      </c>
      <c r="F1067" s="405">
        <v>20000</v>
      </c>
      <c r="G1067" s="321">
        <v>2</v>
      </c>
      <c r="H1067" s="405">
        <v>348</v>
      </c>
      <c r="I1067" s="321" t="s">
        <v>18</v>
      </c>
      <c r="J1067" s="321" t="s">
        <v>23</v>
      </c>
      <c r="K1067" s="224">
        <f>H1067/F1067</f>
        <v>1.7399999999999999E-2</v>
      </c>
    </row>
    <row r="1068" spans="1:12">
      <c r="A1068" s="321">
        <v>88</v>
      </c>
      <c r="B1068" s="321">
        <v>9091</v>
      </c>
      <c r="C1068" s="321" t="s">
        <v>699</v>
      </c>
      <c r="D1068" s="321" t="s">
        <v>28</v>
      </c>
      <c r="E1068" s="321" t="s">
        <v>29</v>
      </c>
      <c r="F1068" s="321">
        <v>0</v>
      </c>
      <c r="G1068" s="321">
        <v>0</v>
      </c>
      <c r="H1068" s="321">
        <v>0</v>
      </c>
      <c r="I1068" s="321" t="s">
        <v>30</v>
      </c>
      <c r="J1068" s="321" t="s">
        <v>23</v>
      </c>
      <c r="K1068" s="224" t="e">
        <f>H1068/F1068</f>
        <v>#DIV/0!</v>
      </c>
    </row>
    <row r="1069" spans="1:12">
      <c r="A1069" s="321">
        <v>211</v>
      </c>
      <c r="B1069" s="321">
        <v>4952</v>
      </c>
      <c r="C1069" s="321" t="s">
        <v>2848</v>
      </c>
      <c r="D1069" s="321" t="s">
        <v>288</v>
      </c>
      <c r="E1069" s="321" t="s">
        <v>289</v>
      </c>
      <c r="F1069" s="321">
        <v>0</v>
      </c>
      <c r="G1069" s="321">
        <v>0</v>
      </c>
      <c r="H1069" s="321">
        <v>0</v>
      </c>
      <c r="I1069" s="321" t="s">
        <v>30</v>
      </c>
      <c r="J1069" s="321" t="s">
        <v>19</v>
      </c>
      <c r="K1069" s="224" t="e">
        <f>H1069/F1069</f>
        <v>#DIV/0!</v>
      </c>
    </row>
    <row r="1070" spans="1:12" ht="12.75" customHeight="1">
      <c r="A1070" s="321">
        <v>11</v>
      </c>
      <c r="B1070" s="321" t="s">
        <v>1084</v>
      </c>
      <c r="C1070" s="321" t="s">
        <v>896</v>
      </c>
      <c r="D1070" s="321" t="s">
        <v>34</v>
      </c>
      <c r="E1070" s="321"/>
      <c r="F1070" s="405">
        <v>685</v>
      </c>
      <c r="G1070" s="405">
        <v>6096.5</v>
      </c>
      <c r="H1070" s="405">
        <v>2452.3000000000002</v>
      </c>
      <c r="I1070" s="321" t="s">
        <v>35</v>
      </c>
      <c r="J1070" s="321" t="s">
        <v>23</v>
      </c>
      <c r="K1070" s="224">
        <f>H1070/F1070</f>
        <v>3.58</v>
      </c>
    </row>
    <row r="1071" spans="1:12" ht="12.75" customHeight="1">
      <c r="A1071" s="321">
        <v>1</v>
      </c>
      <c r="B1071" s="321" t="s">
        <v>669</v>
      </c>
      <c r="C1071" s="321" t="s">
        <v>670</v>
      </c>
      <c r="D1071" s="321" t="s">
        <v>16</v>
      </c>
      <c r="E1071" s="321" t="s">
        <v>22</v>
      </c>
      <c r="F1071" s="321">
        <v>15928</v>
      </c>
      <c r="G1071" s="321">
        <v>1.59</v>
      </c>
      <c r="H1071" s="405">
        <v>237.33</v>
      </c>
      <c r="I1071" s="321" t="s">
        <v>18</v>
      </c>
      <c r="J1071" s="321" t="s">
        <v>59</v>
      </c>
      <c r="K1071" s="224">
        <f>H1071/F1071</f>
        <v>1.490017579105977E-2</v>
      </c>
    </row>
    <row r="1072" spans="1:12">
      <c r="A1072" s="321">
        <v>88</v>
      </c>
      <c r="B1072" s="321">
        <v>6506</v>
      </c>
      <c r="C1072" s="321" t="s">
        <v>615</v>
      </c>
      <c r="D1072" s="321" t="s">
        <v>28</v>
      </c>
      <c r="E1072" s="321" t="s">
        <v>56</v>
      </c>
      <c r="F1072" s="321">
        <v>0</v>
      </c>
      <c r="G1072" s="321">
        <v>0</v>
      </c>
      <c r="H1072" s="405">
        <v>0</v>
      </c>
      <c r="I1072" s="321" t="s">
        <v>30</v>
      </c>
      <c r="J1072" s="321" t="s">
        <v>23</v>
      </c>
      <c r="K1072" s="224" t="e">
        <f>H1072/F1072</f>
        <v>#DIV/0!</v>
      </c>
    </row>
    <row r="1073" spans="1:11" ht="12.75" customHeight="1">
      <c r="A1073" s="321">
        <v>223</v>
      </c>
      <c r="B1073" s="321" t="s">
        <v>41</v>
      </c>
      <c r="C1073" s="321" t="s">
        <v>42</v>
      </c>
      <c r="D1073" s="321" t="s">
        <v>43</v>
      </c>
      <c r="E1073" s="321"/>
      <c r="F1073" s="405">
        <v>500</v>
      </c>
      <c r="G1073" s="321">
        <v>500</v>
      </c>
      <c r="H1073" s="321">
        <v>475</v>
      </c>
      <c r="I1073" s="321" t="s">
        <v>44</v>
      </c>
      <c r="J1073" s="321" t="s">
        <v>19</v>
      </c>
      <c r="K1073" s="224">
        <f>H1073/F1073</f>
        <v>0.95</v>
      </c>
    </row>
    <row r="1074" spans="1:11" ht="12.75" customHeight="1">
      <c r="A1074" s="321">
        <v>201</v>
      </c>
      <c r="B1074" s="321" t="s">
        <v>2783</v>
      </c>
      <c r="C1074" s="321" t="s">
        <v>2784</v>
      </c>
      <c r="D1074" s="321" t="s">
        <v>16</v>
      </c>
      <c r="E1074" s="321" t="s">
        <v>22</v>
      </c>
      <c r="F1074" s="405">
        <v>9097</v>
      </c>
      <c r="G1074" s="321">
        <v>0.91</v>
      </c>
      <c r="H1074" s="405">
        <v>121.9</v>
      </c>
      <c r="I1074" s="321" t="s">
        <v>18</v>
      </c>
      <c r="J1074" s="321" t="s">
        <v>19</v>
      </c>
      <c r="K1074" s="224">
        <f>H1074/F1074</f>
        <v>1.3400021985269869E-2</v>
      </c>
    </row>
    <row r="1075" spans="1:11">
      <c r="A1075" s="321">
        <v>11</v>
      </c>
      <c r="B1075" s="321" t="s">
        <v>2783</v>
      </c>
      <c r="C1075" s="321" t="s">
        <v>2784</v>
      </c>
      <c r="D1075" s="321" t="s">
        <v>16</v>
      </c>
      <c r="E1075" s="321" t="s">
        <v>22</v>
      </c>
      <c r="F1075" s="405">
        <v>50000</v>
      </c>
      <c r="G1075" s="321">
        <v>5</v>
      </c>
      <c r="H1075" s="321">
        <v>670</v>
      </c>
      <c r="I1075" s="321" t="s">
        <v>18</v>
      </c>
      <c r="J1075" s="321" t="s">
        <v>23</v>
      </c>
      <c r="K1075" s="224">
        <f>H1075/F1075</f>
        <v>1.34E-2</v>
      </c>
    </row>
    <row r="1076" spans="1:11" ht="12.75" customHeight="1">
      <c r="A1076" s="321">
        <v>1</v>
      </c>
      <c r="B1076" s="321" t="s">
        <v>2783</v>
      </c>
      <c r="C1076" s="321" t="s">
        <v>2784</v>
      </c>
      <c r="D1076" s="321" t="s">
        <v>16</v>
      </c>
      <c r="E1076" s="321" t="s">
        <v>22</v>
      </c>
      <c r="F1076" s="405">
        <v>13678</v>
      </c>
      <c r="G1076" s="321">
        <v>1.37</v>
      </c>
      <c r="H1076" s="321">
        <v>183.29</v>
      </c>
      <c r="I1076" s="321" t="s">
        <v>18</v>
      </c>
      <c r="J1076" s="321" t="s">
        <v>23</v>
      </c>
      <c r="K1076" s="224">
        <f>H1076/F1076</f>
        <v>1.3400350928498318E-2</v>
      </c>
    </row>
    <row r="1077" spans="1:11" ht="12.75" customHeight="1">
      <c r="A1077" s="321">
        <v>288</v>
      </c>
      <c r="B1077" s="321" t="s">
        <v>672</v>
      </c>
      <c r="C1077" s="321" t="s">
        <v>673</v>
      </c>
      <c r="D1077" s="321" t="s">
        <v>43</v>
      </c>
      <c r="E1077" s="321"/>
      <c r="F1077" s="405">
        <v>-13</v>
      </c>
      <c r="G1077" s="321">
        <v>-13</v>
      </c>
      <c r="H1077" s="321">
        <v>-125.06</v>
      </c>
      <c r="I1077" s="321" t="s">
        <v>44</v>
      </c>
      <c r="J1077" s="321" t="s">
        <v>19</v>
      </c>
      <c r="K1077" s="224">
        <f>H1077/F1077</f>
        <v>9.620000000000001</v>
      </c>
    </row>
    <row r="1078" spans="1:11">
      <c r="A1078" s="321">
        <v>1</v>
      </c>
      <c r="B1078" s="321" t="s">
        <v>674</v>
      </c>
      <c r="C1078" s="321" t="s">
        <v>675</v>
      </c>
      <c r="D1078" s="321" t="s">
        <v>16</v>
      </c>
      <c r="E1078" s="321" t="s">
        <v>22</v>
      </c>
      <c r="F1078" s="405">
        <v>9709</v>
      </c>
      <c r="G1078" s="321">
        <v>0.97</v>
      </c>
      <c r="H1078" s="405">
        <v>168.94</v>
      </c>
      <c r="I1078" s="321" t="s">
        <v>18</v>
      </c>
      <c r="J1078" s="321" t="s">
        <v>23</v>
      </c>
      <c r="K1078" s="224">
        <f>H1078/F1078</f>
        <v>1.7400350190544856E-2</v>
      </c>
    </row>
    <row r="1079" spans="1:11">
      <c r="A1079" s="321">
        <v>201</v>
      </c>
      <c r="B1079" s="321">
        <v>4177</v>
      </c>
      <c r="C1079" s="321" t="s">
        <v>671</v>
      </c>
      <c r="D1079" s="321" t="s">
        <v>28</v>
      </c>
      <c r="E1079" s="321" t="s">
        <v>29</v>
      </c>
      <c r="F1079" s="405">
        <v>1</v>
      </c>
      <c r="G1079" s="321">
        <v>41</v>
      </c>
      <c r="H1079" s="405">
        <v>19.02</v>
      </c>
      <c r="I1079" s="321" t="s">
        <v>30</v>
      </c>
      <c r="J1079" s="321" t="s">
        <v>59</v>
      </c>
      <c r="K1079" s="224">
        <f>H1079/F1079</f>
        <v>19.02</v>
      </c>
    </row>
    <row r="1080" spans="1:11" ht="12.75" customHeight="1">
      <c r="A1080" s="321">
        <v>201</v>
      </c>
      <c r="B1080" s="321" t="s">
        <v>672</v>
      </c>
      <c r="C1080" s="321" t="s">
        <v>673</v>
      </c>
      <c r="D1080" s="321" t="s">
        <v>43</v>
      </c>
      <c r="E1080" s="321"/>
      <c r="F1080" s="405">
        <v>1616.28</v>
      </c>
      <c r="G1080" s="321">
        <v>1616.28</v>
      </c>
      <c r="H1080" s="405">
        <v>15548.59</v>
      </c>
      <c r="I1080" s="321" t="s">
        <v>44</v>
      </c>
      <c r="J1080" s="321" t="s">
        <v>19</v>
      </c>
      <c r="K1080" s="224">
        <f>H1080/F1080</f>
        <v>9.6199853985695558</v>
      </c>
    </row>
    <row r="1081" spans="1:11">
      <c r="A1081" s="321">
        <v>201</v>
      </c>
      <c r="B1081" s="321" t="s">
        <v>669</v>
      </c>
      <c r="C1081" s="321" t="s">
        <v>670</v>
      </c>
      <c r="D1081" s="321" t="s">
        <v>16</v>
      </c>
      <c r="E1081" s="321" t="s">
        <v>22</v>
      </c>
      <c r="F1081" s="321">
        <v>46463</v>
      </c>
      <c r="G1081" s="321">
        <v>4.6500000000000004</v>
      </c>
      <c r="H1081" s="321">
        <v>678.36</v>
      </c>
      <c r="I1081" s="321" t="s">
        <v>18</v>
      </c>
      <c r="J1081" s="321" t="s">
        <v>59</v>
      </c>
      <c r="K1081" s="224">
        <f>H1081/F1081</f>
        <v>1.4600004304500355E-2</v>
      </c>
    </row>
    <row r="1082" spans="1:11">
      <c r="A1082" s="321">
        <v>201</v>
      </c>
      <c r="B1082" s="321" t="s">
        <v>674</v>
      </c>
      <c r="C1082" s="321" t="s">
        <v>675</v>
      </c>
      <c r="D1082" s="321" t="s">
        <v>16</v>
      </c>
      <c r="E1082" s="321" t="s">
        <v>22</v>
      </c>
      <c r="F1082" s="405">
        <v>22707</v>
      </c>
      <c r="G1082" s="405">
        <v>2.27</v>
      </c>
      <c r="H1082" s="405">
        <v>395.1</v>
      </c>
      <c r="I1082" s="321" t="s">
        <v>18</v>
      </c>
      <c r="J1082" s="321" t="s">
        <v>19</v>
      </c>
      <c r="K1082" s="224">
        <f>H1082/F1082</f>
        <v>1.7399920729290527E-2</v>
      </c>
    </row>
    <row r="1083" spans="1:11" ht="12.75" customHeight="1">
      <c r="A1083" s="321">
        <v>211</v>
      </c>
      <c r="B1083" s="321">
        <v>8513</v>
      </c>
      <c r="C1083" s="321" t="s">
        <v>474</v>
      </c>
      <c r="D1083" s="321" t="s">
        <v>28</v>
      </c>
      <c r="E1083" s="321" t="s">
        <v>56</v>
      </c>
      <c r="F1083" s="321">
        <v>430</v>
      </c>
      <c r="G1083" s="321">
        <v>11678.8</v>
      </c>
      <c r="H1083" s="321">
        <v>5296.4</v>
      </c>
      <c r="I1083" s="321" t="s">
        <v>30</v>
      </c>
      <c r="J1083" s="321" t="s">
        <v>19</v>
      </c>
      <c r="K1083" s="224">
        <f>H1083/F1083</f>
        <v>12.31720930232558</v>
      </c>
    </row>
    <row r="1084" spans="1:11" ht="12.75" customHeight="1">
      <c r="A1084" s="321">
        <v>601</v>
      </c>
      <c r="B1084" s="321">
        <v>4177</v>
      </c>
      <c r="C1084" s="321" t="s">
        <v>671</v>
      </c>
      <c r="D1084" s="321" t="s">
        <v>28</v>
      </c>
      <c r="E1084" s="321" t="s">
        <v>29</v>
      </c>
      <c r="F1084" s="405">
        <v>1343</v>
      </c>
      <c r="G1084" s="405">
        <v>55063</v>
      </c>
      <c r="H1084" s="405">
        <v>26164.720000000001</v>
      </c>
      <c r="I1084" s="321" t="s">
        <v>30</v>
      </c>
      <c r="J1084" s="321" t="s">
        <v>59</v>
      </c>
      <c r="K1084" s="224">
        <f>H1084/F1084</f>
        <v>19.482293373045422</v>
      </c>
    </row>
    <row r="1085" spans="1:11">
      <c r="A1085" s="321">
        <v>11</v>
      </c>
      <c r="B1085" s="321">
        <v>9314</v>
      </c>
      <c r="C1085" s="321" t="s">
        <v>636</v>
      </c>
      <c r="D1085" s="321" t="s">
        <v>28</v>
      </c>
      <c r="E1085" s="321" t="s">
        <v>56</v>
      </c>
      <c r="F1085" s="405">
        <v>1137</v>
      </c>
      <c r="G1085" s="405">
        <v>31267.5</v>
      </c>
      <c r="H1085" s="405">
        <v>7494.76</v>
      </c>
      <c r="I1085" s="321" t="s">
        <v>30</v>
      </c>
      <c r="J1085" s="321" t="s">
        <v>23</v>
      </c>
      <c r="K1085" s="224">
        <f>H1085/F1085</f>
        <v>6.5916974494283203</v>
      </c>
    </row>
    <row r="1086" spans="1:11" ht="12.75" customHeight="1">
      <c r="A1086" s="321">
        <v>11</v>
      </c>
      <c r="B1086" s="321" t="s">
        <v>2785</v>
      </c>
      <c r="C1086" s="321" t="s">
        <v>2786</v>
      </c>
      <c r="D1086" s="321" t="s">
        <v>16</v>
      </c>
      <c r="E1086" s="321" t="s">
        <v>22</v>
      </c>
      <c r="F1086" s="321">
        <v>20000</v>
      </c>
      <c r="G1086" s="321">
        <v>2</v>
      </c>
      <c r="H1086" s="321">
        <v>236</v>
      </c>
      <c r="I1086" s="321" t="s">
        <v>18</v>
      </c>
      <c r="J1086" s="321" t="s">
        <v>23</v>
      </c>
      <c r="K1086" s="224">
        <f>H1086/F1086</f>
        <v>1.18E-2</v>
      </c>
    </row>
    <row r="1087" spans="1:11" ht="12.75" customHeight="1">
      <c r="A1087" s="321">
        <v>1</v>
      </c>
      <c r="B1087" s="321" t="s">
        <v>2785</v>
      </c>
      <c r="C1087" s="321" t="s">
        <v>2786</v>
      </c>
      <c r="D1087" s="321" t="s">
        <v>16</v>
      </c>
      <c r="E1087" s="321" t="s">
        <v>22</v>
      </c>
      <c r="F1087" s="405">
        <v>21591</v>
      </c>
      <c r="G1087" s="321">
        <v>2.16</v>
      </c>
      <c r="H1087" s="321">
        <v>254.77</v>
      </c>
      <c r="I1087" s="321" t="s">
        <v>18</v>
      </c>
      <c r="J1087" s="321" t="s">
        <v>23</v>
      </c>
      <c r="K1087" s="224">
        <f>H1087/F1087</f>
        <v>1.179982400074105E-2</v>
      </c>
    </row>
    <row r="1088" spans="1:11">
      <c r="A1088" s="321">
        <v>223</v>
      </c>
      <c r="B1088" s="321" t="s">
        <v>502</v>
      </c>
      <c r="C1088" s="321" t="s">
        <v>503</v>
      </c>
      <c r="D1088" s="321" t="s">
        <v>16</v>
      </c>
      <c r="E1088" s="321" t="s">
        <v>22</v>
      </c>
      <c r="F1088" s="405">
        <v>400000</v>
      </c>
      <c r="G1088" s="321">
        <v>40</v>
      </c>
      <c r="H1088" s="321">
        <v>2640</v>
      </c>
      <c r="I1088" s="321" t="s">
        <v>18</v>
      </c>
      <c r="J1088" s="321" t="s">
        <v>19</v>
      </c>
      <c r="K1088" s="224">
        <f>H1088/F1088</f>
        <v>6.6E-3</v>
      </c>
    </row>
    <row r="1089" spans="1:11" ht="12.75" customHeight="1">
      <c r="A1089" s="321">
        <v>211</v>
      </c>
      <c r="B1089" s="321">
        <v>4177</v>
      </c>
      <c r="C1089" s="321" t="s">
        <v>671</v>
      </c>
      <c r="D1089" s="321" t="s">
        <v>28</v>
      </c>
      <c r="E1089" s="321" t="s">
        <v>29</v>
      </c>
      <c r="F1089" s="321">
        <v>572</v>
      </c>
      <c r="G1089" s="321">
        <v>23452</v>
      </c>
      <c r="H1089" s="321">
        <v>10879.38</v>
      </c>
      <c r="I1089" s="321" t="s">
        <v>30</v>
      </c>
      <c r="J1089" s="321" t="s">
        <v>59</v>
      </c>
      <c r="K1089" s="224">
        <f>H1089/F1089</f>
        <v>19.019895104895102</v>
      </c>
    </row>
    <row r="1090" spans="1:11">
      <c r="A1090" s="321">
        <v>288</v>
      </c>
      <c r="B1090" s="321">
        <v>4177</v>
      </c>
      <c r="C1090" s="321" t="s">
        <v>671</v>
      </c>
      <c r="D1090" s="321" t="s">
        <v>28</v>
      </c>
      <c r="E1090" s="321" t="s">
        <v>29</v>
      </c>
      <c r="F1090" s="321">
        <v>-1</v>
      </c>
      <c r="G1090" s="321">
        <v>-41</v>
      </c>
      <c r="H1090" s="321">
        <v>-19.02</v>
      </c>
      <c r="I1090" s="321" t="s">
        <v>30</v>
      </c>
      <c r="J1090" s="321" t="s">
        <v>59</v>
      </c>
      <c r="K1090" s="224">
        <f>H1090/F1090</f>
        <v>19.02</v>
      </c>
    </row>
    <row r="1091" spans="1:11" ht="12.75" customHeight="1">
      <c r="A1091" s="321">
        <v>223</v>
      </c>
      <c r="B1091" s="321" t="s">
        <v>551</v>
      </c>
      <c r="C1091" s="321" t="s">
        <v>552</v>
      </c>
      <c r="D1091" s="321" t="s">
        <v>16</v>
      </c>
      <c r="E1091" s="321" t="s">
        <v>65</v>
      </c>
      <c r="F1091" s="321">
        <v>550</v>
      </c>
      <c r="G1091" s="321">
        <v>550</v>
      </c>
      <c r="H1091" s="321">
        <v>288.2</v>
      </c>
      <c r="I1091" s="321" t="s">
        <v>18</v>
      </c>
      <c r="J1091" s="321" t="s">
        <v>19</v>
      </c>
      <c r="K1091" s="224">
        <f>H1091/F1091</f>
        <v>0.52400000000000002</v>
      </c>
    </row>
    <row r="1092" spans="1:11">
      <c r="A1092" s="321">
        <v>99</v>
      </c>
      <c r="B1092" s="321">
        <v>4177</v>
      </c>
      <c r="C1092" s="321" t="s">
        <v>671</v>
      </c>
      <c r="D1092" s="321" t="s">
        <v>28</v>
      </c>
      <c r="E1092" s="321" t="s">
        <v>29</v>
      </c>
      <c r="F1092" s="321">
        <v>540</v>
      </c>
      <c r="G1092" s="321">
        <v>22140</v>
      </c>
      <c r="H1092" s="321">
        <v>10270.75</v>
      </c>
      <c r="I1092" s="321" t="s">
        <v>30</v>
      </c>
      <c r="J1092" s="321" t="s">
        <v>59</v>
      </c>
      <c r="K1092" s="224">
        <f>H1092/F1092</f>
        <v>19.019907407407409</v>
      </c>
    </row>
    <row r="1093" spans="1:11">
      <c r="A1093" s="321">
        <v>223</v>
      </c>
      <c r="B1093" s="321" t="s">
        <v>554</v>
      </c>
      <c r="C1093" s="321" t="s">
        <v>555</v>
      </c>
      <c r="D1093" s="321" t="s">
        <v>16</v>
      </c>
      <c r="E1093" s="321" t="s">
        <v>22</v>
      </c>
      <c r="F1093" s="321">
        <v>40000</v>
      </c>
      <c r="G1093" s="321">
        <v>4</v>
      </c>
      <c r="H1093" s="321">
        <v>536</v>
      </c>
      <c r="I1093" s="321" t="s">
        <v>18</v>
      </c>
      <c r="J1093" s="321" t="s">
        <v>19</v>
      </c>
      <c r="K1093" s="224">
        <f>H1093/F1093</f>
        <v>1.34E-2</v>
      </c>
    </row>
    <row r="1094" spans="1:11">
      <c r="A1094" s="321">
        <v>603</v>
      </c>
      <c r="B1094" s="321">
        <v>4177</v>
      </c>
      <c r="C1094" s="321" t="s">
        <v>671</v>
      </c>
      <c r="D1094" s="321" t="s">
        <v>28</v>
      </c>
      <c r="E1094" s="321" t="s">
        <v>29</v>
      </c>
      <c r="F1094" s="321">
        <v>150</v>
      </c>
      <c r="G1094" s="321">
        <v>6150</v>
      </c>
      <c r="H1094" s="405">
        <v>2942.64</v>
      </c>
      <c r="I1094" s="321" t="s">
        <v>30</v>
      </c>
      <c r="J1094" s="321" t="s">
        <v>59</v>
      </c>
      <c r="K1094" s="224">
        <f>H1094/F1094</f>
        <v>19.617599999999999</v>
      </c>
    </row>
    <row r="1095" spans="1:11" ht="12.75" customHeight="1">
      <c r="A1095" s="321">
        <v>11</v>
      </c>
      <c r="B1095" s="321" t="s">
        <v>663</v>
      </c>
      <c r="C1095" s="321" t="s">
        <v>664</v>
      </c>
      <c r="D1095" s="321" t="s">
        <v>34</v>
      </c>
      <c r="E1095" s="321"/>
      <c r="F1095" s="321">
        <v>32</v>
      </c>
      <c r="G1095" s="321">
        <v>284.8</v>
      </c>
      <c r="H1095" s="405">
        <v>115.2</v>
      </c>
      <c r="I1095" s="321" t="s">
        <v>35</v>
      </c>
      <c r="J1095" s="321" t="s">
        <v>23</v>
      </c>
      <c r="K1095" s="224">
        <f>H1095/F1095</f>
        <v>3.6</v>
      </c>
    </row>
    <row r="1096" spans="1:11">
      <c r="A1096" s="321">
        <v>11</v>
      </c>
      <c r="B1096" s="321" t="s">
        <v>251</v>
      </c>
      <c r="C1096" s="321" t="s">
        <v>252</v>
      </c>
      <c r="D1096" s="321" t="s">
        <v>34</v>
      </c>
      <c r="E1096" s="321" t="s">
        <v>146</v>
      </c>
      <c r="F1096" s="321">
        <v>5494</v>
      </c>
      <c r="G1096" s="321">
        <v>48896.6</v>
      </c>
      <c r="H1096" s="321">
        <v>35161.599999999999</v>
      </c>
      <c r="I1096" s="321" t="s">
        <v>35</v>
      </c>
      <c r="J1096" s="321" t="s">
        <v>23</v>
      </c>
      <c r="K1096" s="224">
        <f>H1096/F1096</f>
        <v>6.3999999999999995</v>
      </c>
    </row>
    <row r="1097" spans="1:11">
      <c r="A1097" s="321">
        <v>223</v>
      </c>
      <c r="B1097" s="321" t="s">
        <v>687</v>
      </c>
      <c r="C1097" s="321" t="s">
        <v>688</v>
      </c>
      <c r="D1097" s="321" t="s">
        <v>16</v>
      </c>
      <c r="E1097" s="321" t="s">
        <v>22</v>
      </c>
      <c r="F1097" s="321">
        <v>40000</v>
      </c>
      <c r="G1097" s="321">
        <v>4</v>
      </c>
      <c r="H1097" s="321">
        <v>1220</v>
      </c>
      <c r="I1097" s="321" t="s">
        <v>18</v>
      </c>
      <c r="J1097" s="321" t="s">
        <v>19</v>
      </c>
      <c r="K1097" s="224">
        <f>H1097/F1097</f>
        <v>3.0499999999999999E-2</v>
      </c>
    </row>
    <row r="1098" spans="1:11">
      <c r="A1098" s="321">
        <v>211</v>
      </c>
      <c r="B1098" s="321">
        <v>6591</v>
      </c>
      <c r="C1098" s="321" t="s">
        <v>507</v>
      </c>
      <c r="D1098" s="321" t="s">
        <v>28</v>
      </c>
      <c r="E1098" s="321" t="s">
        <v>29</v>
      </c>
      <c r="F1098" s="321">
        <v>3185</v>
      </c>
      <c r="G1098" s="321">
        <v>115934</v>
      </c>
      <c r="H1098" s="405">
        <v>43819.24</v>
      </c>
      <c r="I1098" s="321" t="s">
        <v>30</v>
      </c>
      <c r="J1098" s="321" t="s">
        <v>19</v>
      </c>
      <c r="K1098" s="224">
        <f>H1098/F1098</f>
        <v>13.758003139717426</v>
      </c>
    </row>
    <row r="1099" spans="1:11" ht="12.75" customHeight="1">
      <c r="A1099" s="321">
        <v>11</v>
      </c>
      <c r="B1099" s="321" t="s">
        <v>677</v>
      </c>
      <c r="C1099" s="321" t="s">
        <v>678</v>
      </c>
      <c r="D1099" s="321" t="s">
        <v>16</v>
      </c>
      <c r="E1099" s="321" t="s">
        <v>22</v>
      </c>
      <c r="F1099" s="321">
        <v>30000</v>
      </c>
      <c r="G1099" s="321">
        <v>3</v>
      </c>
      <c r="H1099" s="405">
        <v>462</v>
      </c>
      <c r="I1099" s="321" t="s">
        <v>18</v>
      </c>
      <c r="J1099" s="321" t="s">
        <v>23</v>
      </c>
      <c r="K1099" s="224">
        <f>H1099/F1099</f>
        <v>1.54E-2</v>
      </c>
    </row>
    <row r="1100" spans="1:11">
      <c r="A1100" s="321">
        <v>223</v>
      </c>
      <c r="B1100" s="321" t="s">
        <v>530</v>
      </c>
      <c r="C1100" s="321" t="s">
        <v>531</v>
      </c>
      <c r="D1100" s="321" t="s">
        <v>43</v>
      </c>
      <c r="E1100" s="321"/>
      <c r="F1100" s="405">
        <v>4.5</v>
      </c>
      <c r="G1100" s="321">
        <v>4.5</v>
      </c>
      <c r="H1100" s="321">
        <v>60.97</v>
      </c>
      <c r="I1100" s="321" t="s">
        <v>44</v>
      </c>
      <c r="J1100" s="321" t="s">
        <v>19</v>
      </c>
      <c r="K1100" s="224">
        <f>H1100/F1100</f>
        <v>13.548888888888889</v>
      </c>
    </row>
    <row r="1101" spans="1:11">
      <c r="A1101">
        <v>201</v>
      </c>
      <c r="B1101" s="239" t="s">
        <v>2785</v>
      </c>
      <c r="C1101" s="230" t="s">
        <v>2786</v>
      </c>
      <c r="D1101" t="s">
        <v>16</v>
      </c>
      <c r="E1101" t="s">
        <v>22</v>
      </c>
      <c r="F1101" s="230">
        <v>7496</v>
      </c>
      <c r="G1101" s="224">
        <v>0.75</v>
      </c>
      <c r="H1101" s="230">
        <v>88.45</v>
      </c>
      <c r="I1101" t="s">
        <v>18</v>
      </c>
      <c r="J1101" t="s">
        <v>19</v>
      </c>
      <c r="K1101" s="224">
        <f>H1101/F1101</f>
        <v>1.1799626467449307E-2</v>
      </c>
    </row>
    <row r="1102" spans="1:11">
      <c r="A1102">
        <v>11</v>
      </c>
      <c r="B1102" s="239" t="s">
        <v>421</v>
      </c>
      <c r="C1102" s="230" t="s">
        <v>2846</v>
      </c>
      <c r="D1102" t="s">
        <v>34</v>
      </c>
      <c r="F1102" s="230">
        <v>10544</v>
      </c>
      <c r="G1102" s="224">
        <v>93841.600000000006</v>
      </c>
      <c r="H1102" s="230">
        <v>33865.21</v>
      </c>
      <c r="I1102" t="s">
        <v>35</v>
      </c>
      <c r="J1102" t="s">
        <v>23</v>
      </c>
      <c r="K1102" s="224">
        <f>H1102/F1102</f>
        <v>3.2117991274658575</v>
      </c>
    </row>
    <row r="1103" spans="1:11">
      <c r="A1103">
        <v>88</v>
      </c>
      <c r="B1103" s="239" t="s">
        <v>332</v>
      </c>
      <c r="C1103" s="230" t="s">
        <v>333</v>
      </c>
      <c r="D1103" t="s">
        <v>16</v>
      </c>
      <c r="E1103" t="s">
        <v>228</v>
      </c>
      <c r="F1103" s="230">
        <v>-7</v>
      </c>
      <c r="G1103" s="224">
        <v>-308</v>
      </c>
      <c r="H1103" s="230">
        <v>-430.98</v>
      </c>
      <c r="I1103" t="s">
        <v>35</v>
      </c>
      <c r="J1103" t="s">
        <v>23</v>
      </c>
      <c r="K1103" s="224">
        <f>H1103/F1103</f>
        <v>61.568571428571431</v>
      </c>
    </row>
    <row r="1104" spans="1:11">
      <c r="A1104">
        <v>1</v>
      </c>
      <c r="B1104" s="239" t="s">
        <v>677</v>
      </c>
      <c r="C1104" s="230" t="s">
        <v>678</v>
      </c>
      <c r="D1104" t="s">
        <v>16</v>
      </c>
      <c r="E1104" t="s">
        <v>22</v>
      </c>
      <c r="F1104" s="230">
        <v>3755</v>
      </c>
      <c r="G1104" s="224">
        <v>0.38</v>
      </c>
      <c r="H1104" s="230">
        <v>57.83</v>
      </c>
      <c r="I1104" t="s">
        <v>18</v>
      </c>
      <c r="J1104" t="s">
        <v>23</v>
      </c>
      <c r="K1104" s="224">
        <f>H1104/F1104</f>
        <v>1.5400798934753662E-2</v>
      </c>
    </row>
    <row r="1105" spans="1:11">
      <c r="A1105">
        <v>201</v>
      </c>
      <c r="B1105" s="239" t="s">
        <v>677</v>
      </c>
      <c r="C1105" s="230" t="s">
        <v>678</v>
      </c>
      <c r="D1105" t="s">
        <v>16</v>
      </c>
      <c r="E1105" t="s">
        <v>22</v>
      </c>
      <c r="F1105" s="230">
        <v>16897</v>
      </c>
      <c r="G1105" s="224">
        <v>1.69</v>
      </c>
      <c r="H1105" s="230">
        <v>260.20999999999998</v>
      </c>
      <c r="I1105" t="s">
        <v>18</v>
      </c>
      <c r="J1105" t="s">
        <v>19</v>
      </c>
      <c r="K1105" s="224">
        <f>H1105/F1105</f>
        <v>1.5399775108007337E-2</v>
      </c>
    </row>
    <row r="1106" spans="1:11">
      <c r="A1106">
        <v>211</v>
      </c>
      <c r="B1106" s="239">
        <v>7593</v>
      </c>
      <c r="C1106" s="230" t="s">
        <v>516</v>
      </c>
      <c r="D1106" t="s">
        <v>28</v>
      </c>
      <c r="E1106" t="s">
        <v>29</v>
      </c>
      <c r="F1106" s="230">
        <v>2899</v>
      </c>
      <c r="G1106" s="224">
        <v>105523.6</v>
      </c>
      <c r="H1106" s="230">
        <v>69978.11</v>
      </c>
      <c r="I1106" t="s">
        <v>30</v>
      </c>
      <c r="J1106" t="s">
        <v>19</v>
      </c>
      <c r="K1106" s="224">
        <f>H1106/F1106</f>
        <v>24.138706450500173</v>
      </c>
    </row>
    <row r="1107" spans="1:11">
      <c r="A1107">
        <v>88</v>
      </c>
      <c r="B1107" s="239" t="s">
        <v>679</v>
      </c>
      <c r="C1107" s="230" t="s">
        <v>680</v>
      </c>
      <c r="D1107" t="s">
        <v>34</v>
      </c>
      <c r="F1107" s="230">
        <v>0</v>
      </c>
      <c r="G1107" s="224">
        <v>0</v>
      </c>
      <c r="H1107" s="230">
        <v>0</v>
      </c>
      <c r="I1107" t="s">
        <v>35</v>
      </c>
      <c r="J1107" t="s">
        <v>23</v>
      </c>
      <c r="K1107" s="224" t="e">
        <f>H1107/F1107</f>
        <v>#DIV/0!</v>
      </c>
    </row>
    <row r="1108" spans="1:11">
      <c r="A1108">
        <v>88</v>
      </c>
      <c r="B1108" s="239" t="s">
        <v>930</v>
      </c>
      <c r="C1108" s="230" t="s">
        <v>931</v>
      </c>
      <c r="D1108" t="s">
        <v>34</v>
      </c>
      <c r="F1108" s="230">
        <v>5185</v>
      </c>
      <c r="G1108" s="224">
        <v>47007.73</v>
      </c>
      <c r="H1108" s="230">
        <v>35846.5</v>
      </c>
      <c r="I1108" t="s">
        <v>35</v>
      </c>
      <c r="J1108" t="s">
        <v>23</v>
      </c>
      <c r="K1108" s="224">
        <f>H1108/F1108</f>
        <v>6.9135004821600772</v>
      </c>
    </row>
    <row r="1109" spans="1:11">
      <c r="A1109">
        <v>289</v>
      </c>
      <c r="B1109" s="239">
        <v>4113</v>
      </c>
      <c r="C1109" s="230" t="s">
        <v>381</v>
      </c>
      <c r="D1109" t="s">
        <v>28</v>
      </c>
      <c r="E1109" t="s">
        <v>32</v>
      </c>
      <c r="F1109" s="230">
        <v>-2</v>
      </c>
      <c r="G1109" s="224">
        <v>-58</v>
      </c>
      <c r="H1109" s="230">
        <v>-59.52</v>
      </c>
      <c r="I1109" t="s">
        <v>30</v>
      </c>
      <c r="J1109" t="s">
        <v>59</v>
      </c>
      <c r="K1109" s="224">
        <f>H1109/F1109</f>
        <v>29.76</v>
      </c>
    </row>
    <row r="1110" spans="1:11">
      <c r="A1110">
        <v>223</v>
      </c>
      <c r="B1110" s="239" t="s">
        <v>204</v>
      </c>
      <c r="C1110" s="230" t="s">
        <v>205</v>
      </c>
      <c r="D1110" t="s">
        <v>16</v>
      </c>
      <c r="E1110" t="s">
        <v>22</v>
      </c>
      <c r="F1110" s="230">
        <v>20000</v>
      </c>
      <c r="G1110" s="224">
        <v>2</v>
      </c>
      <c r="H1110" s="230">
        <v>268</v>
      </c>
      <c r="I1110" t="s">
        <v>18</v>
      </c>
      <c r="J1110" t="s">
        <v>19</v>
      </c>
      <c r="K1110" s="224">
        <f>H1110/F1110</f>
        <v>1.34E-2</v>
      </c>
    </row>
    <row r="1111" spans="1:11">
      <c r="A1111">
        <v>201</v>
      </c>
      <c r="B1111" s="239" t="s">
        <v>681</v>
      </c>
      <c r="C1111" s="230" t="s">
        <v>682</v>
      </c>
      <c r="D1111" t="s">
        <v>43</v>
      </c>
      <c r="F1111" s="230">
        <v>1159.6600000000001</v>
      </c>
      <c r="G1111" s="224">
        <v>1159.6600000000001</v>
      </c>
      <c r="H1111" s="230">
        <v>12188.03</v>
      </c>
      <c r="I1111" t="s">
        <v>44</v>
      </c>
      <c r="J1111" t="s">
        <v>19</v>
      </c>
      <c r="K1111" s="224">
        <f>H1111/F1111</f>
        <v>10.510002931893832</v>
      </c>
    </row>
    <row r="1112" spans="1:11">
      <c r="A1112">
        <v>11</v>
      </c>
      <c r="B1112" s="239" t="s">
        <v>112</v>
      </c>
      <c r="C1112" s="230" t="s">
        <v>113</v>
      </c>
      <c r="D1112" t="s">
        <v>34</v>
      </c>
      <c r="F1112" s="230">
        <v>69412</v>
      </c>
      <c r="G1112" s="224">
        <v>617766.80000000005</v>
      </c>
      <c r="H1112" s="230">
        <v>278106.12</v>
      </c>
      <c r="I1112" t="s">
        <v>35</v>
      </c>
      <c r="J1112" t="s">
        <v>23</v>
      </c>
      <c r="K1112" s="224">
        <f>H1112/F1112</f>
        <v>4.0066000115253848</v>
      </c>
    </row>
    <row r="1113" spans="1:11">
      <c r="A1113">
        <v>288</v>
      </c>
      <c r="B1113" s="239" t="s">
        <v>217</v>
      </c>
      <c r="C1113" s="230" t="s">
        <v>218</v>
      </c>
      <c r="D1113" t="s">
        <v>43</v>
      </c>
      <c r="F1113" s="230">
        <v>-11</v>
      </c>
      <c r="G1113" s="224">
        <v>-11</v>
      </c>
      <c r="H1113" s="230">
        <v>-466.31</v>
      </c>
      <c r="I1113" t="s">
        <v>44</v>
      </c>
      <c r="J1113" t="s">
        <v>19</v>
      </c>
      <c r="K1113" s="224">
        <f>H1113/F1113</f>
        <v>42.391818181818181</v>
      </c>
    </row>
    <row r="1114" spans="1:11">
      <c r="A1114">
        <v>222</v>
      </c>
      <c r="B1114" s="239" t="s">
        <v>376</v>
      </c>
      <c r="C1114" s="230" t="s">
        <v>377</v>
      </c>
      <c r="D1114" t="s">
        <v>43</v>
      </c>
      <c r="F1114" s="230">
        <v>356934</v>
      </c>
      <c r="G1114" s="224">
        <v>356934</v>
      </c>
      <c r="H1114" s="230">
        <v>178217.15</v>
      </c>
      <c r="I1114" t="s">
        <v>44</v>
      </c>
      <c r="J1114" t="s">
        <v>19</v>
      </c>
      <c r="K1114" s="224">
        <f>H1114/F1114</f>
        <v>0.49930001064622592</v>
      </c>
    </row>
    <row r="1115" spans="1:11">
      <c r="A1115">
        <v>288</v>
      </c>
      <c r="B1115" s="239" t="s">
        <v>239</v>
      </c>
      <c r="C1115" s="230" t="s">
        <v>240</v>
      </c>
      <c r="D1115" t="s">
        <v>43</v>
      </c>
      <c r="F1115" s="230">
        <v>-224.7</v>
      </c>
      <c r="G1115" s="224">
        <v>-224.7</v>
      </c>
      <c r="H1115" s="230">
        <v>-3330.55</v>
      </c>
      <c r="I1115" t="s">
        <v>44</v>
      </c>
      <c r="J1115" t="s">
        <v>19</v>
      </c>
      <c r="K1115" s="224">
        <f>H1115/F1115</f>
        <v>14.82220738762795</v>
      </c>
    </row>
    <row r="1116" spans="1:11">
      <c r="A1116">
        <v>211</v>
      </c>
      <c r="B1116" s="239">
        <v>9123</v>
      </c>
      <c r="C1116" s="230" t="s">
        <v>238</v>
      </c>
      <c r="D1116" t="s">
        <v>28</v>
      </c>
      <c r="E1116" t="s">
        <v>29</v>
      </c>
      <c r="F1116" s="230">
        <v>360</v>
      </c>
      <c r="G1116" s="224">
        <v>15988.32</v>
      </c>
      <c r="H1116" s="230">
        <v>8585</v>
      </c>
      <c r="I1116" t="s">
        <v>30</v>
      </c>
      <c r="J1116" t="s">
        <v>19</v>
      </c>
      <c r="K1116" s="224">
        <f>H1116/F1116</f>
        <v>23.847222222222221</v>
      </c>
    </row>
    <row r="1117" spans="1:11">
      <c r="A1117">
        <v>288</v>
      </c>
      <c r="B1117" s="239" t="s">
        <v>475</v>
      </c>
      <c r="C1117" s="230" t="s">
        <v>476</v>
      </c>
      <c r="D1117" t="s">
        <v>43</v>
      </c>
      <c r="F1117" s="230">
        <v>70.180000000000007</v>
      </c>
      <c r="G1117" s="224">
        <v>70.180000000000007</v>
      </c>
      <c r="H1117" s="230">
        <v>3562.64</v>
      </c>
      <c r="I1117" t="s">
        <v>44</v>
      </c>
      <c r="J1117" t="s">
        <v>19</v>
      </c>
      <c r="K1117" s="224">
        <f>H1117/F1117</f>
        <v>50.764320319179248</v>
      </c>
    </row>
    <row r="1118" spans="1:11">
      <c r="A1118">
        <v>11</v>
      </c>
      <c r="B1118" s="239">
        <v>4845</v>
      </c>
      <c r="C1118" s="230" t="s">
        <v>445</v>
      </c>
      <c r="D1118" t="s">
        <v>43</v>
      </c>
      <c r="E1118" t="s">
        <v>446</v>
      </c>
      <c r="F1118" s="230">
        <v>815</v>
      </c>
      <c r="G1118" s="224">
        <v>815</v>
      </c>
      <c r="H1118" s="230">
        <v>254.52</v>
      </c>
      <c r="I1118" t="s">
        <v>30</v>
      </c>
      <c r="J1118" t="s">
        <v>23</v>
      </c>
      <c r="K1118" s="224">
        <f>H1118/F1118</f>
        <v>0.31229447852760739</v>
      </c>
    </row>
    <row r="1119" spans="1:11">
      <c r="A1119">
        <v>1</v>
      </c>
      <c r="B1119" s="239" t="s">
        <v>607</v>
      </c>
      <c r="C1119" s="230" t="s">
        <v>608</v>
      </c>
      <c r="D1119" t="s">
        <v>16</v>
      </c>
      <c r="E1119" t="s">
        <v>22</v>
      </c>
      <c r="F1119" s="230">
        <v>13189</v>
      </c>
      <c r="G1119" s="224">
        <v>1.32</v>
      </c>
      <c r="H1119" s="230">
        <v>176.73</v>
      </c>
      <c r="I1119" t="s">
        <v>18</v>
      </c>
      <c r="J1119" t="s">
        <v>23</v>
      </c>
      <c r="K1119" s="224">
        <f>H1119/F1119</f>
        <v>1.3399802866024716E-2</v>
      </c>
    </row>
    <row r="1120" spans="1:11">
      <c r="A1120">
        <v>223</v>
      </c>
      <c r="B1120" s="239" t="s">
        <v>603</v>
      </c>
      <c r="C1120" s="230" t="s">
        <v>604</v>
      </c>
      <c r="D1120" t="s">
        <v>16</v>
      </c>
      <c r="E1120" t="s">
        <v>22</v>
      </c>
      <c r="F1120" s="230">
        <v>110000</v>
      </c>
      <c r="G1120" s="224">
        <v>11</v>
      </c>
      <c r="H1120" s="230">
        <v>1584</v>
      </c>
      <c r="I1120" t="s">
        <v>18</v>
      </c>
      <c r="J1120" t="s">
        <v>59</v>
      </c>
      <c r="K1120" s="224">
        <f>H1120/F1120</f>
        <v>1.44E-2</v>
      </c>
    </row>
    <row r="1121" spans="1:11">
      <c r="A1121">
        <v>288</v>
      </c>
      <c r="B1121" s="239">
        <v>6591</v>
      </c>
      <c r="C1121" s="230" t="s">
        <v>507</v>
      </c>
      <c r="D1121" t="s">
        <v>28</v>
      </c>
      <c r="E1121" t="s">
        <v>29</v>
      </c>
      <c r="F1121" s="230">
        <v>0</v>
      </c>
      <c r="G1121" s="224">
        <v>0</v>
      </c>
      <c r="H1121" s="230">
        <v>4.2699999999999996</v>
      </c>
      <c r="I1121" t="s">
        <v>30</v>
      </c>
      <c r="J1121" t="s">
        <v>19</v>
      </c>
      <c r="K1121" s="224" t="e">
        <f>H1121/F1121</f>
        <v>#DIV/0!</v>
      </c>
    </row>
    <row r="1122" spans="1:11">
      <c r="A1122">
        <v>11</v>
      </c>
      <c r="B1122" s="239">
        <v>5014</v>
      </c>
      <c r="C1122" s="230" t="s">
        <v>561</v>
      </c>
      <c r="D1122" t="s">
        <v>28</v>
      </c>
      <c r="E1122" t="s">
        <v>56</v>
      </c>
      <c r="F1122" s="230">
        <v>779</v>
      </c>
      <c r="G1122" s="224">
        <v>22123.599999999999</v>
      </c>
      <c r="H1122" s="230">
        <v>8070.6</v>
      </c>
      <c r="I1122" t="s">
        <v>30</v>
      </c>
      <c r="J1122" t="s">
        <v>23</v>
      </c>
      <c r="K1122" s="224">
        <f>H1122/F1122</f>
        <v>10.3602053915276</v>
      </c>
    </row>
    <row r="1123" spans="1:11">
      <c r="A1123">
        <v>223</v>
      </c>
      <c r="B1123" s="239" t="s">
        <v>376</v>
      </c>
      <c r="C1123" s="230" t="s">
        <v>377</v>
      </c>
      <c r="D1123" t="s">
        <v>43</v>
      </c>
      <c r="F1123" s="230">
        <v>6084</v>
      </c>
      <c r="G1123" s="224">
        <v>6084</v>
      </c>
      <c r="H1123" s="230">
        <v>3037.74</v>
      </c>
      <c r="I1123" t="s">
        <v>44</v>
      </c>
      <c r="J1123" t="s">
        <v>19</v>
      </c>
      <c r="K1123" s="224">
        <f>H1123/F1123</f>
        <v>0.49929980276134117</v>
      </c>
    </row>
    <row r="1124" spans="1:11">
      <c r="A1124">
        <v>288</v>
      </c>
      <c r="B1124" s="239" t="s">
        <v>451</v>
      </c>
      <c r="C1124" s="230" t="s">
        <v>452</v>
      </c>
      <c r="D1124" t="s">
        <v>34</v>
      </c>
      <c r="F1124" s="230">
        <v>0</v>
      </c>
      <c r="G1124" s="224">
        <v>0</v>
      </c>
      <c r="H1124" s="230">
        <v>0</v>
      </c>
      <c r="I1124" t="s">
        <v>35</v>
      </c>
      <c r="J1124" t="s">
        <v>19</v>
      </c>
      <c r="K1124" s="224" t="e">
        <f>H1124/F1124</f>
        <v>#DIV/0!</v>
      </c>
    </row>
    <row r="1125" spans="1:11">
      <c r="A1125">
        <v>288</v>
      </c>
      <c r="B1125" s="239">
        <v>7593</v>
      </c>
      <c r="C1125" s="230" t="s">
        <v>516</v>
      </c>
      <c r="D1125" t="s">
        <v>28</v>
      </c>
      <c r="E1125" t="s">
        <v>29</v>
      </c>
      <c r="F1125" s="230">
        <v>0</v>
      </c>
      <c r="G1125" s="224">
        <v>0</v>
      </c>
      <c r="H1125" s="230">
        <v>2075.12</v>
      </c>
      <c r="I1125" t="s">
        <v>30</v>
      </c>
      <c r="J1125" t="s">
        <v>19</v>
      </c>
      <c r="K1125" s="224" t="e">
        <f>H1125/F1125</f>
        <v>#DIV/0!</v>
      </c>
    </row>
    <row r="1126" spans="1:11">
      <c r="A1126">
        <v>223</v>
      </c>
      <c r="B1126" s="239" t="s">
        <v>247</v>
      </c>
      <c r="C1126" s="230" t="s">
        <v>248</v>
      </c>
      <c r="D1126" t="s">
        <v>43</v>
      </c>
      <c r="F1126" s="230">
        <v>42500</v>
      </c>
      <c r="G1126" s="224">
        <v>42500</v>
      </c>
      <c r="H1126" s="230">
        <v>23579</v>
      </c>
      <c r="I1126" t="s">
        <v>44</v>
      </c>
      <c r="J1126" t="s">
        <v>19</v>
      </c>
      <c r="K1126" s="224">
        <f>H1126/F1126</f>
        <v>0.55479999999999996</v>
      </c>
    </row>
    <row r="1127" spans="1:11">
      <c r="A1127">
        <v>223</v>
      </c>
      <c r="B1127" s="239" t="s">
        <v>542</v>
      </c>
      <c r="C1127" s="230" t="s">
        <v>543</v>
      </c>
      <c r="D1127" t="s">
        <v>16</v>
      </c>
      <c r="E1127" t="s">
        <v>22</v>
      </c>
      <c r="F1127" s="230">
        <v>300000</v>
      </c>
      <c r="G1127" s="224">
        <v>30</v>
      </c>
      <c r="H1127" s="230">
        <v>2130</v>
      </c>
      <c r="I1127" t="s">
        <v>18</v>
      </c>
      <c r="J1127" t="s">
        <v>19</v>
      </c>
      <c r="K1127" s="224">
        <f>H1127/F1127</f>
        <v>7.1000000000000004E-3</v>
      </c>
    </row>
    <row r="1128" spans="1:11">
      <c r="A1128">
        <v>223</v>
      </c>
      <c r="B1128" s="239" t="s">
        <v>601</v>
      </c>
      <c r="C1128" s="230" t="s">
        <v>602</v>
      </c>
      <c r="D1128" t="s">
        <v>43</v>
      </c>
      <c r="F1128" s="230">
        <v>40</v>
      </c>
      <c r="G1128" s="224">
        <v>40</v>
      </c>
      <c r="H1128" s="230">
        <v>522.79999999999995</v>
      </c>
      <c r="I1128" t="s">
        <v>44</v>
      </c>
      <c r="J1128" t="s">
        <v>19</v>
      </c>
      <c r="K1128" s="224">
        <f>H1128/F1128</f>
        <v>13.069999999999999</v>
      </c>
    </row>
    <row r="1129" spans="1:11">
      <c r="A1129">
        <v>1</v>
      </c>
      <c r="B1129" s="239" t="s">
        <v>683</v>
      </c>
      <c r="C1129" s="230" t="s">
        <v>684</v>
      </c>
      <c r="D1129" t="s">
        <v>16</v>
      </c>
      <c r="E1129" t="s">
        <v>22</v>
      </c>
      <c r="F1129" s="230">
        <v>13204</v>
      </c>
      <c r="G1129" s="224">
        <v>1.32</v>
      </c>
      <c r="H1129" s="230">
        <v>229.75</v>
      </c>
      <c r="I1129" t="s">
        <v>18</v>
      </c>
      <c r="J1129" t="s">
        <v>23</v>
      </c>
      <c r="K1129" s="224">
        <f>H1129/F1129</f>
        <v>1.7400030293850347E-2</v>
      </c>
    </row>
    <row r="1130" spans="1:11">
      <c r="A1130">
        <v>201</v>
      </c>
      <c r="B1130" s="239" t="s">
        <v>683</v>
      </c>
      <c r="C1130" s="230" t="s">
        <v>684</v>
      </c>
      <c r="D1130" t="s">
        <v>16</v>
      </c>
      <c r="E1130" t="s">
        <v>22</v>
      </c>
      <c r="F1130" s="230">
        <v>16897</v>
      </c>
      <c r="G1130" s="224">
        <v>1.69</v>
      </c>
      <c r="H1130" s="230">
        <v>294.01</v>
      </c>
      <c r="I1130" t="s">
        <v>18</v>
      </c>
      <c r="J1130" t="s">
        <v>19</v>
      </c>
      <c r="K1130" s="224">
        <f>H1130/F1130</f>
        <v>1.740013020062733E-2</v>
      </c>
    </row>
    <row r="1131" spans="1:11">
      <c r="A1131">
        <v>223</v>
      </c>
      <c r="B1131" s="239" t="s">
        <v>428</v>
      </c>
      <c r="C1131" s="230" t="s">
        <v>429</v>
      </c>
      <c r="D1131" t="s">
        <v>16</v>
      </c>
      <c r="E1131" t="s">
        <v>430</v>
      </c>
      <c r="F1131" s="230">
        <v>9</v>
      </c>
      <c r="G1131" s="224">
        <v>9</v>
      </c>
      <c r="H1131" s="230">
        <v>842.31</v>
      </c>
      <c r="I1131" t="s">
        <v>18</v>
      </c>
      <c r="J1131" t="s">
        <v>19</v>
      </c>
      <c r="K1131" s="224">
        <f>H1131/F1131</f>
        <v>93.589999999999989</v>
      </c>
    </row>
    <row r="1132" spans="1:11">
      <c r="A1132">
        <v>211</v>
      </c>
      <c r="B1132" s="239">
        <v>4225</v>
      </c>
      <c r="C1132" s="230" t="s">
        <v>193</v>
      </c>
      <c r="D1132" t="s">
        <v>28</v>
      </c>
      <c r="E1132" t="s">
        <v>56</v>
      </c>
      <c r="F1132" s="230">
        <v>350</v>
      </c>
      <c r="G1132" s="224">
        <v>4576.25</v>
      </c>
      <c r="H1132" s="230">
        <v>2369.37</v>
      </c>
      <c r="I1132" t="s">
        <v>30</v>
      </c>
      <c r="J1132" t="s">
        <v>19</v>
      </c>
      <c r="K1132" s="224">
        <f>H1132/F1132</f>
        <v>6.7696285714285711</v>
      </c>
    </row>
    <row r="1133" spans="1:11">
      <c r="A1133">
        <v>11</v>
      </c>
      <c r="B1133" s="239" t="s">
        <v>683</v>
      </c>
      <c r="C1133" s="230" t="s">
        <v>684</v>
      </c>
      <c r="D1133" t="s">
        <v>16</v>
      </c>
      <c r="E1133" t="s">
        <v>22</v>
      </c>
      <c r="F1133" s="230">
        <v>40000</v>
      </c>
      <c r="G1133" s="224">
        <v>4</v>
      </c>
      <c r="H1133" s="230">
        <v>696</v>
      </c>
      <c r="I1133" t="s">
        <v>18</v>
      </c>
      <c r="J1133" t="s">
        <v>23</v>
      </c>
      <c r="K1133" s="224">
        <f>H1133/F1133</f>
        <v>1.7399999999999999E-2</v>
      </c>
    </row>
    <row r="1134" spans="1:11">
      <c r="A1134">
        <v>288</v>
      </c>
      <c r="B1134" s="239" t="s">
        <v>1117</v>
      </c>
      <c r="C1134" s="230" t="s">
        <v>1118</v>
      </c>
      <c r="D1134" t="s">
        <v>34</v>
      </c>
      <c r="F1134" s="230">
        <v>4799</v>
      </c>
      <c r="G1134" s="224">
        <v>48469.9</v>
      </c>
      <c r="H1134" s="230">
        <v>25949.15</v>
      </c>
      <c r="I1134" t="s">
        <v>35</v>
      </c>
      <c r="J1134" t="s">
        <v>19</v>
      </c>
      <c r="K1134" s="224">
        <f>H1134/F1134</f>
        <v>5.4071994165451143</v>
      </c>
    </row>
    <row r="1135" spans="1:11">
      <c r="A1135">
        <v>201</v>
      </c>
      <c r="B1135" s="239" t="s">
        <v>685</v>
      </c>
      <c r="C1135" s="230" t="s">
        <v>686</v>
      </c>
      <c r="D1135" t="s">
        <v>16</v>
      </c>
      <c r="E1135" t="s">
        <v>22</v>
      </c>
      <c r="F1135" s="230">
        <v>49367</v>
      </c>
      <c r="G1135" s="224">
        <v>4.9400000000000004</v>
      </c>
      <c r="H1135" s="230">
        <v>858.99</v>
      </c>
      <c r="I1135" t="s">
        <v>18</v>
      </c>
      <c r="J1135" t="s">
        <v>19</v>
      </c>
      <c r="K1135" s="224">
        <f>H1135/F1135</f>
        <v>1.7400085077075779E-2</v>
      </c>
    </row>
    <row r="1136" spans="1:11">
      <c r="A1136">
        <v>221</v>
      </c>
      <c r="B1136" s="239">
        <v>9910</v>
      </c>
      <c r="C1136" s="230" t="s">
        <v>346</v>
      </c>
      <c r="D1136" t="s">
        <v>28</v>
      </c>
      <c r="E1136" t="s">
        <v>56</v>
      </c>
      <c r="F1136" s="230">
        <v>0</v>
      </c>
      <c r="G1136" s="224">
        <v>0</v>
      </c>
      <c r="H1136" s="230">
        <v>0</v>
      </c>
      <c r="I1136" t="s">
        <v>30</v>
      </c>
      <c r="J1136" t="s">
        <v>19</v>
      </c>
      <c r="K1136" s="224" t="e">
        <f>H1136/F1136</f>
        <v>#DIV/0!</v>
      </c>
    </row>
    <row r="1137" spans="1:11">
      <c r="A1137">
        <v>1</v>
      </c>
      <c r="B1137" s="239" t="s">
        <v>685</v>
      </c>
      <c r="C1137" s="230" t="s">
        <v>686</v>
      </c>
      <c r="D1137" t="s">
        <v>16</v>
      </c>
      <c r="E1137" t="s">
        <v>22</v>
      </c>
      <c r="F1137" s="230">
        <v>21538</v>
      </c>
      <c r="G1137" s="224">
        <v>2.15</v>
      </c>
      <c r="H1137" s="230">
        <v>374.76</v>
      </c>
      <c r="I1137" t="s">
        <v>18</v>
      </c>
      <c r="J1137" t="s">
        <v>23</v>
      </c>
      <c r="K1137" s="224">
        <f>H1137/F1137</f>
        <v>1.7399944284520383E-2</v>
      </c>
    </row>
    <row r="1138" spans="1:11">
      <c r="A1138">
        <v>1</v>
      </c>
      <c r="B1138" s="239" t="s">
        <v>687</v>
      </c>
      <c r="C1138" s="230" t="s">
        <v>688</v>
      </c>
      <c r="D1138" t="s">
        <v>16</v>
      </c>
      <c r="E1138" t="s">
        <v>22</v>
      </c>
      <c r="F1138" s="230">
        <v>7306</v>
      </c>
      <c r="G1138" s="224">
        <v>0.73</v>
      </c>
      <c r="H1138" s="230">
        <v>222.83</v>
      </c>
      <c r="I1138" t="s">
        <v>18</v>
      </c>
      <c r="J1138" t="s">
        <v>23</v>
      </c>
      <c r="K1138" s="224">
        <f>H1138/F1138</f>
        <v>3.0499589378592939E-2</v>
      </c>
    </row>
    <row r="1139" spans="1:11">
      <c r="A1139">
        <v>201</v>
      </c>
      <c r="B1139" s="239" t="s">
        <v>687</v>
      </c>
      <c r="C1139" s="230" t="s">
        <v>688</v>
      </c>
      <c r="D1139" t="s">
        <v>16</v>
      </c>
      <c r="E1139" t="s">
        <v>22</v>
      </c>
      <c r="F1139" s="230">
        <v>12428</v>
      </c>
      <c r="G1139" s="224">
        <v>1.24</v>
      </c>
      <c r="H1139" s="230">
        <v>379.05</v>
      </c>
      <c r="I1139" t="s">
        <v>18</v>
      </c>
      <c r="J1139" t="s">
        <v>19</v>
      </c>
      <c r="K1139" s="224">
        <f>H1139/F1139</f>
        <v>3.0499678146121662E-2</v>
      </c>
    </row>
    <row r="1140" spans="1:11">
      <c r="A1140">
        <v>223</v>
      </c>
      <c r="B1140" s="239" t="s">
        <v>605</v>
      </c>
      <c r="C1140" s="230" t="s">
        <v>606</v>
      </c>
      <c r="D1140" t="s">
        <v>16</v>
      </c>
      <c r="E1140" t="s">
        <v>22</v>
      </c>
      <c r="F1140" s="230">
        <v>20000</v>
      </c>
      <c r="G1140" s="224">
        <v>2</v>
      </c>
      <c r="H1140" s="230">
        <v>236</v>
      </c>
      <c r="I1140" t="s">
        <v>18</v>
      </c>
      <c r="J1140" t="s">
        <v>19</v>
      </c>
      <c r="K1140" s="224">
        <f>H1140/F1140</f>
        <v>1.18E-2</v>
      </c>
    </row>
    <row r="1141" spans="1:11">
      <c r="A1141">
        <v>11</v>
      </c>
      <c r="B1141" s="239" t="s">
        <v>687</v>
      </c>
      <c r="C1141" s="230" t="s">
        <v>688</v>
      </c>
      <c r="D1141" t="s">
        <v>16</v>
      </c>
      <c r="E1141" t="s">
        <v>22</v>
      </c>
      <c r="F1141" s="230">
        <v>20000</v>
      </c>
      <c r="G1141" s="224">
        <v>2</v>
      </c>
      <c r="H1141" s="230">
        <v>610</v>
      </c>
      <c r="I1141" t="s">
        <v>18</v>
      </c>
      <c r="J1141" t="s">
        <v>23</v>
      </c>
      <c r="K1141" s="224">
        <f>H1141/F1141</f>
        <v>3.0499999999999999E-2</v>
      </c>
    </row>
    <row r="1142" spans="1:11">
      <c r="A1142">
        <v>211</v>
      </c>
      <c r="B1142" s="239">
        <v>5806</v>
      </c>
      <c r="C1142" s="230" t="s">
        <v>262</v>
      </c>
      <c r="D1142" t="s">
        <v>28</v>
      </c>
      <c r="E1142" t="s">
        <v>29</v>
      </c>
      <c r="F1142" s="230">
        <v>1287</v>
      </c>
      <c r="G1142" s="224">
        <v>46846.8</v>
      </c>
      <c r="H1142" s="230">
        <v>19086.34</v>
      </c>
      <c r="I1142" t="s">
        <v>30</v>
      </c>
      <c r="J1142" t="s">
        <v>19</v>
      </c>
      <c r="K1142" s="224">
        <f>H1142/F1142</f>
        <v>14.830101010101011</v>
      </c>
    </row>
    <row r="1143" spans="1:11">
      <c r="A1143">
        <v>222</v>
      </c>
      <c r="B1143" s="239" t="s">
        <v>51</v>
      </c>
      <c r="C1143" s="230" t="s">
        <v>52</v>
      </c>
      <c r="D1143" t="s">
        <v>43</v>
      </c>
      <c r="F1143" s="230">
        <v>205028.52</v>
      </c>
      <c r="G1143" s="224">
        <v>205028.52</v>
      </c>
      <c r="H1143" s="230">
        <v>65875.66</v>
      </c>
      <c r="I1143" t="s">
        <v>44</v>
      </c>
      <c r="J1143" t="s">
        <v>19</v>
      </c>
      <c r="K1143" s="224">
        <f>H1143/F1143</f>
        <v>0.32129998304626112</v>
      </c>
    </row>
    <row r="1144" spans="1:11">
      <c r="A1144">
        <v>223</v>
      </c>
      <c r="B1144" s="239" t="s">
        <v>2776</v>
      </c>
      <c r="C1144" s="230" t="s">
        <v>2777</v>
      </c>
      <c r="D1144" t="s">
        <v>16</v>
      </c>
      <c r="E1144" t="s">
        <v>22</v>
      </c>
      <c r="F1144" s="230">
        <v>40000</v>
      </c>
      <c r="G1144" s="224">
        <v>4</v>
      </c>
      <c r="H1144" s="230">
        <v>528</v>
      </c>
      <c r="I1144" t="s">
        <v>18</v>
      </c>
      <c r="J1144" t="s">
        <v>19</v>
      </c>
      <c r="K1144" s="224">
        <f>H1144/F1144</f>
        <v>1.32E-2</v>
      </c>
    </row>
    <row r="1145" spans="1:11">
      <c r="A1145">
        <v>88</v>
      </c>
      <c r="B1145" s="239" t="s">
        <v>303</v>
      </c>
      <c r="C1145" s="230" t="s">
        <v>304</v>
      </c>
      <c r="D1145" t="s">
        <v>34</v>
      </c>
      <c r="F1145" s="230">
        <v>-850</v>
      </c>
      <c r="G1145" s="224">
        <v>-10200</v>
      </c>
      <c r="H1145" s="230">
        <v>-10199.66</v>
      </c>
      <c r="I1145" t="s">
        <v>44</v>
      </c>
      <c r="J1145" t="s">
        <v>23</v>
      </c>
      <c r="K1145" s="224">
        <f>H1145/F1145</f>
        <v>11.999599999999999</v>
      </c>
    </row>
    <row r="1146" spans="1:11">
      <c r="A1146">
        <v>201</v>
      </c>
      <c r="B1146" s="239" t="s">
        <v>689</v>
      </c>
      <c r="C1146" s="230" t="s">
        <v>690</v>
      </c>
      <c r="D1146" t="s">
        <v>43</v>
      </c>
      <c r="F1146" s="230">
        <v>268.2</v>
      </c>
      <c r="G1146" s="224">
        <v>268.2</v>
      </c>
      <c r="H1146" s="230">
        <v>7225.82</v>
      </c>
      <c r="I1146" t="s">
        <v>44</v>
      </c>
      <c r="J1146" t="s">
        <v>19</v>
      </c>
      <c r="K1146" s="224">
        <f>H1146/F1146</f>
        <v>26.941909023117077</v>
      </c>
    </row>
    <row r="1147" spans="1:11">
      <c r="A1147">
        <v>601</v>
      </c>
      <c r="B1147" s="239" t="s">
        <v>2347</v>
      </c>
      <c r="C1147" s="230" t="s">
        <v>2348</v>
      </c>
      <c r="D1147" t="s">
        <v>187</v>
      </c>
      <c r="E1147" t="s">
        <v>188</v>
      </c>
      <c r="F1147" s="230">
        <v>-2</v>
      </c>
      <c r="G1147" s="224">
        <v>-5502.8</v>
      </c>
      <c r="H1147" s="230">
        <v>-2636.98</v>
      </c>
      <c r="I1147" t="s">
        <v>30</v>
      </c>
      <c r="J1147" t="s">
        <v>59</v>
      </c>
      <c r="K1147" s="224">
        <f>H1147/F1147</f>
        <v>1318.49</v>
      </c>
    </row>
    <row r="1148" spans="1:11">
      <c r="A1148">
        <v>11</v>
      </c>
      <c r="B1148" s="239">
        <v>9660</v>
      </c>
      <c r="C1148" s="230" t="s">
        <v>275</v>
      </c>
      <c r="D1148" t="s">
        <v>28</v>
      </c>
      <c r="E1148" t="s">
        <v>56</v>
      </c>
      <c r="F1148" s="230">
        <v>1625</v>
      </c>
      <c r="G1148" s="224">
        <v>50375</v>
      </c>
      <c r="H1148" s="230">
        <v>27578.85</v>
      </c>
      <c r="I1148" t="s">
        <v>30</v>
      </c>
      <c r="J1148" t="s">
        <v>23</v>
      </c>
      <c r="K1148" s="224">
        <f>H1148/F1148</f>
        <v>16.971599999999999</v>
      </c>
    </row>
    <row r="1149" spans="1:11">
      <c r="A1149">
        <v>11</v>
      </c>
      <c r="B1149" s="239">
        <v>5006</v>
      </c>
      <c r="C1149" s="230" t="s">
        <v>691</v>
      </c>
      <c r="D1149" t="s">
        <v>28</v>
      </c>
      <c r="E1149" t="s">
        <v>29</v>
      </c>
      <c r="F1149" s="230">
        <v>689</v>
      </c>
      <c r="G1149" s="224">
        <v>25079.599999999999</v>
      </c>
      <c r="H1149" s="230">
        <v>6644.84</v>
      </c>
      <c r="I1149" t="s">
        <v>30</v>
      </c>
      <c r="J1149" t="s">
        <v>23</v>
      </c>
      <c r="K1149" s="224">
        <f>H1149/F1149</f>
        <v>9.6441799709724236</v>
      </c>
    </row>
    <row r="1150" spans="1:11">
      <c r="A1150">
        <v>288</v>
      </c>
      <c r="B1150" s="239" t="s">
        <v>689</v>
      </c>
      <c r="C1150" s="230" t="s">
        <v>690</v>
      </c>
      <c r="D1150" t="s">
        <v>43</v>
      </c>
      <c r="F1150" s="230">
        <v>0</v>
      </c>
      <c r="G1150" s="224">
        <v>0</v>
      </c>
      <c r="H1150" s="230">
        <v>0</v>
      </c>
      <c r="I1150" t="s">
        <v>44</v>
      </c>
      <c r="J1150" t="s">
        <v>19</v>
      </c>
      <c r="K1150" s="224" t="e">
        <f>H1150/F1150</f>
        <v>#DIV/0!</v>
      </c>
    </row>
    <row r="1151" spans="1:11">
      <c r="A1151">
        <v>11</v>
      </c>
      <c r="B1151" s="239">
        <v>5006</v>
      </c>
      <c r="C1151" s="230" t="s">
        <v>691</v>
      </c>
      <c r="D1151" t="s">
        <v>16</v>
      </c>
      <c r="E1151" t="s">
        <v>88</v>
      </c>
      <c r="F1151" s="230">
        <v>-12</v>
      </c>
      <c r="G1151" s="224">
        <v>-109.2</v>
      </c>
      <c r="H1151" s="230">
        <v>-28.93</v>
      </c>
      <c r="I1151" t="s">
        <v>30</v>
      </c>
      <c r="J1151" t="s">
        <v>23</v>
      </c>
      <c r="K1151" s="224">
        <f>H1151/F1151</f>
        <v>2.4108333333333332</v>
      </c>
    </row>
    <row r="1152" spans="1:11">
      <c r="A1152">
        <v>11</v>
      </c>
      <c r="B1152" s="239" t="s">
        <v>692</v>
      </c>
      <c r="C1152" s="230" t="s">
        <v>2858</v>
      </c>
      <c r="D1152" t="s">
        <v>16</v>
      </c>
      <c r="E1152" t="s">
        <v>22</v>
      </c>
      <c r="F1152" s="230">
        <v>70000</v>
      </c>
      <c r="G1152" s="224">
        <v>7</v>
      </c>
      <c r="H1152" s="230">
        <v>938</v>
      </c>
      <c r="I1152" t="s">
        <v>18</v>
      </c>
      <c r="J1152" t="s">
        <v>23</v>
      </c>
      <c r="K1152" s="224">
        <f>H1152/F1152</f>
        <v>1.34E-2</v>
      </c>
    </row>
    <row r="1153" spans="1:11">
      <c r="A1153">
        <v>288</v>
      </c>
      <c r="B1153" s="239">
        <v>9123</v>
      </c>
      <c r="C1153" s="230" t="s">
        <v>238</v>
      </c>
      <c r="D1153" t="s">
        <v>28</v>
      </c>
      <c r="E1153" t="s">
        <v>29</v>
      </c>
      <c r="F1153" s="230">
        <v>0</v>
      </c>
      <c r="G1153" s="224">
        <v>0</v>
      </c>
      <c r="H1153" s="230">
        <v>-901.99</v>
      </c>
      <c r="I1153" t="s">
        <v>30</v>
      </c>
      <c r="J1153" t="s">
        <v>19</v>
      </c>
      <c r="K1153" s="224" t="e">
        <f>H1153/F1153</f>
        <v>#DIV/0!</v>
      </c>
    </row>
    <row r="1154" spans="1:11">
      <c r="A1154">
        <v>223</v>
      </c>
      <c r="B1154" s="239" t="s">
        <v>609</v>
      </c>
      <c r="C1154" s="230" t="s">
        <v>610</v>
      </c>
      <c r="D1154" t="s">
        <v>16</v>
      </c>
      <c r="E1154" t="s">
        <v>17</v>
      </c>
      <c r="F1154" s="230">
        <v>21010</v>
      </c>
      <c r="G1154" s="224">
        <v>21010</v>
      </c>
      <c r="H1154" s="230">
        <v>11639.55</v>
      </c>
      <c r="I1154" t="s">
        <v>18</v>
      </c>
      <c r="J1154" t="s">
        <v>19</v>
      </c>
      <c r="K1154" s="224">
        <f>H1154/F1154</f>
        <v>0.55400047596382673</v>
      </c>
    </row>
    <row r="1155" spans="1:11">
      <c r="A1155">
        <v>211</v>
      </c>
      <c r="B1155" s="239">
        <v>4227</v>
      </c>
      <c r="C1155" s="230" t="s">
        <v>435</v>
      </c>
      <c r="D1155" t="s">
        <v>28</v>
      </c>
      <c r="E1155" t="s">
        <v>406</v>
      </c>
      <c r="F1155" s="230">
        <v>90</v>
      </c>
      <c r="G1155" s="224">
        <v>3174.3</v>
      </c>
      <c r="H1155" s="230">
        <v>1602.78</v>
      </c>
      <c r="I1155" t="s">
        <v>30</v>
      </c>
      <c r="J1155" t="s">
        <v>19</v>
      </c>
      <c r="K1155" s="224">
        <f>H1155/F1155</f>
        <v>17.808666666666667</v>
      </c>
    </row>
    <row r="1156" spans="1:11">
      <c r="A1156">
        <v>201</v>
      </c>
      <c r="B1156" s="239" t="s">
        <v>692</v>
      </c>
      <c r="C1156" s="230" t="s">
        <v>2858</v>
      </c>
      <c r="D1156" t="s">
        <v>16</v>
      </c>
      <c r="E1156" t="s">
        <v>22</v>
      </c>
      <c r="F1156" s="230">
        <v>86432</v>
      </c>
      <c r="G1156" s="224">
        <v>8.64</v>
      </c>
      <c r="H1156" s="230">
        <v>1158.19</v>
      </c>
      <c r="I1156" t="s">
        <v>18</v>
      </c>
      <c r="J1156" t="s">
        <v>19</v>
      </c>
      <c r="K1156" s="224">
        <f>H1156/F1156</f>
        <v>1.340001388374676E-2</v>
      </c>
    </row>
    <row r="1157" spans="1:11">
      <c r="A1157">
        <v>11</v>
      </c>
      <c r="B1157" s="239" t="s">
        <v>693</v>
      </c>
      <c r="C1157" s="230" t="s">
        <v>694</v>
      </c>
      <c r="D1157" t="s">
        <v>16</v>
      </c>
      <c r="E1157" t="s">
        <v>22</v>
      </c>
      <c r="F1157" s="230">
        <v>90000</v>
      </c>
      <c r="G1157" s="224">
        <v>9</v>
      </c>
      <c r="H1157" s="230">
        <v>2088</v>
      </c>
      <c r="I1157" t="s">
        <v>18</v>
      </c>
      <c r="J1157" t="s">
        <v>23</v>
      </c>
      <c r="K1157" s="224">
        <f>H1157/F1157</f>
        <v>2.3199999999999998E-2</v>
      </c>
    </row>
    <row r="1158" spans="1:11">
      <c r="A1158">
        <v>223</v>
      </c>
      <c r="B1158" s="239" t="s">
        <v>526</v>
      </c>
      <c r="C1158" s="230" t="s">
        <v>527</v>
      </c>
      <c r="D1158" t="s">
        <v>16</v>
      </c>
      <c r="E1158" t="s">
        <v>17</v>
      </c>
      <c r="F1158" s="230">
        <v>17006</v>
      </c>
      <c r="G1158" s="224">
        <v>17006</v>
      </c>
      <c r="H1158" s="230">
        <v>13776.56</v>
      </c>
      <c r="I1158" t="s">
        <v>18</v>
      </c>
      <c r="J1158" t="s">
        <v>19</v>
      </c>
      <c r="K1158" s="224">
        <f>H1158/F1158</f>
        <v>0.81009996471833468</v>
      </c>
    </row>
    <row r="1159" spans="1:11">
      <c r="A1159">
        <v>1</v>
      </c>
      <c r="B1159" s="239" t="s">
        <v>693</v>
      </c>
      <c r="C1159" s="230" t="s">
        <v>694</v>
      </c>
      <c r="D1159" t="s">
        <v>16</v>
      </c>
      <c r="E1159" t="s">
        <v>22</v>
      </c>
      <c r="F1159" s="230">
        <v>16031</v>
      </c>
      <c r="G1159" s="224">
        <v>1.6</v>
      </c>
      <c r="H1159" s="230">
        <v>278.94</v>
      </c>
      <c r="I1159" t="s">
        <v>18</v>
      </c>
      <c r="J1159" t="s">
        <v>23</v>
      </c>
      <c r="K1159" s="224">
        <f>H1159/F1159</f>
        <v>1.740003742748425E-2</v>
      </c>
    </row>
    <row r="1160" spans="1:11">
      <c r="A1160">
        <v>201</v>
      </c>
      <c r="B1160" s="239" t="s">
        <v>693</v>
      </c>
      <c r="C1160" s="230" t="s">
        <v>694</v>
      </c>
      <c r="D1160" t="s">
        <v>16</v>
      </c>
      <c r="E1160" t="s">
        <v>22</v>
      </c>
      <c r="F1160" s="230">
        <v>22878</v>
      </c>
      <c r="G1160" s="224">
        <v>2.29</v>
      </c>
      <c r="H1160" s="230">
        <v>398.08</v>
      </c>
      <c r="I1160" t="s">
        <v>18</v>
      </c>
      <c r="J1160" t="s">
        <v>19</v>
      </c>
      <c r="K1160" s="224">
        <f>H1160/F1160</f>
        <v>1.7400122388320657E-2</v>
      </c>
    </row>
    <row r="1161" spans="1:11">
      <c r="A1161">
        <v>223</v>
      </c>
      <c r="B1161" s="239" t="s">
        <v>700</v>
      </c>
      <c r="C1161" s="230" t="s">
        <v>701</v>
      </c>
      <c r="D1161" t="s">
        <v>16</v>
      </c>
      <c r="E1161" t="s">
        <v>22</v>
      </c>
      <c r="F1161" s="230">
        <v>20000</v>
      </c>
      <c r="G1161" s="224">
        <v>2</v>
      </c>
      <c r="H1161" s="230">
        <v>236</v>
      </c>
      <c r="I1161" t="s">
        <v>18</v>
      </c>
      <c r="J1161" t="s">
        <v>19</v>
      </c>
      <c r="K1161" s="224">
        <f>H1161/F1161</f>
        <v>1.18E-2</v>
      </c>
    </row>
    <row r="1162" spans="1:11">
      <c r="A1162">
        <v>11</v>
      </c>
      <c r="B1162" s="239">
        <v>4142</v>
      </c>
      <c r="C1162" s="230" t="s">
        <v>302</v>
      </c>
      <c r="D1162" t="s">
        <v>28</v>
      </c>
      <c r="E1162" t="s">
        <v>54</v>
      </c>
      <c r="F1162" s="230">
        <v>10</v>
      </c>
      <c r="G1162" s="224">
        <v>405</v>
      </c>
      <c r="H1162" s="230">
        <v>180.03</v>
      </c>
      <c r="I1162" t="s">
        <v>30</v>
      </c>
      <c r="J1162" t="s">
        <v>59</v>
      </c>
      <c r="K1162" s="224">
        <f>H1162/F1162</f>
        <v>18.003</v>
      </c>
    </row>
    <row r="1163" spans="1:11">
      <c r="A1163">
        <v>288</v>
      </c>
      <c r="B1163" s="239" t="s">
        <v>695</v>
      </c>
      <c r="C1163" s="230" t="s">
        <v>696</v>
      </c>
      <c r="D1163" t="s">
        <v>43</v>
      </c>
      <c r="F1163" s="230">
        <v>0</v>
      </c>
      <c r="G1163" s="224">
        <v>0</v>
      </c>
      <c r="H1163" s="230">
        <v>0</v>
      </c>
      <c r="I1163" t="s">
        <v>44</v>
      </c>
      <c r="J1163" t="s">
        <v>19</v>
      </c>
      <c r="K1163" s="224" t="e">
        <f>H1163/F1163</f>
        <v>#DIV/0!</v>
      </c>
    </row>
    <row r="1164" spans="1:11">
      <c r="A1164">
        <v>223</v>
      </c>
      <c r="B1164" s="239">
        <v>9910</v>
      </c>
      <c r="C1164" s="230" t="s">
        <v>346</v>
      </c>
      <c r="D1164" t="s">
        <v>28</v>
      </c>
      <c r="E1164" t="s">
        <v>56</v>
      </c>
      <c r="F1164" s="230">
        <v>32907</v>
      </c>
      <c r="G1164" s="224">
        <v>721979.58</v>
      </c>
      <c r="H1164" s="230">
        <v>376906.91</v>
      </c>
      <c r="I1164" t="s">
        <v>30</v>
      </c>
      <c r="J1164" t="s">
        <v>19</v>
      </c>
      <c r="K1164" s="224">
        <f>H1164/F1164</f>
        <v>11.453700124593551</v>
      </c>
    </row>
    <row r="1165" spans="1:11">
      <c r="A1165">
        <v>288</v>
      </c>
      <c r="B1165" s="239">
        <v>5806</v>
      </c>
      <c r="C1165" s="230" t="s">
        <v>262</v>
      </c>
      <c r="D1165" t="s">
        <v>28</v>
      </c>
      <c r="E1165" t="s">
        <v>29</v>
      </c>
      <c r="F1165" s="230">
        <v>-7</v>
      </c>
      <c r="G1165" s="224">
        <v>-254.8</v>
      </c>
      <c r="H1165" s="230">
        <v>193.18</v>
      </c>
      <c r="I1165" t="s">
        <v>30</v>
      </c>
      <c r="J1165" t="s">
        <v>19</v>
      </c>
      <c r="K1165" s="224">
        <f>H1165/F1165</f>
        <v>-27.59714285714286</v>
      </c>
    </row>
    <row r="1166" spans="1:11">
      <c r="A1166">
        <v>201</v>
      </c>
      <c r="B1166" s="239">
        <v>4142</v>
      </c>
      <c r="C1166" s="230" t="s">
        <v>302</v>
      </c>
      <c r="D1166" t="s">
        <v>28</v>
      </c>
      <c r="E1166" t="s">
        <v>54</v>
      </c>
      <c r="F1166" s="230">
        <v>1</v>
      </c>
      <c r="G1166" s="224">
        <v>40.5</v>
      </c>
      <c r="H1166" s="230">
        <v>18.690000000000001</v>
      </c>
      <c r="I1166" t="s">
        <v>30</v>
      </c>
      <c r="J1166" t="s">
        <v>59</v>
      </c>
      <c r="K1166" s="224">
        <f>H1166/F1166</f>
        <v>18.690000000000001</v>
      </c>
    </row>
    <row r="1167" spans="1:11">
      <c r="A1167">
        <v>602</v>
      </c>
      <c r="B1167" s="239">
        <v>4142</v>
      </c>
      <c r="C1167" s="230" t="s">
        <v>302</v>
      </c>
      <c r="D1167" t="s">
        <v>28</v>
      </c>
      <c r="E1167" t="s">
        <v>54</v>
      </c>
      <c r="F1167" s="230">
        <v>329</v>
      </c>
      <c r="G1167" s="224">
        <v>13324.5</v>
      </c>
      <c r="H1167" s="230">
        <v>5940.78</v>
      </c>
      <c r="I1167" t="s">
        <v>30</v>
      </c>
      <c r="J1167" t="s">
        <v>59</v>
      </c>
      <c r="K1167" s="224">
        <f>H1167/F1167</f>
        <v>18.057082066869299</v>
      </c>
    </row>
    <row r="1168" spans="1:11">
      <c r="A1168">
        <v>211</v>
      </c>
      <c r="B1168" s="239">
        <v>4142</v>
      </c>
      <c r="C1168" s="230" t="s">
        <v>302</v>
      </c>
      <c r="D1168" t="s">
        <v>28</v>
      </c>
      <c r="E1168" t="s">
        <v>54</v>
      </c>
      <c r="F1168" s="230">
        <v>528</v>
      </c>
      <c r="G1168" s="224">
        <v>21384</v>
      </c>
      <c r="H1168" s="230">
        <v>9870.2199999999993</v>
      </c>
      <c r="I1168" t="s">
        <v>30</v>
      </c>
      <c r="J1168" t="s">
        <v>59</v>
      </c>
      <c r="K1168" s="224">
        <f>H1168/F1168</f>
        <v>18.693598484848483</v>
      </c>
    </row>
    <row r="1169" spans="1:11">
      <c r="A1169">
        <v>223</v>
      </c>
      <c r="B1169" s="239" t="s">
        <v>133</v>
      </c>
      <c r="C1169" s="230" t="s">
        <v>134</v>
      </c>
      <c r="D1169" t="s">
        <v>16</v>
      </c>
      <c r="E1169" t="s">
        <v>26</v>
      </c>
      <c r="F1169" s="230">
        <v>175000</v>
      </c>
      <c r="G1169" s="224">
        <v>175</v>
      </c>
      <c r="H1169" s="230">
        <v>4182.5</v>
      </c>
      <c r="I1169" t="s">
        <v>18</v>
      </c>
      <c r="J1169" t="s">
        <v>19</v>
      </c>
      <c r="K1169" s="224">
        <f>H1169/F1169</f>
        <v>2.3900000000000001E-2</v>
      </c>
    </row>
    <row r="1170" spans="1:11">
      <c r="A1170">
        <v>601</v>
      </c>
      <c r="B1170" s="239">
        <v>4142</v>
      </c>
      <c r="C1170" s="230" t="s">
        <v>302</v>
      </c>
      <c r="D1170" t="s">
        <v>28</v>
      </c>
      <c r="E1170" t="s">
        <v>54</v>
      </c>
      <c r="F1170" s="230">
        <v>1090</v>
      </c>
      <c r="G1170" s="224">
        <v>44145</v>
      </c>
      <c r="H1170" s="230">
        <v>19598.86</v>
      </c>
      <c r="I1170" t="s">
        <v>30</v>
      </c>
      <c r="J1170" t="s">
        <v>59</v>
      </c>
      <c r="K1170" s="224">
        <f>H1170/F1170</f>
        <v>17.980605504587157</v>
      </c>
    </row>
    <row r="1171" spans="1:11">
      <c r="A1171">
        <v>88</v>
      </c>
      <c r="B1171" s="239">
        <v>9102</v>
      </c>
      <c r="C1171" s="230" t="s">
        <v>705</v>
      </c>
      <c r="D1171" t="s">
        <v>28</v>
      </c>
      <c r="E1171" t="s">
        <v>29</v>
      </c>
      <c r="F1171" s="230">
        <v>0</v>
      </c>
      <c r="G1171" s="224">
        <v>0</v>
      </c>
      <c r="H1171" s="230">
        <v>0</v>
      </c>
      <c r="I1171" t="s">
        <v>30</v>
      </c>
      <c r="J1171" t="s">
        <v>23</v>
      </c>
      <c r="K1171" s="224" t="e">
        <f>H1171/F1171</f>
        <v>#DIV/0!</v>
      </c>
    </row>
    <row r="1172" spans="1:11">
      <c r="A1172">
        <v>201</v>
      </c>
      <c r="B1172" s="239" t="s">
        <v>695</v>
      </c>
      <c r="C1172" s="230" t="s">
        <v>696</v>
      </c>
      <c r="D1172" t="s">
        <v>43</v>
      </c>
      <c r="F1172" s="230">
        <v>1488.4</v>
      </c>
      <c r="G1172" s="224">
        <v>1488.4</v>
      </c>
      <c r="H1172" s="230">
        <v>30341.78</v>
      </c>
      <c r="I1172" t="s">
        <v>44</v>
      </c>
      <c r="J1172" t="s">
        <v>19</v>
      </c>
      <c r="K1172" s="224">
        <f>H1172/F1172</f>
        <v>20.385501209352324</v>
      </c>
    </row>
    <row r="1173" spans="1:11">
      <c r="A1173">
        <v>603</v>
      </c>
      <c r="B1173" s="239">
        <v>4142</v>
      </c>
      <c r="C1173" s="230" t="s">
        <v>302</v>
      </c>
      <c r="D1173" t="s">
        <v>28</v>
      </c>
      <c r="E1173" t="s">
        <v>54</v>
      </c>
      <c r="F1173" s="230">
        <v>214</v>
      </c>
      <c r="G1173" s="224">
        <v>8667</v>
      </c>
      <c r="H1173" s="230">
        <v>3917.15</v>
      </c>
      <c r="I1173" t="s">
        <v>30</v>
      </c>
      <c r="J1173" t="s">
        <v>59</v>
      </c>
      <c r="K1173" s="224">
        <f>H1173/F1173</f>
        <v>18.304439252336451</v>
      </c>
    </row>
    <row r="1174" spans="1:11">
      <c r="A1174">
        <v>11</v>
      </c>
      <c r="B1174" s="239" t="s">
        <v>439</v>
      </c>
      <c r="C1174" s="230" t="s">
        <v>440</v>
      </c>
      <c r="D1174" t="s">
        <v>16</v>
      </c>
      <c r="E1174" t="s">
        <v>22</v>
      </c>
      <c r="F1174" s="230">
        <v>5000</v>
      </c>
      <c r="G1174" s="224">
        <v>0.5</v>
      </c>
      <c r="H1174" s="230">
        <v>66.5</v>
      </c>
      <c r="I1174" t="s">
        <v>18</v>
      </c>
      <c r="J1174" t="s">
        <v>23</v>
      </c>
      <c r="K1174" s="224">
        <f>H1174/F1174</f>
        <v>1.3299999999999999E-2</v>
      </c>
    </row>
    <row r="1175" spans="1:11">
      <c r="A1175">
        <v>288</v>
      </c>
      <c r="B1175" s="239">
        <v>4142</v>
      </c>
      <c r="C1175" s="230" t="s">
        <v>302</v>
      </c>
      <c r="D1175" t="s">
        <v>28</v>
      </c>
      <c r="E1175" t="s">
        <v>54</v>
      </c>
      <c r="F1175" s="230">
        <v>-1</v>
      </c>
      <c r="G1175" s="224">
        <v>-40.5</v>
      </c>
      <c r="H1175" s="230">
        <v>-218.91</v>
      </c>
      <c r="I1175" t="s">
        <v>30</v>
      </c>
      <c r="J1175" t="s">
        <v>59</v>
      </c>
      <c r="K1175" s="224">
        <f>H1175/F1175</f>
        <v>218.91</v>
      </c>
    </row>
    <row r="1176" spans="1:11">
      <c r="A1176">
        <v>11</v>
      </c>
      <c r="B1176" s="239">
        <v>7506</v>
      </c>
      <c r="C1176" s="230" t="s">
        <v>102</v>
      </c>
      <c r="D1176" t="s">
        <v>16</v>
      </c>
      <c r="E1176" t="s">
        <v>88</v>
      </c>
      <c r="F1176" s="230">
        <v>-6</v>
      </c>
      <c r="G1176" s="224">
        <v>-54.6</v>
      </c>
      <c r="H1176" s="230">
        <v>-2.57</v>
      </c>
      <c r="I1176" t="s">
        <v>30</v>
      </c>
      <c r="J1176" t="s">
        <v>23</v>
      </c>
      <c r="K1176" s="224">
        <f>H1176/F1176</f>
        <v>0.42833333333333329</v>
      </c>
    </row>
    <row r="1177" spans="1:11">
      <c r="A1177">
        <v>11</v>
      </c>
      <c r="B1177" s="239">
        <v>7506</v>
      </c>
      <c r="C1177" s="230" t="s">
        <v>102</v>
      </c>
      <c r="D1177" t="s">
        <v>28</v>
      </c>
      <c r="E1177" t="s">
        <v>29</v>
      </c>
      <c r="F1177" s="230">
        <v>2567</v>
      </c>
      <c r="G1177" s="224">
        <v>93438.8</v>
      </c>
      <c r="H1177" s="230">
        <v>62118.559999999998</v>
      </c>
      <c r="I1177" t="s">
        <v>30</v>
      </c>
      <c r="J1177" t="s">
        <v>23</v>
      </c>
      <c r="K1177" s="224">
        <f>H1177/F1177</f>
        <v>24.1988936501753</v>
      </c>
    </row>
    <row r="1178" spans="1:11">
      <c r="A1178">
        <v>88</v>
      </c>
      <c r="B1178" s="239" t="s">
        <v>665</v>
      </c>
      <c r="C1178" s="230" t="s">
        <v>666</v>
      </c>
      <c r="D1178" t="s">
        <v>34</v>
      </c>
      <c r="F1178" s="230">
        <v>4560</v>
      </c>
      <c r="G1178" s="224">
        <v>39672</v>
      </c>
      <c r="H1178" s="230">
        <v>5207.97</v>
      </c>
      <c r="I1178" t="s">
        <v>35</v>
      </c>
      <c r="J1178" t="s">
        <v>23</v>
      </c>
      <c r="K1178" s="224">
        <f>H1178/F1178</f>
        <v>1.1420986842105263</v>
      </c>
    </row>
    <row r="1179" spans="1:11">
      <c r="A1179">
        <v>222</v>
      </c>
      <c r="B1179" s="239" t="s">
        <v>150</v>
      </c>
      <c r="C1179" s="230" t="s">
        <v>151</v>
      </c>
      <c r="D1179" t="s">
        <v>43</v>
      </c>
      <c r="F1179" s="230">
        <v>88638</v>
      </c>
      <c r="G1179" s="224">
        <v>88638</v>
      </c>
      <c r="H1179" s="230">
        <v>68694.45</v>
      </c>
      <c r="I1179" t="s">
        <v>44</v>
      </c>
      <c r="J1179" t="s">
        <v>19</v>
      </c>
      <c r="K1179" s="224">
        <f>H1179/F1179</f>
        <v>0.77500000000000002</v>
      </c>
    </row>
    <row r="1180" spans="1:11">
      <c r="A1180">
        <v>1</v>
      </c>
      <c r="B1180" s="239" t="s">
        <v>697</v>
      </c>
      <c r="C1180" s="230" t="s">
        <v>698</v>
      </c>
      <c r="D1180" t="s">
        <v>16</v>
      </c>
      <c r="E1180" t="s">
        <v>22</v>
      </c>
      <c r="F1180" s="230">
        <v>10942</v>
      </c>
      <c r="G1180" s="224">
        <v>1.0900000000000001</v>
      </c>
      <c r="H1180" s="230">
        <v>333.73</v>
      </c>
      <c r="I1180" t="s">
        <v>18</v>
      </c>
      <c r="J1180" t="s">
        <v>23</v>
      </c>
      <c r="K1180" s="224">
        <f>H1180/F1180</f>
        <v>3.049990860902943E-2</v>
      </c>
    </row>
    <row r="1181" spans="1:11">
      <c r="A1181">
        <v>201</v>
      </c>
      <c r="B1181" s="239" t="s">
        <v>697</v>
      </c>
      <c r="C1181" s="230" t="s">
        <v>698</v>
      </c>
      <c r="D1181" t="s">
        <v>16</v>
      </c>
      <c r="E1181" t="s">
        <v>22</v>
      </c>
      <c r="F1181" s="230">
        <v>27689</v>
      </c>
      <c r="G1181" s="224">
        <v>2.77</v>
      </c>
      <c r="H1181" s="230">
        <v>844.51</v>
      </c>
      <c r="I1181" t="s">
        <v>18</v>
      </c>
      <c r="J1181" t="s">
        <v>19</v>
      </c>
      <c r="K1181" s="224">
        <f>H1181/F1181</f>
        <v>3.049983748058796E-2</v>
      </c>
    </row>
    <row r="1182" spans="1:11">
      <c r="A1182">
        <v>11</v>
      </c>
      <c r="B1182" s="239">
        <v>9002</v>
      </c>
      <c r="C1182" s="230" t="s">
        <v>586</v>
      </c>
      <c r="D1182" t="s">
        <v>28</v>
      </c>
      <c r="E1182" t="s">
        <v>29</v>
      </c>
      <c r="F1182" s="230">
        <v>872</v>
      </c>
      <c r="G1182" s="224">
        <v>32124.48</v>
      </c>
      <c r="H1182" s="230">
        <v>5859.67</v>
      </c>
      <c r="I1182" t="s">
        <v>30</v>
      </c>
      <c r="J1182" t="s">
        <v>23</v>
      </c>
      <c r="K1182" s="224">
        <f>H1182/F1182</f>
        <v>6.7198050458715599</v>
      </c>
    </row>
    <row r="1183" spans="1:11">
      <c r="A1183">
        <v>11</v>
      </c>
      <c r="B1183" s="239">
        <v>9002</v>
      </c>
      <c r="C1183" s="230" t="s">
        <v>586</v>
      </c>
      <c r="D1183" t="s">
        <v>16</v>
      </c>
      <c r="E1183" t="s">
        <v>88</v>
      </c>
      <c r="F1183" s="230">
        <v>-3</v>
      </c>
      <c r="G1183" s="224">
        <v>-27.3</v>
      </c>
      <c r="H1183" s="230">
        <v>-5.04</v>
      </c>
      <c r="I1183" t="s">
        <v>30</v>
      </c>
      <c r="J1183" t="s">
        <v>23</v>
      </c>
      <c r="K1183" s="224">
        <f>H1183/F1183</f>
        <v>1.68</v>
      </c>
    </row>
    <row r="1184" spans="1:11">
      <c r="A1184">
        <v>11</v>
      </c>
      <c r="B1184" s="239">
        <v>9006</v>
      </c>
      <c r="C1184" s="230" t="s">
        <v>587</v>
      </c>
      <c r="D1184" t="s">
        <v>28</v>
      </c>
      <c r="E1184" t="s">
        <v>29</v>
      </c>
      <c r="F1184" s="230">
        <v>922</v>
      </c>
      <c r="G1184" s="224">
        <v>33560.800000000003</v>
      </c>
      <c r="H1184" s="230">
        <v>6191.51</v>
      </c>
      <c r="I1184" t="s">
        <v>30</v>
      </c>
      <c r="J1184" t="s">
        <v>23</v>
      </c>
      <c r="K1184" s="224">
        <f>H1184/F1184</f>
        <v>6.7153036876355747</v>
      </c>
    </row>
    <row r="1185" spans="1:11">
      <c r="A1185">
        <v>201</v>
      </c>
      <c r="B1185" s="239">
        <v>4617</v>
      </c>
      <c r="C1185" s="230" t="s">
        <v>36</v>
      </c>
      <c r="D1185" t="s">
        <v>28</v>
      </c>
      <c r="E1185" t="s">
        <v>32</v>
      </c>
      <c r="F1185" s="230">
        <v>341</v>
      </c>
      <c r="G1185" s="224">
        <v>9343.4</v>
      </c>
      <c r="H1185" s="230">
        <v>4963.53</v>
      </c>
      <c r="I1185" t="s">
        <v>30</v>
      </c>
      <c r="J1185" t="s">
        <v>19</v>
      </c>
      <c r="K1185" s="224">
        <f>H1185/F1185</f>
        <v>14.555806451612902</v>
      </c>
    </row>
    <row r="1186" spans="1:11">
      <c r="A1186">
        <v>88</v>
      </c>
      <c r="B1186" s="239">
        <v>7591</v>
      </c>
      <c r="C1186" s="230" t="s">
        <v>235</v>
      </c>
      <c r="D1186" t="s">
        <v>28</v>
      </c>
      <c r="E1186" t="s">
        <v>29</v>
      </c>
      <c r="F1186" s="230">
        <v>0</v>
      </c>
      <c r="G1186" s="224">
        <v>0</v>
      </c>
      <c r="H1186" s="230">
        <v>0</v>
      </c>
      <c r="I1186" t="s">
        <v>30</v>
      </c>
      <c r="J1186" t="s">
        <v>23</v>
      </c>
      <c r="K1186" s="224" t="e">
        <f>H1186/F1186</f>
        <v>#DIV/0!</v>
      </c>
    </row>
    <row r="1187" spans="1:11">
      <c r="A1187">
        <v>211</v>
      </c>
      <c r="B1187" s="239">
        <v>4502</v>
      </c>
      <c r="C1187" s="230" t="s">
        <v>89</v>
      </c>
      <c r="D1187" t="s">
        <v>28</v>
      </c>
      <c r="E1187" t="s">
        <v>29</v>
      </c>
      <c r="F1187" s="230">
        <v>2746</v>
      </c>
      <c r="G1187" s="224">
        <v>99954.4</v>
      </c>
      <c r="H1187" s="230">
        <v>43962.37</v>
      </c>
      <c r="I1187" t="s">
        <v>30</v>
      </c>
      <c r="J1187" t="s">
        <v>19</v>
      </c>
      <c r="K1187" s="224">
        <f>H1187/F1187</f>
        <v>16.009603058994902</v>
      </c>
    </row>
    <row r="1188" spans="1:11">
      <c r="A1188">
        <v>11</v>
      </c>
      <c r="B1188" s="239">
        <v>8513</v>
      </c>
      <c r="C1188" s="230" t="s">
        <v>474</v>
      </c>
      <c r="D1188" t="s">
        <v>16</v>
      </c>
      <c r="E1188" t="s">
        <v>88</v>
      </c>
      <c r="F1188" s="230">
        <v>-4</v>
      </c>
      <c r="G1188" s="224">
        <v>-18.64</v>
      </c>
      <c r="H1188" s="230">
        <v>-8.7799999999999994</v>
      </c>
      <c r="I1188" t="s">
        <v>30</v>
      </c>
      <c r="J1188" t="s">
        <v>23</v>
      </c>
      <c r="K1188" s="224">
        <f>H1188/F1188</f>
        <v>2.1949999999999998</v>
      </c>
    </row>
    <row r="1189" spans="1:11">
      <c r="A1189">
        <v>211</v>
      </c>
      <c r="B1189" s="239">
        <v>9091</v>
      </c>
      <c r="C1189" s="230" t="s">
        <v>699</v>
      </c>
      <c r="D1189" t="s">
        <v>28</v>
      </c>
      <c r="E1189" t="s">
        <v>29</v>
      </c>
      <c r="F1189" s="230">
        <v>1729</v>
      </c>
      <c r="G1189" s="224">
        <v>62935.6</v>
      </c>
      <c r="H1189" s="230">
        <v>13453.18</v>
      </c>
      <c r="I1189" t="s">
        <v>30</v>
      </c>
      <c r="J1189" t="s">
        <v>19</v>
      </c>
      <c r="K1189" s="224">
        <f>H1189/F1189</f>
        <v>7.7809022556390977</v>
      </c>
    </row>
    <row r="1190" spans="1:11">
      <c r="A1190">
        <v>11</v>
      </c>
      <c r="B1190" s="239">
        <v>8513</v>
      </c>
      <c r="C1190" s="230" t="s">
        <v>474</v>
      </c>
      <c r="D1190" t="s">
        <v>28</v>
      </c>
      <c r="E1190" t="s">
        <v>56</v>
      </c>
      <c r="F1190" s="230">
        <v>660</v>
      </c>
      <c r="G1190" s="224">
        <v>17925.599999999999</v>
      </c>
      <c r="H1190" s="230">
        <v>8687.92</v>
      </c>
      <c r="I1190" t="s">
        <v>30</v>
      </c>
      <c r="J1190" t="s">
        <v>23</v>
      </c>
      <c r="K1190" s="224">
        <f>H1190/F1190</f>
        <v>13.163515151515151</v>
      </c>
    </row>
    <row r="1191" spans="1:11">
      <c r="A1191">
        <v>223</v>
      </c>
      <c r="B1191" s="239" t="s">
        <v>703</v>
      </c>
      <c r="C1191" s="230" t="s">
        <v>704</v>
      </c>
      <c r="D1191" t="s">
        <v>16</v>
      </c>
      <c r="E1191" t="s">
        <v>22</v>
      </c>
      <c r="F1191" s="230">
        <v>20000</v>
      </c>
      <c r="G1191" s="224">
        <v>2</v>
      </c>
      <c r="H1191" s="230">
        <v>268</v>
      </c>
      <c r="I1191" t="s">
        <v>18</v>
      </c>
      <c r="J1191" t="s">
        <v>19</v>
      </c>
      <c r="K1191" s="224">
        <f>H1191/F1191</f>
        <v>1.34E-2</v>
      </c>
    </row>
    <row r="1192" spans="1:11">
      <c r="A1192">
        <v>88</v>
      </c>
      <c r="B1192" s="239" t="s">
        <v>349</v>
      </c>
      <c r="C1192" s="230" t="s">
        <v>350</v>
      </c>
      <c r="D1192" t="s">
        <v>34</v>
      </c>
      <c r="E1192" t="s">
        <v>2847</v>
      </c>
      <c r="F1192" s="230">
        <v>-53</v>
      </c>
      <c r="G1192" s="224">
        <v>-471.7</v>
      </c>
      <c r="H1192" s="230">
        <v>-180.2</v>
      </c>
      <c r="I1192" t="s">
        <v>35</v>
      </c>
      <c r="J1192" t="s">
        <v>23</v>
      </c>
      <c r="K1192" s="224">
        <f>H1192/F1192</f>
        <v>3.4</v>
      </c>
    </row>
    <row r="1193" spans="1:11">
      <c r="A1193">
        <v>223</v>
      </c>
      <c r="B1193" s="239" t="s">
        <v>436</v>
      </c>
      <c r="C1193" s="230" t="s">
        <v>437</v>
      </c>
      <c r="D1193" t="s">
        <v>16</v>
      </c>
      <c r="E1193" t="s">
        <v>88</v>
      </c>
      <c r="F1193" s="230">
        <v>0</v>
      </c>
      <c r="G1193" s="224">
        <v>0</v>
      </c>
      <c r="H1193" s="230">
        <v>0</v>
      </c>
      <c r="I1193" t="s">
        <v>35</v>
      </c>
      <c r="J1193" t="s">
        <v>19</v>
      </c>
      <c r="K1193" s="224" t="e">
        <f>H1193/F1193</f>
        <v>#DIV/0!</v>
      </c>
    </row>
    <row r="1194" spans="1:11">
      <c r="A1194">
        <v>223</v>
      </c>
      <c r="B1194" s="239" t="s">
        <v>613</v>
      </c>
      <c r="C1194" s="230" t="s">
        <v>614</v>
      </c>
      <c r="D1194" t="s">
        <v>16</v>
      </c>
      <c r="E1194" t="s">
        <v>22</v>
      </c>
      <c r="F1194" s="230">
        <v>120000</v>
      </c>
      <c r="G1194" s="224">
        <v>12</v>
      </c>
      <c r="H1194" s="230">
        <v>1260</v>
      </c>
      <c r="I1194" t="s">
        <v>18</v>
      </c>
      <c r="J1194" t="s">
        <v>59</v>
      </c>
      <c r="K1194" s="224">
        <f>H1194/F1194</f>
        <v>1.0500000000000001E-2</v>
      </c>
    </row>
    <row r="1195" spans="1:11">
      <c r="A1195">
        <v>223</v>
      </c>
      <c r="B1195" s="239" t="s">
        <v>498</v>
      </c>
      <c r="C1195" s="230" t="s">
        <v>499</v>
      </c>
      <c r="D1195" t="s">
        <v>16</v>
      </c>
      <c r="E1195" t="s">
        <v>26</v>
      </c>
      <c r="F1195" s="230">
        <v>350000</v>
      </c>
      <c r="G1195" s="224">
        <v>350</v>
      </c>
      <c r="H1195" s="230">
        <v>7560</v>
      </c>
      <c r="I1195" t="s">
        <v>18</v>
      </c>
      <c r="J1195" t="s">
        <v>19</v>
      </c>
      <c r="K1195" s="224">
        <f>H1195/F1195</f>
        <v>2.1600000000000001E-2</v>
      </c>
    </row>
    <row r="1196" spans="1:11">
      <c r="A1196">
        <v>11</v>
      </c>
      <c r="B1196" s="239">
        <v>4202</v>
      </c>
      <c r="C1196" s="230" t="s">
        <v>276</v>
      </c>
      <c r="D1196" t="s">
        <v>28</v>
      </c>
      <c r="E1196" t="s">
        <v>56</v>
      </c>
      <c r="F1196" s="230">
        <v>411</v>
      </c>
      <c r="G1196" s="224">
        <v>10686</v>
      </c>
      <c r="H1196" s="230">
        <v>4406.82</v>
      </c>
      <c r="I1196" t="s">
        <v>30</v>
      </c>
      <c r="J1196" t="s">
        <v>23</v>
      </c>
      <c r="K1196" s="224">
        <f>H1196/F1196</f>
        <v>10.722189781021896</v>
      </c>
    </row>
    <row r="1197" spans="1:11">
      <c r="A1197">
        <v>223</v>
      </c>
      <c r="B1197" s="239" t="s">
        <v>210</v>
      </c>
      <c r="C1197" s="230" t="s">
        <v>211</v>
      </c>
      <c r="D1197" t="s">
        <v>43</v>
      </c>
      <c r="E1197" t="s">
        <v>212</v>
      </c>
      <c r="F1197" s="230">
        <v>14400</v>
      </c>
      <c r="G1197" s="224">
        <v>14400</v>
      </c>
      <c r="H1197" s="230">
        <v>19124.64</v>
      </c>
      <c r="I1197" t="s">
        <v>44</v>
      </c>
      <c r="J1197" t="s">
        <v>19</v>
      </c>
      <c r="K1197" s="224">
        <f>H1197/F1197</f>
        <v>1.3281000000000001</v>
      </c>
    </row>
    <row r="1198" spans="1:11">
      <c r="A1198">
        <v>11</v>
      </c>
      <c r="B1198" s="239">
        <v>7416</v>
      </c>
      <c r="C1198" s="230" t="s">
        <v>236</v>
      </c>
      <c r="D1198" t="s">
        <v>28</v>
      </c>
      <c r="E1198" t="s">
        <v>56</v>
      </c>
      <c r="F1198" s="230">
        <v>329</v>
      </c>
      <c r="G1198" s="224">
        <v>4606</v>
      </c>
      <c r="H1198" s="230">
        <v>3145.87</v>
      </c>
      <c r="I1198" t="s">
        <v>30</v>
      </c>
      <c r="J1198" t="s">
        <v>23</v>
      </c>
      <c r="K1198" s="224">
        <f>H1198/F1198</f>
        <v>9.5619148936170202</v>
      </c>
    </row>
    <row r="1199" spans="1:11">
      <c r="A1199">
        <v>223</v>
      </c>
      <c r="B1199" s="239" t="s">
        <v>2765</v>
      </c>
      <c r="C1199" s="230" t="s">
        <v>2766</v>
      </c>
      <c r="D1199" t="s">
        <v>16</v>
      </c>
      <c r="E1199" t="s">
        <v>22</v>
      </c>
      <c r="F1199" s="230">
        <v>190000</v>
      </c>
      <c r="G1199" s="224">
        <v>19</v>
      </c>
      <c r="H1199" s="230">
        <v>2546</v>
      </c>
      <c r="I1199" t="s">
        <v>18</v>
      </c>
      <c r="J1199" t="s">
        <v>19</v>
      </c>
      <c r="K1199" s="224">
        <f>H1199/F1199</f>
        <v>1.34E-2</v>
      </c>
    </row>
    <row r="1200" spans="1:11">
      <c r="A1200">
        <v>223</v>
      </c>
      <c r="B1200" s="239" t="s">
        <v>263</v>
      </c>
      <c r="C1200" s="230" t="s">
        <v>264</v>
      </c>
      <c r="D1200" t="s">
        <v>43</v>
      </c>
      <c r="F1200" s="230">
        <v>969.1</v>
      </c>
      <c r="G1200" s="224">
        <v>969.1</v>
      </c>
      <c r="H1200" s="230">
        <v>6115.02</v>
      </c>
      <c r="I1200" t="s">
        <v>44</v>
      </c>
      <c r="J1200" t="s">
        <v>19</v>
      </c>
      <c r="K1200" s="224">
        <f>H1200/F1200</f>
        <v>6.3099989681147459</v>
      </c>
    </row>
    <row r="1201" spans="1:11">
      <c r="A1201">
        <v>223</v>
      </c>
      <c r="B1201" s="239" t="s">
        <v>180</v>
      </c>
      <c r="C1201" s="230" t="s">
        <v>181</v>
      </c>
      <c r="D1201" t="s">
        <v>16</v>
      </c>
      <c r="E1201" t="s">
        <v>22</v>
      </c>
      <c r="F1201" s="230">
        <v>40000</v>
      </c>
      <c r="G1201" s="224">
        <v>4</v>
      </c>
      <c r="H1201" s="230">
        <v>616</v>
      </c>
      <c r="I1201" t="s">
        <v>18</v>
      </c>
      <c r="J1201" t="s">
        <v>19</v>
      </c>
      <c r="K1201" s="224">
        <f>H1201/F1201</f>
        <v>1.54E-2</v>
      </c>
    </row>
    <row r="1202" spans="1:11">
      <c r="A1202">
        <v>201</v>
      </c>
      <c r="B1202" s="239" t="s">
        <v>700</v>
      </c>
      <c r="C1202" s="230" t="s">
        <v>701</v>
      </c>
      <c r="D1202" t="s">
        <v>16</v>
      </c>
      <c r="E1202" t="s">
        <v>22</v>
      </c>
      <c r="F1202" s="230">
        <v>17572</v>
      </c>
      <c r="G1202" s="224">
        <v>1.76</v>
      </c>
      <c r="H1202" s="230">
        <v>207.35</v>
      </c>
      <c r="I1202" t="s">
        <v>18</v>
      </c>
      <c r="J1202" t="s">
        <v>19</v>
      </c>
      <c r="K1202" s="224">
        <f>H1202/F1202</f>
        <v>1.1800022763487366E-2</v>
      </c>
    </row>
    <row r="1203" spans="1:11">
      <c r="A1203">
        <v>11</v>
      </c>
      <c r="B1203" s="239" t="s">
        <v>700</v>
      </c>
      <c r="C1203" s="230" t="s">
        <v>701</v>
      </c>
      <c r="D1203" t="s">
        <v>16</v>
      </c>
      <c r="E1203" t="s">
        <v>22</v>
      </c>
      <c r="F1203" s="230">
        <v>50000</v>
      </c>
      <c r="G1203" s="224">
        <v>5</v>
      </c>
      <c r="H1203" s="230">
        <v>595</v>
      </c>
      <c r="I1203" t="s">
        <v>18</v>
      </c>
      <c r="J1203" t="s">
        <v>23</v>
      </c>
      <c r="K1203" s="224">
        <f>H1203/F1203</f>
        <v>1.1900000000000001E-2</v>
      </c>
    </row>
    <row r="1204" spans="1:11">
      <c r="A1204">
        <v>211</v>
      </c>
      <c r="B1204" s="239">
        <v>4591</v>
      </c>
      <c r="C1204" s="230" t="s">
        <v>165</v>
      </c>
      <c r="D1204" t="s">
        <v>28</v>
      </c>
      <c r="E1204" t="s">
        <v>29</v>
      </c>
      <c r="F1204" s="230">
        <v>1999</v>
      </c>
      <c r="G1204" s="224">
        <v>72763.600000000006</v>
      </c>
      <c r="H1204" s="230">
        <v>32116.93</v>
      </c>
      <c r="I1204" t="s">
        <v>30</v>
      </c>
      <c r="J1204" t="s">
        <v>19</v>
      </c>
      <c r="K1204" s="224">
        <f>H1204/F1204</f>
        <v>16.066498249124564</v>
      </c>
    </row>
    <row r="1205" spans="1:11">
      <c r="A1205">
        <v>1</v>
      </c>
      <c r="B1205" s="239" t="s">
        <v>700</v>
      </c>
      <c r="C1205" s="230" t="s">
        <v>701</v>
      </c>
      <c r="D1205" t="s">
        <v>16</v>
      </c>
      <c r="E1205" t="s">
        <v>22</v>
      </c>
      <c r="F1205" s="230">
        <v>27828</v>
      </c>
      <c r="G1205" s="224">
        <v>2.78</v>
      </c>
      <c r="H1205" s="230">
        <v>333.94</v>
      </c>
      <c r="I1205" t="s">
        <v>18</v>
      </c>
      <c r="J1205" t="s">
        <v>23</v>
      </c>
      <c r="K1205" s="224">
        <f>H1205/F1205</f>
        <v>1.2000143740117868E-2</v>
      </c>
    </row>
    <row r="1206" spans="1:11">
      <c r="A1206">
        <v>211</v>
      </c>
      <c r="B1206" s="239">
        <v>6617</v>
      </c>
      <c r="C1206" s="230" t="s">
        <v>31</v>
      </c>
      <c r="D1206" t="s">
        <v>28</v>
      </c>
      <c r="E1206" t="s">
        <v>32</v>
      </c>
      <c r="F1206" s="230">
        <v>724</v>
      </c>
      <c r="G1206" s="224">
        <v>19837.599999999999</v>
      </c>
      <c r="H1206" s="230">
        <v>11255.1</v>
      </c>
      <c r="I1206" t="s">
        <v>30</v>
      </c>
      <c r="J1206" t="s">
        <v>19</v>
      </c>
      <c r="K1206" s="224">
        <f>H1206/F1206</f>
        <v>15.5457182320442</v>
      </c>
    </row>
    <row r="1207" spans="1:11">
      <c r="A1207">
        <v>11</v>
      </c>
      <c r="B1207" s="239">
        <v>9123</v>
      </c>
      <c r="C1207" s="230" t="s">
        <v>238</v>
      </c>
      <c r="D1207" t="s">
        <v>28</v>
      </c>
      <c r="E1207" t="s">
        <v>29</v>
      </c>
      <c r="F1207" s="230">
        <v>1847</v>
      </c>
      <c r="G1207" s="224">
        <v>82028.960000000006</v>
      </c>
      <c r="H1207" s="230">
        <v>44805.63</v>
      </c>
      <c r="I1207" t="s">
        <v>30</v>
      </c>
      <c r="J1207" t="s">
        <v>23</v>
      </c>
      <c r="K1207" s="224">
        <f>H1207/F1207</f>
        <v>24.258597726042229</v>
      </c>
    </row>
    <row r="1208" spans="1:11">
      <c r="A1208">
        <v>88</v>
      </c>
      <c r="B1208" s="239" t="s">
        <v>700</v>
      </c>
      <c r="C1208" s="230" t="s">
        <v>701</v>
      </c>
      <c r="D1208" t="s">
        <v>16</v>
      </c>
      <c r="E1208" t="s">
        <v>22</v>
      </c>
      <c r="F1208" s="230">
        <v>-8908</v>
      </c>
      <c r="G1208" s="224">
        <v>-0.89</v>
      </c>
      <c r="H1208" s="230">
        <v>-106.9</v>
      </c>
      <c r="I1208" t="s">
        <v>18</v>
      </c>
      <c r="J1208" t="s">
        <v>23</v>
      </c>
      <c r="K1208" s="224">
        <f>H1208/F1208</f>
        <v>1.2000449034575663E-2</v>
      </c>
    </row>
    <row r="1209" spans="1:11">
      <c r="A1209">
        <v>211</v>
      </c>
      <c r="B1209" s="239">
        <v>7540</v>
      </c>
      <c r="C1209" s="230" t="s">
        <v>358</v>
      </c>
      <c r="D1209" t="s">
        <v>28</v>
      </c>
      <c r="E1209" t="s">
        <v>29</v>
      </c>
      <c r="F1209" s="230">
        <v>169</v>
      </c>
      <c r="G1209" s="224">
        <v>6151.6</v>
      </c>
      <c r="H1209" s="230">
        <v>4137.1499999999996</v>
      </c>
      <c r="I1209" t="s">
        <v>30</v>
      </c>
      <c r="J1209" t="s">
        <v>19</v>
      </c>
      <c r="K1209" s="224">
        <f>H1209/F1209</f>
        <v>24.480177514792896</v>
      </c>
    </row>
    <row r="1210" spans="1:11">
      <c r="A1210">
        <v>211</v>
      </c>
      <c r="B1210" s="239">
        <v>4506</v>
      </c>
      <c r="C1210" s="230" t="s">
        <v>702</v>
      </c>
      <c r="D1210" t="s">
        <v>28</v>
      </c>
      <c r="E1210" t="s">
        <v>56</v>
      </c>
      <c r="F1210" s="230">
        <v>951</v>
      </c>
      <c r="G1210" s="224">
        <v>26628</v>
      </c>
      <c r="H1210" s="230">
        <v>12014.58</v>
      </c>
      <c r="I1210" t="s">
        <v>30</v>
      </c>
      <c r="J1210" t="s">
        <v>19</v>
      </c>
      <c r="K1210" s="224">
        <f>H1210/F1210</f>
        <v>12.633627760252367</v>
      </c>
    </row>
    <row r="1211" spans="1:11">
      <c r="A1211">
        <v>11</v>
      </c>
      <c r="B1211" s="239">
        <v>4225</v>
      </c>
      <c r="C1211" s="230" t="s">
        <v>193</v>
      </c>
      <c r="D1211" t="s">
        <v>28</v>
      </c>
      <c r="E1211" t="s">
        <v>56</v>
      </c>
      <c r="F1211" s="230">
        <v>245</v>
      </c>
      <c r="G1211" s="224">
        <v>3203.38</v>
      </c>
      <c r="H1211" s="230">
        <v>1538.21</v>
      </c>
      <c r="I1211" t="s">
        <v>30</v>
      </c>
      <c r="J1211" t="s">
        <v>23</v>
      </c>
      <c r="K1211" s="224">
        <f>H1211/F1211</f>
        <v>6.2784081632653059</v>
      </c>
    </row>
    <row r="1212" spans="1:11">
      <c r="A1212">
        <v>211</v>
      </c>
      <c r="B1212" s="239">
        <v>4617</v>
      </c>
      <c r="C1212" s="230" t="s">
        <v>36</v>
      </c>
      <c r="D1212" t="s">
        <v>28</v>
      </c>
      <c r="E1212" t="s">
        <v>32</v>
      </c>
      <c r="F1212" s="230">
        <v>1039</v>
      </c>
      <c r="G1212" s="224">
        <v>28468.6</v>
      </c>
      <c r="H1212" s="230">
        <v>15123.48</v>
      </c>
      <c r="I1212" t="s">
        <v>30</v>
      </c>
      <c r="J1212" t="s">
        <v>19</v>
      </c>
      <c r="K1212" s="224">
        <f>H1212/F1212</f>
        <v>14.555803657362848</v>
      </c>
    </row>
    <row r="1213" spans="1:11">
      <c r="A1213">
        <v>11</v>
      </c>
      <c r="B1213" s="239">
        <v>4506</v>
      </c>
      <c r="C1213" s="230" t="s">
        <v>702</v>
      </c>
      <c r="D1213" t="s">
        <v>16</v>
      </c>
      <c r="E1213" t="s">
        <v>88</v>
      </c>
      <c r="F1213" s="230">
        <v>-6</v>
      </c>
      <c r="G1213" s="224">
        <v>-13.02</v>
      </c>
      <c r="H1213" s="230">
        <v>-12.04</v>
      </c>
      <c r="I1213" t="s">
        <v>30</v>
      </c>
      <c r="J1213" t="s">
        <v>23</v>
      </c>
      <c r="K1213" s="224">
        <f>H1213/F1213</f>
        <v>2.0066666666666664</v>
      </c>
    </row>
    <row r="1214" spans="1:11">
      <c r="A1214">
        <v>11</v>
      </c>
      <c r="B1214" s="239">
        <v>4506</v>
      </c>
      <c r="C1214" s="230" t="s">
        <v>702</v>
      </c>
      <c r="D1214" t="s">
        <v>28</v>
      </c>
      <c r="E1214" t="s">
        <v>56</v>
      </c>
      <c r="F1214" s="230">
        <v>1869</v>
      </c>
      <c r="G1214" s="224">
        <v>52332</v>
      </c>
      <c r="H1214" s="230">
        <v>22644.39</v>
      </c>
      <c r="I1214" t="s">
        <v>30</v>
      </c>
      <c r="J1214" t="s">
        <v>23</v>
      </c>
      <c r="K1214" s="224">
        <f>H1214/F1214</f>
        <v>12.115778491171749</v>
      </c>
    </row>
    <row r="1215" spans="1:11">
      <c r="A1215">
        <v>201</v>
      </c>
      <c r="B1215" s="239" t="s">
        <v>703</v>
      </c>
      <c r="C1215" s="230" t="s">
        <v>704</v>
      </c>
      <c r="D1215" t="s">
        <v>16</v>
      </c>
      <c r="E1215" t="s">
        <v>22</v>
      </c>
      <c r="F1215" s="230">
        <v>12515</v>
      </c>
      <c r="G1215" s="224">
        <v>1.25</v>
      </c>
      <c r="H1215" s="230">
        <v>167.7</v>
      </c>
      <c r="I1215" t="s">
        <v>18</v>
      </c>
      <c r="J1215" t="s">
        <v>19</v>
      </c>
      <c r="K1215" s="224">
        <f>H1215/F1215</f>
        <v>1.3399920095884936E-2</v>
      </c>
    </row>
    <row r="1216" spans="1:11">
      <c r="A1216">
        <v>1</v>
      </c>
      <c r="B1216" s="239" t="s">
        <v>703</v>
      </c>
      <c r="C1216" s="230" t="s">
        <v>704</v>
      </c>
      <c r="D1216" t="s">
        <v>16</v>
      </c>
      <c r="E1216" t="s">
        <v>22</v>
      </c>
      <c r="F1216" s="230">
        <v>27899</v>
      </c>
      <c r="G1216" s="224">
        <v>2.79</v>
      </c>
      <c r="H1216" s="230">
        <v>373.85</v>
      </c>
      <c r="I1216" t="s">
        <v>18</v>
      </c>
      <c r="J1216" t="s">
        <v>23</v>
      </c>
      <c r="K1216" s="224">
        <f>H1216/F1216</f>
        <v>1.3400121868167318E-2</v>
      </c>
    </row>
    <row r="1217" spans="1:11">
      <c r="A1217">
        <v>11</v>
      </c>
      <c r="B1217" s="239">
        <v>9091</v>
      </c>
      <c r="C1217" s="230" t="s">
        <v>699</v>
      </c>
      <c r="D1217" t="s">
        <v>28</v>
      </c>
      <c r="E1217" t="s">
        <v>29</v>
      </c>
      <c r="F1217" s="230">
        <v>1247</v>
      </c>
      <c r="G1217" s="224">
        <v>45390.8</v>
      </c>
      <c r="H1217" s="230">
        <v>8303.92</v>
      </c>
      <c r="I1217" t="s">
        <v>30</v>
      </c>
      <c r="J1217" t="s">
        <v>23</v>
      </c>
      <c r="K1217" s="224">
        <f>H1217/F1217</f>
        <v>6.6591178829190056</v>
      </c>
    </row>
    <row r="1218" spans="1:11">
      <c r="A1218">
        <v>223</v>
      </c>
      <c r="B1218" s="239" t="s">
        <v>562</v>
      </c>
      <c r="C1218" s="230" t="s">
        <v>563</v>
      </c>
      <c r="D1218" t="s">
        <v>16</v>
      </c>
      <c r="E1218" t="s">
        <v>22</v>
      </c>
      <c r="F1218" s="230">
        <v>440000</v>
      </c>
      <c r="G1218" s="224">
        <v>44</v>
      </c>
      <c r="H1218" s="230">
        <v>2904</v>
      </c>
      <c r="I1218" t="s">
        <v>18</v>
      </c>
      <c r="J1218" t="s">
        <v>19</v>
      </c>
      <c r="K1218" s="224">
        <f>H1218/F1218</f>
        <v>6.6E-3</v>
      </c>
    </row>
    <row r="1219" spans="1:11">
      <c r="A1219">
        <v>223</v>
      </c>
      <c r="B1219" s="239" t="s">
        <v>2856</v>
      </c>
      <c r="C1219" s="230" t="s">
        <v>2857</v>
      </c>
      <c r="D1219" t="s">
        <v>16</v>
      </c>
      <c r="E1219" t="s">
        <v>22</v>
      </c>
      <c r="F1219" s="230">
        <v>40000</v>
      </c>
      <c r="G1219" s="224">
        <v>4</v>
      </c>
      <c r="H1219" s="230">
        <v>536</v>
      </c>
      <c r="I1219" t="s">
        <v>18</v>
      </c>
      <c r="J1219" t="s">
        <v>19</v>
      </c>
      <c r="K1219" s="224">
        <f>H1219/F1219</f>
        <v>1.34E-2</v>
      </c>
    </row>
    <row r="1220" spans="1:11">
      <c r="A1220">
        <v>288</v>
      </c>
      <c r="B1220" s="239">
        <v>4502</v>
      </c>
      <c r="C1220" s="230" t="s">
        <v>89</v>
      </c>
      <c r="D1220" t="s">
        <v>28</v>
      </c>
      <c r="E1220" t="s">
        <v>29</v>
      </c>
      <c r="F1220" s="230">
        <v>-1</v>
      </c>
      <c r="G1220" s="224">
        <v>-36.4</v>
      </c>
      <c r="H1220" s="230">
        <v>-30.68</v>
      </c>
      <c r="I1220" t="s">
        <v>30</v>
      </c>
      <c r="J1220" t="s">
        <v>19</v>
      </c>
      <c r="K1220" s="224">
        <f>H1220/F1220</f>
        <v>30.68</v>
      </c>
    </row>
    <row r="1221" spans="1:11">
      <c r="A1221">
        <v>11</v>
      </c>
      <c r="B1221" s="239">
        <v>9091</v>
      </c>
      <c r="C1221" s="230" t="s">
        <v>699</v>
      </c>
      <c r="D1221" t="s">
        <v>16</v>
      </c>
      <c r="E1221" t="s">
        <v>88</v>
      </c>
      <c r="F1221" s="230">
        <v>-4</v>
      </c>
      <c r="G1221" s="224">
        <v>-36.4</v>
      </c>
      <c r="H1221" s="230">
        <v>-6.66</v>
      </c>
      <c r="I1221" t="s">
        <v>30</v>
      </c>
      <c r="J1221" t="s">
        <v>23</v>
      </c>
      <c r="K1221" s="224">
        <f>H1221/F1221</f>
        <v>1.665</v>
      </c>
    </row>
    <row r="1222" spans="1:11">
      <c r="A1222">
        <v>288</v>
      </c>
      <c r="B1222" s="239">
        <v>9091</v>
      </c>
      <c r="C1222" s="230" t="s">
        <v>699</v>
      </c>
      <c r="D1222" t="s">
        <v>28</v>
      </c>
      <c r="E1222" t="s">
        <v>29</v>
      </c>
      <c r="F1222" s="230">
        <v>-1</v>
      </c>
      <c r="G1222" s="224">
        <v>-36.4</v>
      </c>
      <c r="H1222" s="230">
        <v>480.06</v>
      </c>
      <c r="I1222" t="s">
        <v>30</v>
      </c>
      <c r="J1222" t="s">
        <v>19</v>
      </c>
      <c r="K1222" s="224">
        <f>H1222/F1222</f>
        <v>-480.06</v>
      </c>
    </row>
    <row r="1223" spans="1:11">
      <c r="A1223">
        <v>88</v>
      </c>
      <c r="B1223" s="239" t="s">
        <v>703</v>
      </c>
      <c r="C1223" s="230" t="s">
        <v>704</v>
      </c>
      <c r="D1223" t="s">
        <v>16</v>
      </c>
      <c r="E1223" t="s">
        <v>22</v>
      </c>
      <c r="F1223" s="230">
        <v>-8904</v>
      </c>
      <c r="G1223" s="224">
        <v>-0.89</v>
      </c>
      <c r="H1223" s="230">
        <v>-119.31</v>
      </c>
      <c r="I1223" t="s">
        <v>18</v>
      </c>
      <c r="J1223" t="s">
        <v>23</v>
      </c>
      <c r="K1223" s="224">
        <f>H1223/F1223</f>
        <v>1.3399595687331537E-2</v>
      </c>
    </row>
    <row r="1224" spans="1:11">
      <c r="A1224">
        <v>11</v>
      </c>
      <c r="B1224" s="239">
        <v>9102</v>
      </c>
      <c r="C1224" s="230" t="s">
        <v>705</v>
      </c>
      <c r="D1224" t="s">
        <v>28</v>
      </c>
      <c r="E1224" t="s">
        <v>29</v>
      </c>
      <c r="F1224" s="230">
        <v>72</v>
      </c>
      <c r="G1224" s="224">
        <v>3016.8</v>
      </c>
      <c r="H1224" s="230">
        <v>1419.4</v>
      </c>
      <c r="I1224" t="s">
        <v>30</v>
      </c>
      <c r="J1224" t="s">
        <v>23</v>
      </c>
      <c r="K1224" s="224">
        <f>H1224/F1224</f>
        <v>19.713888888888889</v>
      </c>
    </row>
    <row r="1225" spans="1:11">
      <c r="A1225">
        <v>11</v>
      </c>
      <c r="B1225" s="239" t="s">
        <v>703</v>
      </c>
      <c r="C1225" s="230" t="s">
        <v>704</v>
      </c>
      <c r="D1225" t="s">
        <v>16</v>
      </c>
      <c r="E1225" t="s">
        <v>22</v>
      </c>
      <c r="F1225" s="230">
        <v>60000</v>
      </c>
      <c r="G1225" s="224">
        <v>6</v>
      </c>
      <c r="H1225" s="230">
        <v>804</v>
      </c>
      <c r="I1225" t="s">
        <v>18</v>
      </c>
      <c r="J1225" t="s">
        <v>23</v>
      </c>
      <c r="K1225" s="224">
        <f>H1225/F1225</f>
        <v>1.34E-2</v>
      </c>
    </row>
    <row r="1226" spans="1:11">
      <c r="A1226">
        <v>11</v>
      </c>
      <c r="B1226" s="239">
        <v>9102</v>
      </c>
      <c r="C1226" s="230" t="s">
        <v>705</v>
      </c>
      <c r="D1226" t="s">
        <v>16</v>
      </c>
      <c r="E1226" t="s">
        <v>88</v>
      </c>
      <c r="F1226" s="230">
        <v>-5</v>
      </c>
      <c r="G1226" s="224">
        <v>-52.75</v>
      </c>
      <c r="H1226" s="230">
        <v>-24.64</v>
      </c>
      <c r="I1226" t="s">
        <v>30</v>
      </c>
      <c r="J1226" t="s">
        <v>23</v>
      </c>
      <c r="K1226" s="224">
        <f>H1226/F1226</f>
        <v>4.9279999999999999</v>
      </c>
    </row>
    <row r="1227" spans="1:11">
      <c r="A1227">
        <v>88</v>
      </c>
      <c r="B1227" s="239" t="s">
        <v>376</v>
      </c>
      <c r="C1227" s="230" t="s">
        <v>377</v>
      </c>
      <c r="D1227" t="s">
        <v>43</v>
      </c>
      <c r="F1227" s="230">
        <v>0</v>
      </c>
      <c r="G1227" s="224">
        <v>0</v>
      </c>
      <c r="H1227" s="230">
        <v>0</v>
      </c>
      <c r="I1227" t="s">
        <v>44</v>
      </c>
      <c r="J1227" t="s">
        <v>23</v>
      </c>
      <c r="K1227" s="224" t="e">
        <f>H1227/F1227</f>
        <v>#DIV/0!</v>
      </c>
    </row>
    <row r="1228" spans="1:11">
      <c r="A1228">
        <v>211</v>
      </c>
      <c r="B1228" s="239">
        <v>9314</v>
      </c>
      <c r="C1228" s="230" t="s">
        <v>636</v>
      </c>
      <c r="D1228" t="s">
        <v>28</v>
      </c>
      <c r="E1228" t="s">
        <v>56</v>
      </c>
      <c r="F1228" s="230">
        <v>1756</v>
      </c>
      <c r="G1228" s="224">
        <v>48290</v>
      </c>
      <c r="H1228" s="230">
        <v>10789.22</v>
      </c>
      <c r="I1228" t="s">
        <v>30</v>
      </c>
      <c r="J1228" t="s">
        <v>19</v>
      </c>
      <c r="K1228" s="224">
        <f>H1228/F1228</f>
        <v>6.1442027334851934</v>
      </c>
    </row>
    <row r="1229" spans="1:11">
      <c r="A1229">
        <v>11</v>
      </c>
      <c r="B1229" s="239">
        <v>4513</v>
      </c>
      <c r="C1229" s="230" t="s">
        <v>111</v>
      </c>
      <c r="D1229" t="s">
        <v>16</v>
      </c>
      <c r="E1229" t="s">
        <v>88</v>
      </c>
      <c r="F1229" s="230">
        <v>-1</v>
      </c>
      <c r="G1229" s="224">
        <v>-4.67</v>
      </c>
      <c r="H1229" s="230">
        <v>-1.95</v>
      </c>
      <c r="I1229" t="s">
        <v>30</v>
      </c>
      <c r="J1229" t="s">
        <v>23</v>
      </c>
      <c r="K1229" s="224">
        <f>H1229/F1229</f>
        <v>1.95</v>
      </c>
    </row>
    <row r="1230" spans="1:11">
      <c r="A1230">
        <v>11</v>
      </c>
      <c r="B1230" s="239">
        <v>4513</v>
      </c>
      <c r="C1230" s="230" t="s">
        <v>111</v>
      </c>
      <c r="D1230" t="s">
        <v>28</v>
      </c>
      <c r="E1230" t="s">
        <v>56</v>
      </c>
      <c r="F1230" s="230">
        <v>1278</v>
      </c>
      <c r="G1230" s="224">
        <v>35784</v>
      </c>
      <c r="H1230" s="230">
        <v>15198.88</v>
      </c>
      <c r="I1230" t="s">
        <v>30</v>
      </c>
      <c r="J1230" t="s">
        <v>23</v>
      </c>
      <c r="K1230" s="224">
        <f>H1230/F1230</f>
        <v>11.892707355242566</v>
      </c>
    </row>
    <row r="1231" spans="1:11">
      <c r="A1231">
        <v>223</v>
      </c>
      <c r="B1231" s="239" t="s">
        <v>559</v>
      </c>
      <c r="C1231" s="230" t="s">
        <v>560</v>
      </c>
      <c r="D1231" t="s">
        <v>43</v>
      </c>
      <c r="F1231" s="230">
        <v>11</v>
      </c>
      <c r="G1231" s="224">
        <v>11</v>
      </c>
      <c r="H1231" s="230">
        <v>410.67</v>
      </c>
      <c r="I1231" t="s">
        <v>44</v>
      </c>
      <c r="J1231" t="s">
        <v>19</v>
      </c>
      <c r="K1231" s="224">
        <f>H1231/F1231</f>
        <v>37.333636363636366</v>
      </c>
    </row>
    <row r="1232" spans="1:11">
      <c r="A1232">
        <v>223</v>
      </c>
      <c r="B1232" s="239" t="s">
        <v>441</v>
      </c>
      <c r="C1232" s="230" t="s">
        <v>442</v>
      </c>
      <c r="D1232" t="s">
        <v>16</v>
      </c>
      <c r="E1232" t="s">
        <v>88</v>
      </c>
      <c r="F1232" s="230">
        <v>0</v>
      </c>
      <c r="G1232" s="224">
        <v>0</v>
      </c>
      <c r="H1232" s="230">
        <v>0</v>
      </c>
      <c r="I1232" t="s">
        <v>35</v>
      </c>
      <c r="J1232" t="s">
        <v>19</v>
      </c>
      <c r="K1232" s="224" t="e">
        <f>H1232/F1232</f>
        <v>#DIV/0!</v>
      </c>
    </row>
    <row r="1233" spans="1:11">
      <c r="A1233">
        <v>223</v>
      </c>
      <c r="B1233" s="239" t="s">
        <v>621</v>
      </c>
      <c r="C1233" s="230" t="s">
        <v>622</v>
      </c>
      <c r="D1233" t="s">
        <v>16</v>
      </c>
      <c r="E1233" t="s">
        <v>94</v>
      </c>
      <c r="F1233" s="230">
        <v>46629</v>
      </c>
      <c r="G1233" s="224">
        <v>46629</v>
      </c>
      <c r="H1233" s="230">
        <v>18036.099999999999</v>
      </c>
      <c r="I1233" t="s">
        <v>18</v>
      </c>
      <c r="J1233" t="s">
        <v>19</v>
      </c>
      <c r="K1233" s="224">
        <f>H1233/F1233</f>
        <v>0.38680006004846768</v>
      </c>
    </row>
    <row r="1234" spans="1:11">
      <c r="A1234">
        <v>288</v>
      </c>
      <c r="B1234" s="239">
        <v>7540</v>
      </c>
      <c r="C1234" s="230" t="s">
        <v>358</v>
      </c>
      <c r="D1234" t="s">
        <v>28</v>
      </c>
      <c r="E1234" t="s">
        <v>29</v>
      </c>
      <c r="F1234" s="230">
        <v>-1</v>
      </c>
      <c r="G1234" s="224">
        <v>-36.4</v>
      </c>
      <c r="H1234" s="230">
        <v>-106.56</v>
      </c>
      <c r="I1234" t="s">
        <v>30</v>
      </c>
      <c r="J1234" t="s">
        <v>19</v>
      </c>
      <c r="K1234" s="224">
        <f>H1234/F1234</f>
        <v>106.56</v>
      </c>
    </row>
    <row r="1235" spans="1:11">
      <c r="A1235">
        <v>11</v>
      </c>
      <c r="B1235" s="239">
        <v>4514</v>
      </c>
      <c r="C1235" s="230" t="s">
        <v>706</v>
      </c>
      <c r="D1235" t="s">
        <v>16</v>
      </c>
      <c r="E1235" t="s">
        <v>88</v>
      </c>
      <c r="F1235" s="230">
        <v>-2</v>
      </c>
      <c r="G1235" s="224">
        <v>-0.93</v>
      </c>
      <c r="H1235" s="230">
        <v>-4.0199999999999996</v>
      </c>
      <c r="I1235" t="s">
        <v>30</v>
      </c>
      <c r="J1235" t="s">
        <v>23</v>
      </c>
      <c r="K1235" s="224">
        <f>H1235/F1235</f>
        <v>2.0099999999999998</v>
      </c>
    </row>
    <row r="1236" spans="1:11">
      <c r="A1236">
        <v>288</v>
      </c>
      <c r="B1236" s="239">
        <v>4617</v>
      </c>
      <c r="C1236" s="230" t="s">
        <v>36</v>
      </c>
      <c r="D1236" t="s">
        <v>28</v>
      </c>
      <c r="E1236" t="s">
        <v>32</v>
      </c>
      <c r="F1236" s="230">
        <v>0</v>
      </c>
      <c r="G1236" s="224">
        <v>0</v>
      </c>
      <c r="H1236" s="230">
        <v>0</v>
      </c>
      <c r="I1236" t="s">
        <v>30</v>
      </c>
      <c r="J1236" t="s">
        <v>19</v>
      </c>
      <c r="K1236" s="224" t="e">
        <f>H1236/F1236</f>
        <v>#DIV/0!</v>
      </c>
    </row>
    <row r="1237" spans="1:11">
      <c r="A1237">
        <v>11</v>
      </c>
      <c r="B1237" s="239">
        <v>4514</v>
      </c>
      <c r="C1237" s="230" t="s">
        <v>706</v>
      </c>
      <c r="D1237" t="s">
        <v>28</v>
      </c>
      <c r="E1237" t="s">
        <v>56</v>
      </c>
      <c r="F1237" s="230">
        <v>1017</v>
      </c>
      <c r="G1237" s="224">
        <v>28476</v>
      </c>
      <c r="H1237" s="230">
        <v>12254.96</v>
      </c>
      <c r="I1237" t="s">
        <v>30</v>
      </c>
      <c r="J1237" t="s">
        <v>23</v>
      </c>
      <c r="K1237" s="224">
        <f>H1237/F1237</f>
        <v>12.050108161258603</v>
      </c>
    </row>
    <row r="1238" spans="1:11">
      <c r="A1238">
        <v>205</v>
      </c>
      <c r="B1238" s="239" t="s">
        <v>578</v>
      </c>
      <c r="C1238" s="230" t="s">
        <v>579</v>
      </c>
      <c r="D1238" t="s">
        <v>43</v>
      </c>
      <c r="F1238" s="230">
        <v>32000</v>
      </c>
      <c r="G1238" s="224">
        <v>32000</v>
      </c>
      <c r="H1238" s="230">
        <v>23416.639999999999</v>
      </c>
      <c r="I1238" t="s">
        <v>44</v>
      </c>
      <c r="J1238" t="s">
        <v>19</v>
      </c>
      <c r="K1238" s="224">
        <f>H1238/F1238</f>
        <v>0.73177000000000003</v>
      </c>
    </row>
    <row r="1239" spans="1:11">
      <c r="A1239">
        <v>205</v>
      </c>
      <c r="B1239" s="239" t="s">
        <v>170</v>
      </c>
      <c r="C1239" s="230" t="s">
        <v>2751</v>
      </c>
      <c r="D1239" t="s">
        <v>43</v>
      </c>
      <c r="F1239" s="230">
        <v>38801.379999999997</v>
      </c>
      <c r="G1239" s="224">
        <v>38801.339999999997</v>
      </c>
      <c r="H1239" s="230">
        <v>24324.560000000001</v>
      </c>
      <c r="I1239" t="s">
        <v>44</v>
      </c>
      <c r="J1239" t="s">
        <v>19</v>
      </c>
      <c r="K1239" s="224">
        <f>H1239/F1239</f>
        <v>0.62689935254880114</v>
      </c>
    </row>
    <row r="1240" spans="1:11">
      <c r="A1240">
        <v>288</v>
      </c>
      <c r="B1240" s="239" t="s">
        <v>416</v>
      </c>
      <c r="C1240" s="230" t="s">
        <v>417</v>
      </c>
      <c r="D1240" t="s">
        <v>43</v>
      </c>
      <c r="F1240" s="230">
        <v>0</v>
      </c>
      <c r="G1240" s="224">
        <v>0</v>
      </c>
      <c r="H1240" s="230">
        <v>0</v>
      </c>
      <c r="I1240" t="s">
        <v>44</v>
      </c>
      <c r="J1240" t="s">
        <v>19</v>
      </c>
      <c r="K1240" s="224" t="e">
        <f>H1240/F1240</f>
        <v>#DIV/0!</v>
      </c>
    </row>
    <row r="1241" spans="1:11">
      <c r="A1241">
        <v>11</v>
      </c>
      <c r="B1241" s="239">
        <v>6506</v>
      </c>
      <c r="C1241" s="230" t="s">
        <v>615</v>
      </c>
      <c r="D1241" t="s">
        <v>28</v>
      </c>
      <c r="E1241" t="s">
        <v>56</v>
      </c>
      <c r="F1241" s="230">
        <v>2344</v>
      </c>
      <c r="G1241" s="224">
        <v>65632</v>
      </c>
      <c r="H1241" s="230">
        <v>28528.36</v>
      </c>
      <c r="I1241" t="s">
        <v>30</v>
      </c>
      <c r="J1241" t="s">
        <v>23</v>
      </c>
      <c r="K1241" s="224">
        <f>H1241/F1241</f>
        <v>12.170802047781571</v>
      </c>
    </row>
    <row r="1242" spans="1:11">
      <c r="A1242">
        <v>288</v>
      </c>
      <c r="B1242" s="239">
        <v>4591</v>
      </c>
      <c r="C1242" s="230" t="s">
        <v>165</v>
      </c>
      <c r="D1242" t="s">
        <v>28</v>
      </c>
      <c r="E1242" t="s">
        <v>29</v>
      </c>
      <c r="F1242" s="230">
        <v>-2</v>
      </c>
      <c r="G1242" s="224">
        <v>-72.8</v>
      </c>
      <c r="H1242" s="230">
        <v>14.94</v>
      </c>
      <c r="I1242" t="s">
        <v>30</v>
      </c>
      <c r="J1242" t="s">
        <v>19</v>
      </c>
      <c r="K1242" s="224">
        <f>H1242/F1242</f>
        <v>-7.47</v>
      </c>
    </row>
    <row r="1243" spans="1:11">
      <c r="A1243" s="321">
        <v>288</v>
      </c>
      <c r="B1243" s="321">
        <v>4800</v>
      </c>
      <c r="C1243" s="321" t="s">
        <v>194</v>
      </c>
      <c r="D1243" s="321" t="s">
        <v>43</v>
      </c>
      <c r="E1243" s="321" t="s">
        <v>195</v>
      </c>
      <c r="F1243" s="405">
        <v>-21.59</v>
      </c>
      <c r="G1243" s="321">
        <v>-21.59</v>
      </c>
      <c r="H1243" s="321">
        <v>-4.1100000000000003</v>
      </c>
      <c r="I1243" s="321" t="s">
        <v>30</v>
      </c>
      <c r="J1243" s="321" t="s">
        <v>19</v>
      </c>
      <c r="K1243" s="224">
        <f>H1243/F1243</f>
        <v>0.190365910143585</v>
      </c>
    </row>
    <row r="1244" spans="1:11">
      <c r="A1244">
        <v>223</v>
      </c>
      <c r="B1244" s="239" t="s">
        <v>627</v>
      </c>
      <c r="C1244" s="230" t="s">
        <v>628</v>
      </c>
      <c r="D1244" t="s">
        <v>16</v>
      </c>
      <c r="E1244" t="s">
        <v>22</v>
      </c>
      <c r="F1244" s="230">
        <v>50000</v>
      </c>
      <c r="G1244" s="224">
        <v>5</v>
      </c>
      <c r="H1244" s="230">
        <v>670</v>
      </c>
      <c r="I1244" t="s">
        <v>18</v>
      </c>
      <c r="J1244" t="s">
        <v>19</v>
      </c>
      <c r="K1244" s="224">
        <f t="shared" ref="K1223:K1259" si="3">H1244/F1244</f>
        <v>1.34E-2</v>
      </c>
    </row>
    <row r="1245" spans="1:11">
      <c r="A1245">
        <v>201</v>
      </c>
      <c r="B1245" s="239" t="s">
        <v>709</v>
      </c>
      <c r="C1245" s="230" t="s">
        <v>710</v>
      </c>
      <c r="D1245" t="s">
        <v>16</v>
      </c>
      <c r="E1245" t="s">
        <v>22</v>
      </c>
      <c r="F1245" s="230">
        <v>16646</v>
      </c>
      <c r="G1245" s="224">
        <v>1.66</v>
      </c>
      <c r="H1245" s="230">
        <v>196.42</v>
      </c>
      <c r="I1245" t="s">
        <v>18</v>
      </c>
      <c r="J1245" t="s">
        <v>19</v>
      </c>
      <c r="K1245" s="224">
        <f t="shared" si="3"/>
        <v>1.1799831791421361E-2</v>
      </c>
    </row>
    <row r="1246" spans="1:11">
      <c r="A1246">
        <v>11</v>
      </c>
      <c r="B1246" s="239">
        <v>6513</v>
      </c>
      <c r="C1246" s="230" t="s">
        <v>637</v>
      </c>
      <c r="D1246" t="s">
        <v>28</v>
      </c>
      <c r="E1246" t="s">
        <v>56</v>
      </c>
      <c r="F1246" s="230">
        <v>608</v>
      </c>
      <c r="G1246" s="224">
        <v>17024</v>
      </c>
      <c r="H1246" s="230">
        <v>7289.98</v>
      </c>
      <c r="I1246" t="s">
        <v>30</v>
      </c>
      <c r="J1246" t="s">
        <v>23</v>
      </c>
      <c r="K1246" s="224">
        <f t="shared" si="3"/>
        <v>11.990098684210526</v>
      </c>
    </row>
    <row r="1247" spans="1:11">
      <c r="A1247">
        <v>1</v>
      </c>
      <c r="B1247" s="239" t="s">
        <v>135</v>
      </c>
      <c r="C1247" s="230" t="s">
        <v>136</v>
      </c>
      <c r="D1247" t="s">
        <v>43</v>
      </c>
      <c r="F1247" s="230">
        <v>12964</v>
      </c>
      <c r="G1247" s="224">
        <v>12964</v>
      </c>
      <c r="H1247" s="230">
        <v>5065.03</v>
      </c>
      <c r="I1247" t="s">
        <v>44</v>
      </c>
      <c r="J1247" t="s">
        <v>23</v>
      </c>
      <c r="K1247" s="224">
        <f t="shared" si="3"/>
        <v>0.39069962974390621</v>
      </c>
    </row>
    <row r="1248" spans="1:11">
      <c r="A1248">
        <v>223</v>
      </c>
      <c r="B1248" s="239" t="s">
        <v>382</v>
      </c>
      <c r="C1248" s="230" t="s">
        <v>383</v>
      </c>
      <c r="D1248" t="s">
        <v>16</v>
      </c>
      <c r="E1248" t="s">
        <v>26</v>
      </c>
      <c r="F1248" s="230">
        <v>87500</v>
      </c>
      <c r="G1248" s="224">
        <v>87.5</v>
      </c>
      <c r="H1248" s="230">
        <v>2038.75</v>
      </c>
      <c r="I1248" t="s">
        <v>18</v>
      </c>
      <c r="J1248" t="s">
        <v>19</v>
      </c>
      <c r="K1248" s="224">
        <f t="shared" si="3"/>
        <v>2.3300000000000001E-2</v>
      </c>
    </row>
    <row r="1249" spans="1:11">
      <c r="A1249">
        <v>288</v>
      </c>
      <c r="B1249" s="239" t="s">
        <v>679</v>
      </c>
      <c r="C1249" s="230" t="s">
        <v>680</v>
      </c>
      <c r="D1249" t="s">
        <v>34</v>
      </c>
      <c r="F1249" s="230">
        <v>254</v>
      </c>
      <c r="G1249" s="224">
        <v>2260.6</v>
      </c>
      <c r="H1249" s="230">
        <v>881.08</v>
      </c>
      <c r="I1249" t="s">
        <v>35</v>
      </c>
      <c r="J1249" t="s">
        <v>19</v>
      </c>
      <c r="K1249" s="224">
        <f t="shared" si="3"/>
        <v>3.4688188976377954</v>
      </c>
    </row>
    <row r="1250" spans="1:11">
      <c r="A1250">
        <v>11</v>
      </c>
      <c r="B1250" s="239" t="s">
        <v>369</v>
      </c>
      <c r="C1250" s="230" t="s">
        <v>370</v>
      </c>
      <c r="D1250" t="s">
        <v>28</v>
      </c>
      <c r="E1250" t="s">
        <v>54</v>
      </c>
      <c r="F1250" s="230">
        <v>144</v>
      </c>
      <c r="G1250" s="224">
        <v>7315.2</v>
      </c>
      <c r="H1250" s="230">
        <v>4249.53</v>
      </c>
      <c r="I1250" t="s">
        <v>30</v>
      </c>
      <c r="J1250" t="s">
        <v>23</v>
      </c>
      <c r="K1250" s="224">
        <f t="shared" si="3"/>
        <v>29.510624999999997</v>
      </c>
    </row>
    <row r="1251" spans="1:11">
      <c r="A1251">
        <v>288</v>
      </c>
      <c r="B1251" s="239" t="s">
        <v>930</v>
      </c>
      <c r="C1251" s="230" t="s">
        <v>931</v>
      </c>
      <c r="D1251" t="s">
        <v>34</v>
      </c>
      <c r="F1251" s="230">
        <v>9835</v>
      </c>
      <c r="G1251" s="224">
        <v>89165.09</v>
      </c>
      <c r="H1251" s="230">
        <v>63358.05</v>
      </c>
      <c r="I1251" t="s">
        <v>35</v>
      </c>
      <c r="J1251" t="s">
        <v>19</v>
      </c>
      <c r="K1251" s="224">
        <f t="shared" si="3"/>
        <v>6.4420996441281142</v>
      </c>
    </row>
    <row r="1252" spans="1:11">
      <c r="A1252">
        <v>11</v>
      </c>
      <c r="B1252" s="239" t="s">
        <v>2765</v>
      </c>
      <c r="C1252" s="230" t="s">
        <v>2766</v>
      </c>
      <c r="D1252" t="s">
        <v>16</v>
      </c>
      <c r="E1252" t="s">
        <v>22</v>
      </c>
      <c r="F1252" s="230">
        <v>90000</v>
      </c>
      <c r="G1252" s="224">
        <v>9</v>
      </c>
      <c r="H1252" s="230">
        <v>1206</v>
      </c>
      <c r="I1252" t="s">
        <v>18</v>
      </c>
      <c r="J1252" t="s">
        <v>23</v>
      </c>
      <c r="K1252" s="224">
        <f t="shared" si="3"/>
        <v>1.34E-2</v>
      </c>
    </row>
    <row r="1253" spans="1:11">
      <c r="A1253">
        <v>223</v>
      </c>
      <c r="B1253" s="239" t="s">
        <v>629</v>
      </c>
      <c r="C1253" s="230" t="s">
        <v>630</v>
      </c>
      <c r="D1253" t="s">
        <v>16</v>
      </c>
      <c r="E1253" t="s">
        <v>22</v>
      </c>
      <c r="F1253" s="230">
        <v>60000</v>
      </c>
      <c r="G1253" s="224">
        <v>6</v>
      </c>
      <c r="H1253" s="230">
        <v>894</v>
      </c>
      <c r="I1253" t="s">
        <v>18</v>
      </c>
      <c r="J1253" t="s">
        <v>59</v>
      </c>
      <c r="K1253" s="224">
        <f t="shared" si="3"/>
        <v>1.49E-2</v>
      </c>
    </row>
    <row r="1254" spans="1:11">
      <c r="A1254">
        <v>201</v>
      </c>
      <c r="B1254" s="239" t="s">
        <v>2765</v>
      </c>
      <c r="C1254" s="230" t="s">
        <v>2766</v>
      </c>
      <c r="D1254" t="s">
        <v>16</v>
      </c>
      <c r="E1254" t="s">
        <v>22</v>
      </c>
      <c r="F1254" s="230">
        <v>12496</v>
      </c>
      <c r="G1254" s="224">
        <v>1.25</v>
      </c>
      <c r="H1254" s="230">
        <v>167.45</v>
      </c>
      <c r="I1254" t="s">
        <v>18</v>
      </c>
      <c r="J1254" t="s">
        <v>19</v>
      </c>
      <c r="K1254" s="224">
        <f t="shared" si="3"/>
        <v>1.3400288092189499E-2</v>
      </c>
    </row>
    <row r="1255" spans="1:11">
      <c r="A1255">
        <v>1</v>
      </c>
      <c r="B1255" s="239" t="s">
        <v>2765</v>
      </c>
      <c r="C1255" s="230" t="s">
        <v>2766</v>
      </c>
      <c r="D1255" t="s">
        <v>16</v>
      </c>
      <c r="E1255" t="s">
        <v>22</v>
      </c>
      <c r="F1255" s="230">
        <v>34656</v>
      </c>
      <c r="G1255" s="224">
        <v>3.47</v>
      </c>
      <c r="H1255" s="230">
        <v>464.39</v>
      </c>
      <c r="I1255" t="s">
        <v>18</v>
      </c>
      <c r="J1255" t="s">
        <v>23</v>
      </c>
      <c r="K1255" s="224">
        <f t="shared" si="3"/>
        <v>1.3399988457987072E-2</v>
      </c>
    </row>
    <row r="1256" spans="1:11">
      <c r="A1256">
        <v>223</v>
      </c>
      <c r="B1256" s="239" t="s">
        <v>596</v>
      </c>
      <c r="C1256" s="230" t="s">
        <v>597</v>
      </c>
      <c r="D1256" t="s">
        <v>16</v>
      </c>
      <c r="E1256" t="s">
        <v>22</v>
      </c>
      <c r="F1256" s="230">
        <v>60000</v>
      </c>
      <c r="G1256" s="224">
        <v>6</v>
      </c>
      <c r="H1256" s="230">
        <v>804</v>
      </c>
      <c r="I1256" t="s">
        <v>18</v>
      </c>
      <c r="J1256" t="s">
        <v>19</v>
      </c>
      <c r="K1256" s="224">
        <f t="shared" si="3"/>
        <v>1.34E-2</v>
      </c>
    </row>
    <row r="1257" spans="1:11">
      <c r="A1257">
        <v>223</v>
      </c>
      <c r="B1257" s="239" t="s">
        <v>514</v>
      </c>
      <c r="C1257" s="230" t="s">
        <v>515</v>
      </c>
      <c r="D1257" t="s">
        <v>16</v>
      </c>
      <c r="E1257" t="s">
        <v>22</v>
      </c>
      <c r="F1257" s="230">
        <v>40000</v>
      </c>
      <c r="G1257" s="224">
        <v>4</v>
      </c>
      <c r="H1257" s="230">
        <v>536</v>
      </c>
      <c r="I1257" t="s">
        <v>18</v>
      </c>
      <c r="J1257" t="s">
        <v>19</v>
      </c>
      <c r="K1257" s="224">
        <f t="shared" si="3"/>
        <v>1.34E-2</v>
      </c>
    </row>
    <row r="1258" spans="1:11">
      <c r="A1258">
        <v>211</v>
      </c>
      <c r="B1258" s="239">
        <v>4516</v>
      </c>
      <c r="C1258" s="230" t="s">
        <v>116</v>
      </c>
      <c r="D1258" t="s">
        <v>28</v>
      </c>
      <c r="E1258" t="s">
        <v>56</v>
      </c>
      <c r="F1258" s="230">
        <v>1315</v>
      </c>
      <c r="G1258" s="224">
        <v>18081.25</v>
      </c>
      <c r="H1258" s="230">
        <v>9253.92</v>
      </c>
      <c r="I1258" t="s">
        <v>30</v>
      </c>
      <c r="J1258" t="s">
        <v>19</v>
      </c>
      <c r="K1258" s="224">
        <f t="shared" si="3"/>
        <v>7.0372015209125474</v>
      </c>
    </row>
    <row r="1259" spans="1:11">
      <c r="A1259">
        <v>11</v>
      </c>
      <c r="B1259" s="239">
        <v>7554</v>
      </c>
      <c r="C1259" s="230" t="s">
        <v>711</v>
      </c>
      <c r="D1259" t="s">
        <v>28</v>
      </c>
      <c r="E1259" t="s">
        <v>56</v>
      </c>
      <c r="F1259" s="230">
        <v>1973</v>
      </c>
      <c r="G1259" s="224">
        <v>55244</v>
      </c>
      <c r="H1259" s="230">
        <v>35944.11</v>
      </c>
      <c r="I1259" t="s">
        <v>30</v>
      </c>
      <c r="J1259" t="s">
        <v>23</v>
      </c>
      <c r="K1259" s="224">
        <f t="shared" si="3"/>
        <v>18.217997972630513</v>
      </c>
    </row>
  </sheetData>
  <autoFilter ref="A6:L1259" xr:uid="{00000000-0001-0000-0000-000000000000}">
    <sortState xmlns:xlrd2="http://schemas.microsoft.com/office/spreadsheetml/2017/richdata2" ref="A174:L1243">
      <sortCondition ref="J6:J1259"/>
    </sortState>
  </autoFilter>
  <mergeCells count="1">
    <mergeCell ref="A1:F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40813-C8EF-4403-90DF-D45D2CB7EE3B}">
  <dimension ref="A1:AF597"/>
  <sheetViews>
    <sheetView workbookViewId="0">
      <pane ySplit="19" topLeftCell="A80" activePane="bottomLeft" state="frozen"/>
      <selection pane="bottomLeft" activeCell="M97" sqref="M97"/>
    </sheetView>
  </sheetViews>
  <sheetFormatPr defaultRowHeight="12.75"/>
  <cols>
    <col min="1" max="1" width="19" bestFit="1" customWidth="1"/>
    <col min="2" max="2" width="17" bestFit="1" customWidth="1"/>
    <col min="3" max="3" width="9.140625" bestFit="1" customWidth="1"/>
    <col min="4" max="4" width="11" bestFit="1" customWidth="1"/>
    <col min="5" max="5" width="10.140625" bestFit="1" customWidth="1"/>
    <col min="6" max="6" width="16.28515625" bestFit="1" customWidth="1"/>
    <col min="7" max="7" width="14.28515625" bestFit="1" customWidth="1"/>
    <col min="8" max="8" width="16.28515625" bestFit="1" customWidth="1"/>
    <col min="9" max="9" width="14.28515625" bestFit="1" customWidth="1"/>
    <col min="10" max="10" width="9.85546875" customWidth="1"/>
    <col min="11" max="11" width="10.28515625" bestFit="1" customWidth="1"/>
    <col min="12" max="12" width="11.28515625" bestFit="1" customWidth="1"/>
    <col min="13" max="13" width="10.28515625" bestFit="1" customWidth="1"/>
    <col min="14" max="14" width="10.140625" bestFit="1" customWidth="1"/>
    <col min="15" max="15" width="10.7109375" bestFit="1" customWidth="1"/>
    <col min="16" max="16" width="11.7109375" bestFit="1" customWidth="1"/>
    <col min="17" max="17" width="9.140625" bestFit="1" customWidth="1"/>
    <col min="18" max="18" width="9.5703125" bestFit="1" customWidth="1"/>
    <col min="19" max="19" width="9.7109375" bestFit="1" customWidth="1"/>
    <col min="20" max="20" width="7.5703125" bestFit="1" customWidth="1"/>
    <col min="21" max="21" width="8.5703125" bestFit="1" customWidth="1"/>
    <col min="22" max="22" width="7.5703125" bestFit="1" customWidth="1"/>
    <col min="23" max="23" width="10" bestFit="1" customWidth="1"/>
    <col min="24" max="24" width="11.7109375" bestFit="1" customWidth="1"/>
    <col min="25" max="25" width="7.5703125" bestFit="1" customWidth="1"/>
    <col min="26" max="28" width="11.7109375" bestFit="1" customWidth="1"/>
    <col min="29" max="29" width="12.28515625" bestFit="1" customWidth="1"/>
    <col min="30" max="31" width="11.7109375" bestFit="1" customWidth="1"/>
    <col min="32" max="32" width="6.5703125" bestFit="1" customWidth="1"/>
    <col min="33" max="36" width="7.5703125" bestFit="1" customWidth="1"/>
    <col min="37" max="37" width="6.5703125" bestFit="1" customWidth="1"/>
    <col min="38" max="38" width="8.140625" bestFit="1" customWidth="1"/>
    <col min="39" max="39" width="9.140625" bestFit="1" customWidth="1"/>
    <col min="40" max="40" width="4" bestFit="1" customWidth="1"/>
    <col min="41" max="41" width="5.5703125" bestFit="1" customWidth="1"/>
    <col min="42" max="42" width="4.5703125" bestFit="1" customWidth="1"/>
    <col min="43" max="43" width="7.5703125" bestFit="1" customWidth="1"/>
    <col min="44" max="44" width="10.140625" bestFit="1" customWidth="1"/>
    <col min="46" max="46" width="12.28515625" bestFit="1" customWidth="1"/>
    <col min="47" max="47" width="11.7109375" bestFit="1" customWidth="1"/>
  </cols>
  <sheetData>
    <row r="1" spans="1:32">
      <c r="M1" s="276"/>
    </row>
    <row r="3" spans="1:32">
      <c r="A3" s="217" t="s">
        <v>712</v>
      </c>
      <c r="B3" s="217" t="s">
        <v>713</v>
      </c>
    </row>
    <row r="4" spans="1:32">
      <c r="B4" t="s">
        <v>23</v>
      </c>
      <c r="F4" t="s">
        <v>714</v>
      </c>
      <c r="G4" t="s">
        <v>19</v>
      </c>
      <c r="Q4" t="s">
        <v>715</v>
      </c>
      <c r="R4" t="s">
        <v>59</v>
      </c>
      <c r="AC4" t="s">
        <v>716</v>
      </c>
      <c r="AD4" t="s">
        <v>2888</v>
      </c>
      <c r="AE4" t="s">
        <v>2889</v>
      </c>
      <c r="AF4" t="s">
        <v>717</v>
      </c>
    </row>
    <row r="5" spans="1:32">
      <c r="A5" s="217" t="s">
        <v>718</v>
      </c>
      <c r="B5">
        <v>1</v>
      </c>
      <c r="C5">
        <v>11</v>
      </c>
      <c r="D5">
        <v>88</v>
      </c>
      <c r="E5">
        <v>99</v>
      </c>
      <c r="G5">
        <v>201</v>
      </c>
      <c r="H5">
        <v>204</v>
      </c>
      <c r="I5">
        <v>205</v>
      </c>
      <c r="J5">
        <v>211</v>
      </c>
      <c r="K5">
        <v>221</v>
      </c>
      <c r="L5">
        <v>222</v>
      </c>
      <c r="M5">
        <v>223</v>
      </c>
      <c r="N5">
        <v>288</v>
      </c>
      <c r="O5">
        <v>289</v>
      </c>
      <c r="P5">
        <v>488</v>
      </c>
      <c r="R5">
        <v>1</v>
      </c>
      <c r="S5">
        <v>11</v>
      </c>
      <c r="T5">
        <v>99</v>
      </c>
      <c r="U5">
        <v>201</v>
      </c>
      <c r="V5">
        <v>211</v>
      </c>
      <c r="W5">
        <v>223</v>
      </c>
      <c r="X5">
        <v>288</v>
      </c>
      <c r="Y5">
        <v>289</v>
      </c>
      <c r="Z5">
        <v>601</v>
      </c>
      <c r="AA5">
        <v>602</v>
      </c>
      <c r="AB5">
        <v>603</v>
      </c>
      <c r="AD5">
        <v>223</v>
      </c>
    </row>
    <row r="6" spans="1:32">
      <c r="A6" s="321" t="s">
        <v>44</v>
      </c>
      <c r="B6" s="81">
        <v>113852.47</v>
      </c>
      <c r="C6" s="81">
        <v>471634.96</v>
      </c>
      <c r="D6" s="81">
        <v>-49801.91</v>
      </c>
      <c r="E6" s="81">
        <v>-1827.43</v>
      </c>
      <c r="F6" s="81">
        <v>533858.09</v>
      </c>
      <c r="G6" s="81">
        <v>550465.61</v>
      </c>
      <c r="H6" s="81"/>
      <c r="I6" s="81">
        <v>952749.16</v>
      </c>
      <c r="J6" s="81"/>
      <c r="K6" s="81"/>
      <c r="L6" s="81">
        <v>312787.26</v>
      </c>
      <c r="M6" s="81">
        <v>238686.27999999997</v>
      </c>
      <c r="N6" s="81">
        <v>-45735.779999999992</v>
      </c>
      <c r="O6" s="81"/>
      <c r="P6" s="81"/>
      <c r="Q6" s="81">
        <v>2008952.53</v>
      </c>
      <c r="R6" s="81"/>
      <c r="S6" s="81"/>
      <c r="T6" s="81"/>
      <c r="U6" s="81"/>
      <c r="V6" s="81"/>
      <c r="W6" s="81"/>
      <c r="X6" s="81"/>
      <c r="Y6" s="81"/>
      <c r="Z6" s="81"/>
      <c r="AA6" s="81"/>
      <c r="AB6" s="81"/>
      <c r="AC6" s="81"/>
      <c r="AD6" s="81"/>
      <c r="AE6" s="81"/>
      <c r="AF6" s="81">
        <v>2542810.62</v>
      </c>
    </row>
    <row r="7" spans="1:32">
      <c r="A7" s="321" t="s">
        <v>18</v>
      </c>
      <c r="B7" s="81">
        <v>78664.210000000006</v>
      </c>
      <c r="C7" s="81">
        <v>242390.15000000005</v>
      </c>
      <c r="D7" s="81">
        <v>9324.76</v>
      </c>
      <c r="E7" s="81"/>
      <c r="F7" s="81">
        <v>330379.12000000005</v>
      </c>
      <c r="G7" s="81">
        <v>198035.79000000007</v>
      </c>
      <c r="H7" s="81"/>
      <c r="I7" s="81"/>
      <c r="J7" s="81">
        <v>1756.42</v>
      </c>
      <c r="K7" s="81"/>
      <c r="L7" s="81"/>
      <c r="M7" s="81">
        <v>423768.39999999997</v>
      </c>
      <c r="N7" s="81">
        <v>-1899.8000000000006</v>
      </c>
      <c r="O7" s="81">
        <v>962.45</v>
      </c>
      <c r="P7" s="81">
        <v>48.78</v>
      </c>
      <c r="Q7" s="81">
        <v>622672.04</v>
      </c>
      <c r="R7" s="81">
        <v>1503.1999999999998</v>
      </c>
      <c r="S7" s="81">
        <v>10321.5</v>
      </c>
      <c r="T7" s="81"/>
      <c r="U7" s="81">
        <v>6060.9699999999993</v>
      </c>
      <c r="V7" s="81"/>
      <c r="W7" s="81">
        <v>6193</v>
      </c>
      <c r="X7" s="81">
        <v>-12.32</v>
      </c>
      <c r="Y7" s="81"/>
      <c r="Z7" s="81"/>
      <c r="AA7" s="81"/>
      <c r="AB7" s="81"/>
      <c r="AC7" s="81">
        <v>24066.35</v>
      </c>
      <c r="AD7" s="81">
        <v>6969.6</v>
      </c>
      <c r="AE7" s="81">
        <v>6969.6</v>
      </c>
      <c r="AF7" s="81">
        <v>984087.1100000001</v>
      </c>
    </row>
    <row r="8" spans="1:32">
      <c r="A8" s="321" t="s">
        <v>35</v>
      </c>
      <c r="B8" s="81">
        <v>409406.28999999986</v>
      </c>
      <c r="C8" s="81">
        <v>3356886.2600000002</v>
      </c>
      <c r="D8" s="81">
        <v>150997.03</v>
      </c>
      <c r="E8" s="81"/>
      <c r="F8" s="81">
        <v>3917289.58</v>
      </c>
      <c r="G8" s="81">
        <v>981260.72000000009</v>
      </c>
      <c r="H8" s="81">
        <v>19604.080000000002</v>
      </c>
      <c r="I8" s="81">
        <v>2884086.7900000005</v>
      </c>
      <c r="J8" s="81">
        <v>23160.339999999997</v>
      </c>
      <c r="K8" s="81"/>
      <c r="L8" s="81"/>
      <c r="M8" s="81">
        <v>5393.28</v>
      </c>
      <c r="N8" s="81">
        <v>120894.15</v>
      </c>
      <c r="O8" s="81">
        <v>78635.799999999988</v>
      </c>
      <c r="P8" s="81"/>
      <c r="Q8" s="81">
        <v>4113035.16</v>
      </c>
      <c r="R8" s="81"/>
      <c r="S8" s="81">
        <v>7484.55</v>
      </c>
      <c r="T8" s="81"/>
      <c r="U8" s="81"/>
      <c r="V8" s="81"/>
      <c r="W8" s="81"/>
      <c r="X8" s="81"/>
      <c r="Y8" s="81"/>
      <c r="Z8" s="81"/>
      <c r="AA8" s="81"/>
      <c r="AB8" s="81"/>
      <c r="AC8" s="81">
        <v>7484.55</v>
      </c>
      <c r="AD8" s="81"/>
      <c r="AE8" s="81"/>
      <c r="AF8" s="81">
        <v>8037809.29</v>
      </c>
    </row>
    <row r="9" spans="1:32">
      <c r="A9" s="321" t="s">
        <v>30</v>
      </c>
      <c r="B9" s="81">
        <v>47780.99</v>
      </c>
      <c r="C9" s="81">
        <v>1137808.4100000001</v>
      </c>
      <c r="D9" s="81">
        <v>1156.03</v>
      </c>
      <c r="E9" s="81">
        <v>66.319999999999993</v>
      </c>
      <c r="F9" s="81">
        <v>1186811.7500000002</v>
      </c>
      <c r="G9" s="81">
        <v>267524.37000000005</v>
      </c>
      <c r="H9" s="81">
        <v>1044538.3500000003</v>
      </c>
      <c r="I9" s="81">
        <v>155.47</v>
      </c>
      <c r="J9" s="81">
        <v>950774.28000000014</v>
      </c>
      <c r="K9" s="81">
        <v>0</v>
      </c>
      <c r="L9" s="81"/>
      <c r="M9" s="81">
        <v>376906.93</v>
      </c>
      <c r="N9" s="81">
        <v>-21015.760000000002</v>
      </c>
      <c r="O9" s="81">
        <v>-79695.17</v>
      </c>
      <c r="P9" s="81"/>
      <c r="Q9" s="81">
        <v>2539188.4700000011</v>
      </c>
      <c r="R9" s="81"/>
      <c r="S9" s="81">
        <v>79917.399999999994</v>
      </c>
      <c r="T9" s="81">
        <v>36127.880000000005</v>
      </c>
      <c r="U9" s="81">
        <v>4866.03</v>
      </c>
      <c r="V9" s="81">
        <v>39893.15</v>
      </c>
      <c r="W9" s="81"/>
      <c r="X9" s="81">
        <v>-1201.71</v>
      </c>
      <c r="Y9" s="81">
        <v>-59.52</v>
      </c>
      <c r="Z9" s="81">
        <v>301522.15000000002</v>
      </c>
      <c r="AA9" s="81">
        <v>29645.889999999996</v>
      </c>
      <c r="AB9" s="81">
        <v>47212.039999999994</v>
      </c>
      <c r="AC9" s="81">
        <v>537923.31000000006</v>
      </c>
      <c r="AD9" s="81"/>
      <c r="AE9" s="81"/>
      <c r="AF9" s="81">
        <v>4263923.5300000012</v>
      </c>
    </row>
    <row r="10" spans="1:32">
      <c r="A10" s="321" t="s">
        <v>2782</v>
      </c>
      <c r="B10" s="81">
        <v>-15668.12</v>
      </c>
      <c r="C10" s="81">
        <v>8166.54</v>
      </c>
      <c r="D10" s="81">
        <v>13534.85</v>
      </c>
      <c r="E10" s="81"/>
      <c r="F10" s="81">
        <v>6033.2699999999995</v>
      </c>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v>6033.2699999999995</v>
      </c>
    </row>
    <row r="11" spans="1:32">
      <c r="A11" s="321" t="s">
        <v>717</v>
      </c>
      <c r="B11" s="81">
        <v>634035.83999999985</v>
      </c>
      <c r="C11" s="81">
        <v>5216886.32</v>
      </c>
      <c r="D11" s="81">
        <v>125210.76000000001</v>
      </c>
      <c r="E11" s="81">
        <v>-1761.1100000000001</v>
      </c>
      <c r="F11" s="81">
        <v>5974371.8099999996</v>
      </c>
      <c r="G11" s="81">
        <v>1997286.4900000002</v>
      </c>
      <c r="H11" s="81">
        <v>1064142.4300000004</v>
      </c>
      <c r="I11" s="81">
        <v>3836991.4200000009</v>
      </c>
      <c r="J11" s="81">
        <v>975691.04000000015</v>
      </c>
      <c r="K11" s="81">
        <v>0</v>
      </c>
      <c r="L11" s="81">
        <v>312787.26</v>
      </c>
      <c r="M11" s="81">
        <v>1044754.8899999999</v>
      </c>
      <c r="N11" s="81">
        <v>52242.810000000005</v>
      </c>
      <c r="O11" s="81">
        <v>-96.920000000012806</v>
      </c>
      <c r="P11" s="81">
        <v>48.78</v>
      </c>
      <c r="Q11" s="81">
        <v>9283848.2000000011</v>
      </c>
      <c r="R11" s="81">
        <v>1503.1999999999998</v>
      </c>
      <c r="S11" s="81">
        <v>97723.45</v>
      </c>
      <c r="T11" s="81">
        <v>36127.880000000005</v>
      </c>
      <c r="U11" s="81">
        <v>10927</v>
      </c>
      <c r="V11" s="81">
        <v>39893.15</v>
      </c>
      <c r="W11" s="81">
        <v>6193</v>
      </c>
      <c r="X11" s="81">
        <v>-1214.03</v>
      </c>
      <c r="Y11" s="81">
        <v>-59.52</v>
      </c>
      <c r="Z11" s="81">
        <v>301522.15000000002</v>
      </c>
      <c r="AA11" s="81">
        <v>29645.889999999996</v>
      </c>
      <c r="AB11" s="81">
        <v>47212.039999999994</v>
      </c>
      <c r="AC11" s="81">
        <v>569474.21000000008</v>
      </c>
      <c r="AD11" s="81">
        <v>6969.6</v>
      </c>
      <c r="AE11" s="81">
        <v>6969.6</v>
      </c>
      <c r="AF11" s="81">
        <v>15834663.82</v>
      </c>
    </row>
    <row r="12" spans="1:32">
      <c r="B12" s="81"/>
      <c r="C12" s="81"/>
      <c r="D12" s="81"/>
      <c r="E12" s="81"/>
      <c r="F12" s="81"/>
      <c r="G12" s="81"/>
      <c r="H12" s="81"/>
      <c r="I12" s="81"/>
      <c r="J12" s="81"/>
      <c r="K12" s="81"/>
      <c r="L12" s="81"/>
      <c r="M12" s="81"/>
      <c r="N12" s="81"/>
      <c r="O12" s="81"/>
      <c r="P12" s="81"/>
    </row>
    <row r="13" spans="1:32">
      <c r="G13" s="157"/>
    </row>
    <row r="15" spans="1:32">
      <c r="J15" s="276"/>
    </row>
    <row r="17" spans="1:18">
      <c r="B17" s="217" t="s">
        <v>713</v>
      </c>
    </row>
    <row r="18" spans="1:18">
      <c r="B18" t="s">
        <v>23</v>
      </c>
      <c r="D18" t="s">
        <v>19</v>
      </c>
      <c r="F18" t="s">
        <v>59</v>
      </c>
      <c r="H18" t="s">
        <v>2888</v>
      </c>
      <c r="J18" t="s">
        <v>719</v>
      </c>
      <c r="K18" t="s">
        <v>720</v>
      </c>
    </row>
    <row r="19" spans="1:18">
      <c r="A19" s="217" t="s">
        <v>718</v>
      </c>
      <c r="B19" t="s">
        <v>721</v>
      </c>
      <c r="C19" t="s">
        <v>712</v>
      </c>
      <c r="D19" t="s">
        <v>721</v>
      </c>
      <c r="E19" t="s">
        <v>712</v>
      </c>
      <c r="F19" t="s">
        <v>721</v>
      </c>
      <c r="G19" t="s">
        <v>712</v>
      </c>
      <c r="H19" t="s">
        <v>721</v>
      </c>
      <c r="I19" t="s">
        <v>712</v>
      </c>
      <c r="L19" s="157" t="s">
        <v>722</v>
      </c>
      <c r="M19" s="157" t="s">
        <v>723</v>
      </c>
      <c r="N19" s="157" t="s">
        <v>724</v>
      </c>
      <c r="O19" s="157" t="s">
        <v>725</v>
      </c>
    </row>
    <row r="20" spans="1:18">
      <c r="A20" s="321" t="s">
        <v>44</v>
      </c>
      <c r="B20" s="81"/>
      <c r="C20" s="81"/>
      <c r="D20" s="81"/>
      <c r="E20" s="81"/>
      <c r="F20" s="81"/>
      <c r="G20" s="81"/>
      <c r="H20" s="81"/>
      <c r="I20" s="81"/>
      <c r="J20" s="81"/>
      <c r="K20" s="81"/>
    </row>
    <row r="21" spans="1:18">
      <c r="A21" s="227" t="s">
        <v>530</v>
      </c>
      <c r="B21" s="81">
        <v>110</v>
      </c>
      <c r="C21" s="81">
        <v>1490.41</v>
      </c>
      <c r="D21" s="81">
        <v>114.5</v>
      </c>
      <c r="E21" s="81">
        <v>1551.45</v>
      </c>
      <c r="F21" s="81"/>
      <c r="G21" s="81"/>
      <c r="H21" s="81"/>
      <c r="I21" s="81"/>
      <c r="J21" s="81">
        <v>224.5</v>
      </c>
      <c r="K21" s="81">
        <v>3041.86</v>
      </c>
      <c r="N21" s="224"/>
      <c r="O21" s="224"/>
      <c r="P21" s="230"/>
      <c r="Q21" s="230"/>
    </row>
    <row r="22" spans="1:18">
      <c r="A22" s="227" t="s">
        <v>533</v>
      </c>
      <c r="B22" s="81"/>
      <c r="C22" s="81"/>
      <c r="D22" s="81">
        <v>342.35</v>
      </c>
      <c r="E22" s="81">
        <v>1934.27</v>
      </c>
      <c r="F22" s="81"/>
      <c r="G22" s="81"/>
      <c r="H22" s="81"/>
      <c r="I22" s="81"/>
      <c r="J22" s="81">
        <v>342.35</v>
      </c>
      <c r="K22" s="81">
        <v>1934.27</v>
      </c>
      <c r="N22" s="224"/>
      <c r="O22" s="224"/>
      <c r="P22" s="230"/>
      <c r="Q22" s="230"/>
      <c r="R22" s="310"/>
    </row>
    <row r="23" spans="1:18">
      <c r="A23" s="227" t="s">
        <v>281</v>
      </c>
      <c r="B23" s="81"/>
      <c r="C23" s="81"/>
      <c r="D23" s="81">
        <v>193.68</v>
      </c>
      <c r="E23" s="81">
        <v>2711.52</v>
      </c>
      <c r="F23" s="81"/>
      <c r="G23" s="81"/>
      <c r="H23" s="81"/>
      <c r="I23" s="81"/>
      <c r="J23" s="81">
        <v>193.68</v>
      </c>
      <c r="K23" s="81">
        <v>2711.52</v>
      </c>
      <c r="N23" s="224"/>
      <c r="O23" s="224"/>
      <c r="P23" s="230"/>
      <c r="Q23" s="230"/>
      <c r="R23" s="310"/>
    </row>
    <row r="24" spans="1:18">
      <c r="A24" s="227" t="s">
        <v>303</v>
      </c>
      <c r="B24" s="81">
        <v>3400</v>
      </c>
      <c r="C24" s="81">
        <v>40798.639999999999</v>
      </c>
      <c r="D24" s="81">
        <v>50</v>
      </c>
      <c r="E24" s="81">
        <v>557</v>
      </c>
      <c r="F24" s="81"/>
      <c r="G24" s="81"/>
      <c r="H24" s="81"/>
      <c r="I24" s="81"/>
      <c r="J24" s="81">
        <v>3450</v>
      </c>
      <c r="K24" s="81">
        <v>41355.64</v>
      </c>
      <c r="N24" s="224"/>
      <c r="O24" s="224"/>
      <c r="P24" s="230"/>
      <c r="Q24" s="230"/>
      <c r="R24" s="310"/>
    </row>
    <row r="25" spans="1:18">
      <c r="A25" s="227" t="s">
        <v>182</v>
      </c>
      <c r="B25" s="81"/>
      <c r="C25" s="81"/>
      <c r="D25" s="81">
        <v>3522</v>
      </c>
      <c r="E25" s="81">
        <v>36050.969999999994</v>
      </c>
      <c r="F25" s="81"/>
      <c r="G25" s="81"/>
      <c r="H25" s="81"/>
      <c r="I25" s="81"/>
      <c r="J25" s="81">
        <v>3522</v>
      </c>
      <c r="K25" s="81">
        <v>36050.969999999994</v>
      </c>
      <c r="N25" s="224"/>
      <c r="O25" s="224"/>
      <c r="P25" s="230"/>
      <c r="Q25" s="230"/>
      <c r="R25" s="310"/>
    </row>
    <row r="26" spans="1:18">
      <c r="A26" s="227" t="s">
        <v>297</v>
      </c>
      <c r="B26" s="81">
        <v>3546</v>
      </c>
      <c r="C26" s="81">
        <v>48123.090000000004</v>
      </c>
      <c r="D26" s="81">
        <v>6375</v>
      </c>
      <c r="E26" s="81">
        <v>87081.26</v>
      </c>
      <c r="F26" s="81"/>
      <c r="G26" s="81"/>
      <c r="H26" s="81"/>
      <c r="I26" s="81"/>
      <c r="J26" s="81">
        <v>9921</v>
      </c>
      <c r="K26" s="81">
        <v>135204.35</v>
      </c>
      <c r="N26" s="224"/>
      <c r="O26" s="224"/>
      <c r="P26" s="230"/>
      <c r="Q26" s="230"/>
      <c r="R26" s="310"/>
    </row>
    <row r="27" spans="1:18">
      <c r="A27" s="227" t="s">
        <v>208</v>
      </c>
      <c r="B27" s="81"/>
      <c r="C27" s="81"/>
      <c r="D27" s="81">
        <v>65</v>
      </c>
      <c r="E27" s="81">
        <v>4712.51</v>
      </c>
      <c r="F27" s="81"/>
      <c r="G27" s="81"/>
      <c r="H27" s="81"/>
      <c r="I27" s="81"/>
      <c r="J27" s="81">
        <v>65</v>
      </c>
      <c r="K27" s="81">
        <v>4712.51</v>
      </c>
      <c r="N27" s="224"/>
      <c r="O27" s="224"/>
      <c r="P27" s="230"/>
      <c r="Q27" s="230"/>
      <c r="R27" s="310"/>
    </row>
    <row r="28" spans="1:18">
      <c r="A28" s="227" t="s">
        <v>351</v>
      </c>
      <c r="B28" s="81"/>
      <c r="C28" s="81"/>
      <c r="D28" s="81">
        <v>60</v>
      </c>
      <c r="E28" s="81">
        <v>5340.03</v>
      </c>
      <c r="F28" s="81"/>
      <c r="G28" s="81"/>
      <c r="H28" s="81"/>
      <c r="I28" s="81"/>
      <c r="J28" s="81">
        <v>60</v>
      </c>
      <c r="K28" s="81">
        <v>5340.03</v>
      </c>
      <c r="N28" s="224"/>
      <c r="O28" s="224"/>
      <c r="P28" s="230"/>
      <c r="Q28" s="230"/>
      <c r="R28" s="310"/>
    </row>
    <row r="29" spans="1:18">
      <c r="A29" s="457" t="s">
        <v>258</v>
      </c>
      <c r="B29" s="455">
        <v>600</v>
      </c>
      <c r="C29" s="455">
        <v>11700</v>
      </c>
      <c r="D29" s="455">
        <v>1675</v>
      </c>
      <c r="E29" s="455">
        <v>32718.270000000004</v>
      </c>
      <c r="F29" s="455"/>
      <c r="G29" s="455"/>
      <c r="H29" s="455"/>
      <c r="I29" s="455"/>
      <c r="J29" s="455">
        <v>2275</v>
      </c>
      <c r="K29" s="455">
        <v>44418.270000000004</v>
      </c>
      <c r="N29" s="224"/>
      <c r="O29" s="224"/>
      <c r="P29" s="230"/>
      <c r="Q29" s="230"/>
      <c r="R29" s="310"/>
    </row>
    <row r="30" spans="1:18">
      <c r="A30" s="457" t="s">
        <v>448</v>
      </c>
      <c r="B30" s="455"/>
      <c r="C30" s="455"/>
      <c r="D30" s="455">
        <v>682.25</v>
      </c>
      <c r="E30" s="455">
        <v>31223.58</v>
      </c>
      <c r="F30" s="455"/>
      <c r="G30" s="455"/>
      <c r="H30" s="455"/>
      <c r="I30" s="455"/>
      <c r="J30" s="455">
        <v>682.25</v>
      </c>
      <c r="K30" s="455">
        <v>31223.58</v>
      </c>
      <c r="N30" s="224"/>
      <c r="O30" s="224"/>
      <c r="P30" s="230"/>
      <c r="Q30" s="230"/>
      <c r="R30" s="310"/>
    </row>
    <row r="31" spans="1:18">
      <c r="A31" s="457" t="s">
        <v>482</v>
      </c>
      <c r="B31" s="455">
        <v>36.799999999999997</v>
      </c>
      <c r="C31" s="455">
        <v>1353.24</v>
      </c>
      <c r="D31" s="455">
        <v>40.35</v>
      </c>
      <c r="E31" s="455">
        <v>1489.55</v>
      </c>
      <c r="F31" s="455"/>
      <c r="G31" s="455"/>
      <c r="H31" s="455"/>
      <c r="I31" s="455"/>
      <c r="J31" s="455">
        <v>77.150000000000006</v>
      </c>
      <c r="K31" s="455">
        <v>2842.79</v>
      </c>
      <c r="N31" s="1"/>
      <c r="O31" s="1"/>
      <c r="P31" s="2"/>
      <c r="Q31" s="2"/>
      <c r="R31" s="218"/>
    </row>
    <row r="32" spans="1:18">
      <c r="A32" s="457" t="s">
        <v>625</v>
      </c>
      <c r="B32" s="455"/>
      <c r="C32" s="455"/>
      <c r="D32" s="455">
        <v>52.57</v>
      </c>
      <c r="E32" s="455">
        <v>1230.77</v>
      </c>
      <c r="F32" s="455"/>
      <c r="G32" s="455"/>
      <c r="H32" s="455"/>
      <c r="I32" s="455"/>
      <c r="J32" s="455">
        <v>52.57</v>
      </c>
      <c r="K32" s="455">
        <v>1230.77</v>
      </c>
      <c r="N32" s="1"/>
      <c r="O32" s="1"/>
      <c r="P32" s="2"/>
      <c r="Q32" s="2"/>
      <c r="R32" s="218"/>
    </row>
    <row r="33" spans="1:18">
      <c r="A33" s="457" t="s">
        <v>362</v>
      </c>
      <c r="B33" s="455">
        <v>20.5</v>
      </c>
      <c r="C33" s="455">
        <v>869.2</v>
      </c>
      <c r="D33" s="455">
        <v>9.56</v>
      </c>
      <c r="E33" s="455">
        <v>401.45</v>
      </c>
      <c r="F33" s="455"/>
      <c r="G33" s="455"/>
      <c r="H33" s="455"/>
      <c r="I33" s="455"/>
      <c r="J33" s="455">
        <v>30.060000000000002</v>
      </c>
      <c r="K33" s="455">
        <v>1270.6500000000001</v>
      </c>
      <c r="N33" s="1"/>
      <c r="O33" s="1"/>
      <c r="P33" s="2"/>
      <c r="Q33" s="2"/>
      <c r="R33" s="218"/>
    </row>
    <row r="34" spans="1:18">
      <c r="A34" s="457" t="s">
        <v>191</v>
      </c>
      <c r="B34" s="455">
        <v>29</v>
      </c>
      <c r="C34" s="455">
        <v>498.98999999999995</v>
      </c>
      <c r="D34" s="455">
        <v>96.2</v>
      </c>
      <c r="E34" s="455">
        <v>1653.92</v>
      </c>
      <c r="F34" s="455"/>
      <c r="G34" s="455"/>
      <c r="H34" s="455"/>
      <c r="I34" s="455"/>
      <c r="J34" s="455">
        <v>125.2</v>
      </c>
      <c r="K34" s="455">
        <v>2152.91</v>
      </c>
      <c r="N34" s="1"/>
      <c r="O34" s="1"/>
      <c r="P34" s="2"/>
      <c r="Q34" s="2"/>
      <c r="R34" s="218"/>
    </row>
    <row r="35" spans="1:18">
      <c r="A35" s="457" t="s">
        <v>47</v>
      </c>
      <c r="B35" s="455">
        <v>122.9</v>
      </c>
      <c r="C35" s="455">
        <v>1620.91</v>
      </c>
      <c r="D35" s="455">
        <v>86.6</v>
      </c>
      <c r="E35" s="455">
        <v>1133.01</v>
      </c>
      <c r="F35" s="455"/>
      <c r="G35" s="455"/>
      <c r="H35" s="455"/>
      <c r="I35" s="455"/>
      <c r="J35" s="455">
        <v>209.5</v>
      </c>
      <c r="K35" s="455">
        <v>2753.92</v>
      </c>
      <c r="N35" s="1"/>
      <c r="O35" s="1"/>
      <c r="P35" s="2"/>
      <c r="Q35" s="2"/>
      <c r="R35" s="218"/>
    </row>
    <row r="36" spans="1:18">
      <c r="A36" s="457" t="s">
        <v>239</v>
      </c>
      <c r="B36" s="455">
        <v>1578.3</v>
      </c>
      <c r="C36" s="455">
        <v>23393.629999999997</v>
      </c>
      <c r="D36" s="455">
        <v>1213.7</v>
      </c>
      <c r="E36" s="455">
        <v>17989.05</v>
      </c>
      <c r="F36" s="455"/>
      <c r="G36" s="455"/>
      <c r="H36" s="455"/>
      <c r="I36" s="455"/>
      <c r="J36" s="455">
        <v>2792</v>
      </c>
      <c r="K36" s="455">
        <v>41382.679999999993</v>
      </c>
      <c r="N36" s="1"/>
      <c r="O36" s="1"/>
      <c r="P36" s="2"/>
      <c r="Q36" s="2"/>
      <c r="R36" s="218"/>
    </row>
    <row r="37" spans="1:18">
      <c r="A37" s="457" t="s">
        <v>189</v>
      </c>
      <c r="B37" s="455"/>
      <c r="C37" s="455"/>
      <c r="D37" s="455">
        <v>59</v>
      </c>
      <c r="E37" s="455">
        <v>2010.89</v>
      </c>
      <c r="F37" s="455"/>
      <c r="G37" s="455"/>
      <c r="H37" s="455"/>
      <c r="I37" s="455"/>
      <c r="J37" s="455">
        <v>59</v>
      </c>
      <c r="K37" s="455">
        <v>2010.89</v>
      </c>
      <c r="N37" s="1"/>
      <c r="O37" s="1"/>
      <c r="P37" s="2"/>
      <c r="Q37" s="2"/>
      <c r="R37" s="218"/>
    </row>
    <row r="38" spans="1:18">
      <c r="A38" s="457" t="s">
        <v>416</v>
      </c>
      <c r="B38" s="455"/>
      <c r="C38" s="455"/>
      <c r="D38" s="455">
        <v>213.57</v>
      </c>
      <c r="E38" s="455">
        <v>3737.39</v>
      </c>
      <c r="F38" s="455"/>
      <c r="G38" s="455"/>
      <c r="H38" s="455"/>
      <c r="I38" s="455"/>
      <c r="J38" s="455">
        <v>213.57</v>
      </c>
      <c r="K38" s="455">
        <v>3737.39</v>
      </c>
      <c r="N38" s="1"/>
      <c r="O38" s="1"/>
      <c r="P38" s="2"/>
      <c r="Q38" s="2"/>
      <c r="R38" s="218"/>
    </row>
    <row r="39" spans="1:18">
      <c r="A39" s="457" t="s">
        <v>594</v>
      </c>
      <c r="B39" s="455"/>
      <c r="C39" s="455"/>
      <c r="D39" s="455">
        <v>619.6</v>
      </c>
      <c r="E39" s="455">
        <v>5719.9</v>
      </c>
      <c r="F39" s="455"/>
      <c r="G39" s="455"/>
      <c r="H39" s="455"/>
      <c r="I39" s="455"/>
      <c r="J39" s="455">
        <v>619.6</v>
      </c>
      <c r="K39" s="455">
        <v>5719.9</v>
      </c>
      <c r="N39" s="1"/>
      <c r="O39" s="1"/>
      <c r="P39" s="2"/>
      <c r="Q39" s="2"/>
      <c r="R39" s="218"/>
    </row>
    <row r="40" spans="1:18">
      <c r="A40" s="457" t="s">
        <v>601</v>
      </c>
      <c r="B40" s="455"/>
      <c r="C40" s="455"/>
      <c r="D40" s="455">
        <v>1024.9000000000001</v>
      </c>
      <c r="E40" s="455">
        <v>13395.44</v>
      </c>
      <c r="F40" s="455"/>
      <c r="G40" s="455"/>
      <c r="H40" s="455"/>
      <c r="I40" s="455"/>
      <c r="J40" s="455">
        <v>1024.9000000000001</v>
      </c>
      <c r="K40" s="455">
        <v>13395.44</v>
      </c>
      <c r="N40" s="1"/>
      <c r="O40" s="1"/>
      <c r="P40" s="2"/>
      <c r="Q40" s="2"/>
      <c r="R40" s="218"/>
    </row>
    <row r="41" spans="1:18">
      <c r="A41" s="457" t="s">
        <v>672</v>
      </c>
      <c r="B41" s="455"/>
      <c r="C41" s="455"/>
      <c r="D41" s="455">
        <v>1603.28</v>
      </c>
      <c r="E41" s="455">
        <v>15423.53</v>
      </c>
      <c r="F41" s="455"/>
      <c r="G41" s="455"/>
      <c r="H41" s="455"/>
      <c r="I41" s="455"/>
      <c r="J41" s="455">
        <v>1603.28</v>
      </c>
      <c r="K41" s="455">
        <v>15423.53</v>
      </c>
      <c r="N41" s="1"/>
      <c r="O41" s="1"/>
      <c r="P41" s="2"/>
      <c r="Q41" s="2"/>
      <c r="R41" s="218"/>
    </row>
    <row r="42" spans="1:18">
      <c r="A42" s="457" t="s">
        <v>681</v>
      </c>
      <c r="B42" s="455"/>
      <c r="C42" s="455"/>
      <c r="D42" s="455">
        <v>1159.6600000000001</v>
      </c>
      <c r="E42" s="455">
        <v>12188.03</v>
      </c>
      <c r="F42" s="455"/>
      <c r="G42" s="455"/>
      <c r="H42" s="455"/>
      <c r="I42" s="455"/>
      <c r="J42" s="455">
        <v>1159.6600000000001</v>
      </c>
      <c r="K42" s="455">
        <v>12188.03</v>
      </c>
      <c r="N42" s="1"/>
      <c r="O42" s="1"/>
      <c r="P42" s="2"/>
      <c r="Q42" s="2"/>
      <c r="R42" s="218"/>
    </row>
    <row r="43" spans="1:18">
      <c r="A43" s="457" t="s">
        <v>689</v>
      </c>
      <c r="B43" s="455"/>
      <c r="C43" s="455"/>
      <c r="D43" s="455">
        <v>268.2</v>
      </c>
      <c r="E43" s="455">
        <v>7225.82</v>
      </c>
      <c r="F43" s="455"/>
      <c r="G43" s="455"/>
      <c r="H43" s="455"/>
      <c r="I43" s="455"/>
      <c r="J43" s="455">
        <v>268.2</v>
      </c>
      <c r="K43" s="455">
        <v>7225.82</v>
      </c>
      <c r="N43" s="1"/>
      <c r="O43" s="1"/>
      <c r="P43" s="2"/>
      <c r="Q43" s="2"/>
      <c r="R43" s="218"/>
    </row>
    <row r="44" spans="1:18">
      <c r="A44" s="457" t="s">
        <v>695</v>
      </c>
      <c r="B44" s="455"/>
      <c r="C44" s="455"/>
      <c r="D44" s="455">
        <v>1488.4</v>
      </c>
      <c r="E44" s="455">
        <v>30341.78</v>
      </c>
      <c r="F44" s="455"/>
      <c r="G44" s="455"/>
      <c r="H44" s="455"/>
      <c r="I44" s="455"/>
      <c r="J44" s="455">
        <v>1488.4</v>
      </c>
      <c r="K44" s="455">
        <v>30341.78</v>
      </c>
      <c r="N44" s="1"/>
      <c r="O44" s="1"/>
      <c r="P44" s="2"/>
      <c r="Q44" s="2"/>
      <c r="R44" s="218"/>
    </row>
    <row r="45" spans="1:18">
      <c r="A45" s="457" t="s">
        <v>564</v>
      </c>
      <c r="B45" s="455"/>
      <c r="C45" s="455"/>
      <c r="D45" s="455">
        <v>1167.4000000000001</v>
      </c>
      <c r="E45" s="455">
        <v>53699</v>
      </c>
      <c r="F45" s="455"/>
      <c r="G45" s="455"/>
      <c r="H45" s="455"/>
      <c r="I45" s="455"/>
      <c r="J45" s="455">
        <v>1167.4000000000001</v>
      </c>
      <c r="K45" s="455">
        <v>53699</v>
      </c>
      <c r="N45" s="1"/>
      <c r="O45" s="1"/>
      <c r="P45" s="2"/>
      <c r="Q45" s="2"/>
      <c r="R45" s="218"/>
    </row>
    <row r="46" spans="1:18">
      <c r="A46" s="457" t="s">
        <v>334</v>
      </c>
      <c r="B46" s="455"/>
      <c r="C46" s="455"/>
      <c r="D46" s="455">
        <v>376.1</v>
      </c>
      <c r="E46" s="455">
        <v>4738.6499999999996</v>
      </c>
      <c r="F46" s="455"/>
      <c r="G46" s="455"/>
      <c r="H46" s="455"/>
      <c r="I46" s="455"/>
      <c r="J46" s="455">
        <v>376.1</v>
      </c>
      <c r="K46" s="455">
        <v>4738.6499999999996</v>
      </c>
      <c r="N46" s="1"/>
      <c r="O46" s="1"/>
      <c r="P46" s="2"/>
      <c r="Q46" s="2"/>
      <c r="R46" s="218"/>
    </row>
    <row r="47" spans="1:18">
      <c r="A47" s="227" t="s">
        <v>559</v>
      </c>
      <c r="B47" s="81">
        <v>68.900000000000006</v>
      </c>
      <c r="C47" s="81">
        <v>2303.7600000000002</v>
      </c>
      <c r="D47" s="81">
        <v>242</v>
      </c>
      <c r="E47" s="81">
        <v>8715.24</v>
      </c>
      <c r="F47" s="81"/>
      <c r="G47" s="81"/>
      <c r="H47" s="81"/>
      <c r="I47" s="81"/>
      <c r="J47" s="81">
        <v>310.89999999999998</v>
      </c>
      <c r="K47" s="81">
        <v>11019</v>
      </c>
      <c r="N47" s="1"/>
      <c r="O47" s="1"/>
      <c r="P47" s="2"/>
      <c r="Q47" s="2"/>
      <c r="R47" s="218"/>
    </row>
    <row r="48" spans="1:18">
      <c r="A48" s="457" t="s">
        <v>347</v>
      </c>
      <c r="B48" s="455"/>
      <c r="C48" s="455"/>
      <c r="D48" s="455">
        <v>2131.3000000000002</v>
      </c>
      <c r="E48" s="455">
        <v>21035.93</v>
      </c>
      <c r="F48" s="455"/>
      <c r="G48" s="455"/>
      <c r="H48" s="455"/>
      <c r="I48" s="455"/>
      <c r="J48" s="455">
        <v>2131.3000000000002</v>
      </c>
      <c r="K48" s="455">
        <v>21035.93</v>
      </c>
      <c r="N48" s="1"/>
      <c r="O48" s="1"/>
      <c r="P48" s="2"/>
      <c r="Q48" s="2"/>
      <c r="R48" s="218"/>
    </row>
    <row r="49" spans="1:18">
      <c r="A49" s="227" t="s">
        <v>320</v>
      </c>
      <c r="B49" s="81">
        <v>2039</v>
      </c>
      <c r="C49" s="81">
        <v>3417.77</v>
      </c>
      <c r="D49" s="81">
        <v>7624</v>
      </c>
      <c r="E49" s="81">
        <v>12508.7</v>
      </c>
      <c r="F49" s="81"/>
      <c r="G49" s="81"/>
      <c r="H49" s="81"/>
      <c r="I49" s="81"/>
      <c r="J49" s="81">
        <v>9663</v>
      </c>
      <c r="K49" s="81">
        <v>15926.470000000001</v>
      </c>
      <c r="N49" s="1"/>
      <c r="O49" s="1"/>
      <c r="P49" s="2"/>
      <c r="Q49" s="2"/>
      <c r="R49" s="218"/>
    </row>
    <row r="50" spans="1:18">
      <c r="A50" s="457" t="s">
        <v>210</v>
      </c>
      <c r="B50" s="455">
        <v>5250</v>
      </c>
      <c r="C50" s="455">
        <v>6930</v>
      </c>
      <c r="D50" s="455">
        <v>14890.6</v>
      </c>
      <c r="E50" s="455">
        <v>19776.259999999998</v>
      </c>
      <c r="F50" s="455"/>
      <c r="G50" s="455"/>
      <c r="H50" s="455"/>
      <c r="I50" s="455"/>
      <c r="J50" s="455">
        <v>20140.599999999999</v>
      </c>
      <c r="K50" s="455">
        <v>26706.26</v>
      </c>
      <c r="N50" s="1"/>
      <c r="O50" s="1"/>
      <c r="P50" s="2"/>
      <c r="Q50" s="2"/>
      <c r="R50" s="218"/>
    </row>
    <row r="51" spans="1:18">
      <c r="A51" s="457" t="s">
        <v>265</v>
      </c>
      <c r="B51" s="455">
        <v>153.80000000000001</v>
      </c>
      <c r="C51" s="455">
        <v>669.03</v>
      </c>
      <c r="D51" s="455"/>
      <c r="E51" s="455"/>
      <c r="F51" s="455"/>
      <c r="G51" s="455"/>
      <c r="H51" s="455"/>
      <c r="I51" s="455"/>
      <c r="J51" s="455">
        <v>153.80000000000001</v>
      </c>
      <c r="K51" s="455">
        <v>669.03</v>
      </c>
      <c r="N51" s="1"/>
      <c r="O51" s="1"/>
      <c r="P51" s="2"/>
      <c r="Q51" s="2"/>
      <c r="R51" s="218"/>
    </row>
    <row r="52" spans="1:18">
      <c r="A52" s="457" t="s">
        <v>360</v>
      </c>
      <c r="B52" s="455">
        <v>39.78</v>
      </c>
      <c r="C52" s="455">
        <v>172.72</v>
      </c>
      <c r="D52" s="455">
        <v>42.48</v>
      </c>
      <c r="E52" s="455">
        <v>191.15</v>
      </c>
      <c r="F52" s="455"/>
      <c r="G52" s="455"/>
      <c r="H52" s="455"/>
      <c r="I52" s="455"/>
      <c r="J52" s="455">
        <v>82.259999999999991</v>
      </c>
      <c r="K52" s="455">
        <v>363.87</v>
      </c>
      <c r="N52" s="1"/>
      <c r="O52" s="1"/>
      <c r="P52" s="2"/>
      <c r="Q52" s="2"/>
      <c r="R52" s="218"/>
    </row>
    <row r="53" spans="1:18">
      <c r="A53" s="227" t="s">
        <v>336</v>
      </c>
      <c r="B53" s="81">
        <v>383.69</v>
      </c>
      <c r="C53" s="81">
        <v>8079.18</v>
      </c>
      <c r="D53" s="81">
        <v>1432.6</v>
      </c>
      <c r="E53" s="81">
        <v>27322.26</v>
      </c>
      <c r="F53" s="81"/>
      <c r="G53" s="81"/>
      <c r="H53" s="81"/>
      <c r="I53" s="81"/>
      <c r="J53" s="81">
        <v>1816.29</v>
      </c>
      <c r="K53" s="81">
        <v>35401.440000000002</v>
      </c>
      <c r="N53" s="1"/>
      <c r="O53" s="1"/>
      <c r="P53" s="2"/>
      <c r="Q53" s="2"/>
      <c r="R53" s="218"/>
    </row>
    <row r="54" spans="1:18">
      <c r="A54" s="457" t="s">
        <v>213</v>
      </c>
      <c r="B54" s="455">
        <v>111.8</v>
      </c>
      <c r="C54" s="455">
        <v>782.45</v>
      </c>
      <c r="D54" s="455"/>
      <c r="E54" s="455"/>
      <c r="F54" s="455"/>
      <c r="G54" s="455"/>
      <c r="H54" s="455"/>
      <c r="I54" s="455"/>
      <c r="J54" s="455">
        <v>111.8</v>
      </c>
      <c r="K54" s="455">
        <v>782.45</v>
      </c>
      <c r="N54" s="1"/>
      <c r="O54" s="1"/>
      <c r="P54" s="2"/>
      <c r="Q54" s="2"/>
      <c r="R54" s="218"/>
    </row>
    <row r="55" spans="1:18">
      <c r="A55" s="457" t="s">
        <v>475</v>
      </c>
      <c r="B55" s="455"/>
      <c r="C55" s="455"/>
      <c r="D55" s="455">
        <v>620.18000000000006</v>
      </c>
      <c r="E55" s="455">
        <v>31482.84</v>
      </c>
      <c r="F55" s="455"/>
      <c r="G55" s="455"/>
      <c r="H55" s="455"/>
      <c r="I55" s="455"/>
      <c r="J55" s="455">
        <v>620.18000000000006</v>
      </c>
      <c r="K55" s="455">
        <v>31482.84</v>
      </c>
      <c r="N55" s="1"/>
      <c r="O55" s="1"/>
      <c r="P55" s="2"/>
      <c r="Q55" s="2"/>
      <c r="R55" s="218"/>
    </row>
    <row r="56" spans="1:18">
      <c r="A56" s="457" t="s">
        <v>263</v>
      </c>
      <c r="B56" s="455">
        <v>548.68999999999994</v>
      </c>
      <c r="C56" s="455">
        <v>3462.22</v>
      </c>
      <c r="D56" s="455">
        <v>1168.5999999999999</v>
      </c>
      <c r="E56" s="455">
        <v>7373.8600000000006</v>
      </c>
      <c r="F56" s="455"/>
      <c r="G56" s="455"/>
      <c r="H56" s="455"/>
      <c r="I56" s="455"/>
      <c r="J56" s="455">
        <v>1717.29</v>
      </c>
      <c r="K56" s="455">
        <v>10836.08</v>
      </c>
      <c r="N56" s="1"/>
      <c r="O56" s="1"/>
      <c r="P56" s="2"/>
      <c r="Q56" s="2"/>
      <c r="R56" s="218"/>
    </row>
    <row r="57" spans="1:18">
      <c r="A57" s="457" t="s">
        <v>657</v>
      </c>
      <c r="B57" s="455"/>
      <c r="C57" s="455"/>
      <c r="D57" s="455">
        <v>588.4</v>
      </c>
      <c r="E57" s="455">
        <v>11815.07</v>
      </c>
      <c r="F57" s="455"/>
      <c r="G57" s="455"/>
      <c r="H57" s="455"/>
      <c r="I57" s="455"/>
      <c r="J57" s="455">
        <v>588.4</v>
      </c>
      <c r="K57" s="455">
        <v>11815.07</v>
      </c>
      <c r="N57" s="1"/>
      <c r="O57" s="1"/>
      <c r="P57" s="2"/>
      <c r="Q57" s="2"/>
      <c r="R57" s="218"/>
    </row>
    <row r="58" spans="1:18">
      <c r="A58" s="457" t="s">
        <v>343</v>
      </c>
      <c r="B58" s="455"/>
      <c r="C58" s="455"/>
      <c r="D58" s="455">
        <v>28746</v>
      </c>
      <c r="E58" s="455">
        <v>52317.71</v>
      </c>
      <c r="F58" s="455"/>
      <c r="G58" s="455"/>
      <c r="H58" s="455"/>
      <c r="I58" s="455"/>
      <c r="J58" s="455">
        <v>28746</v>
      </c>
      <c r="K58" s="455">
        <v>52317.71</v>
      </c>
      <c r="N58" s="1"/>
      <c r="O58" s="1"/>
      <c r="P58" s="2"/>
      <c r="Q58" s="2"/>
      <c r="R58" s="218"/>
    </row>
    <row r="59" spans="1:18">
      <c r="A59" s="457" t="s">
        <v>95</v>
      </c>
      <c r="B59" s="455"/>
      <c r="C59" s="455"/>
      <c r="D59" s="455">
        <v>160.6</v>
      </c>
      <c r="E59" s="455">
        <v>10840.5</v>
      </c>
      <c r="F59" s="455"/>
      <c r="G59" s="455"/>
      <c r="H59" s="455"/>
      <c r="I59" s="455"/>
      <c r="J59" s="455">
        <v>160.6</v>
      </c>
      <c r="K59" s="455">
        <v>10840.5</v>
      </c>
      <c r="N59" s="1"/>
      <c r="O59" s="1"/>
      <c r="P59" s="2"/>
      <c r="Q59" s="2"/>
      <c r="R59" s="218"/>
    </row>
    <row r="60" spans="1:18">
      <c r="A60" s="457" t="s">
        <v>330</v>
      </c>
      <c r="B60" s="455"/>
      <c r="C60" s="455"/>
      <c r="D60" s="455">
        <v>192596.40000000002</v>
      </c>
      <c r="E60" s="455">
        <v>82808.759999999995</v>
      </c>
      <c r="F60" s="455"/>
      <c r="G60" s="455"/>
      <c r="H60" s="455"/>
      <c r="I60" s="455"/>
      <c r="J60" s="455">
        <v>192596.40000000002</v>
      </c>
      <c r="K60" s="455">
        <v>82808.759999999995</v>
      </c>
      <c r="N60" s="1"/>
      <c r="O60" s="1"/>
      <c r="P60" s="2"/>
      <c r="Q60" s="2"/>
      <c r="R60" s="218"/>
    </row>
    <row r="61" spans="1:18">
      <c r="A61" s="457" t="s">
        <v>121</v>
      </c>
      <c r="B61" s="455">
        <v>34170</v>
      </c>
      <c r="C61" s="455">
        <v>20440.5</v>
      </c>
      <c r="D61" s="455">
        <v>144576</v>
      </c>
      <c r="E61" s="455">
        <v>88321.48</v>
      </c>
      <c r="F61" s="455"/>
      <c r="G61" s="455"/>
      <c r="H61" s="455"/>
      <c r="I61" s="455"/>
      <c r="J61" s="455">
        <v>178746</v>
      </c>
      <c r="K61" s="455">
        <v>108761.98</v>
      </c>
      <c r="N61" s="1"/>
      <c r="O61" s="1"/>
      <c r="P61" s="2"/>
      <c r="Q61" s="2"/>
      <c r="R61" s="218"/>
    </row>
    <row r="62" spans="1:18">
      <c r="A62" s="457" t="s">
        <v>123</v>
      </c>
      <c r="B62" s="455"/>
      <c r="C62" s="455"/>
      <c r="D62" s="455">
        <v>13135</v>
      </c>
      <c r="E62" s="455">
        <v>8973.83</v>
      </c>
      <c r="F62" s="455"/>
      <c r="G62" s="455"/>
      <c r="H62" s="455"/>
      <c r="I62" s="455"/>
      <c r="J62" s="455">
        <v>13135</v>
      </c>
      <c r="K62" s="455">
        <v>8973.83</v>
      </c>
      <c r="N62" s="1"/>
      <c r="O62" s="1"/>
      <c r="P62" s="2"/>
      <c r="Q62" s="2"/>
      <c r="R62" s="218"/>
    </row>
    <row r="63" spans="1:18">
      <c r="A63" s="457" t="s">
        <v>371</v>
      </c>
      <c r="B63" s="455">
        <v>9375</v>
      </c>
      <c r="C63" s="455">
        <v>7527.1900000000005</v>
      </c>
      <c r="D63" s="455"/>
      <c r="E63" s="455"/>
      <c r="F63" s="455"/>
      <c r="G63" s="455"/>
      <c r="H63" s="455"/>
      <c r="I63" s="455"/>
      <c r="J63" s="455">
        <v>9375</v>
      </c>
      <c r="K63" s="455">
        <v>7527.1900000000005</v>
      </c>
      <c r="N63" s="1"/>
      <c r="O63" s="1"/>
      <c r="P63" s="2"/>
      <c r="Q63" s="2"/>
      <c r="R63" s="218"/>
    </row>
    <row r="64" spans="1:18">
      <c r="A64" s="457" t="s">
        <v>125</v>
      </c>
      <c r="B64" s="455">
        <v>85050</v>
      </c>
      <c r="C64" s="455">
        <v>53465.119999999995</v>
      </c>
      <c r="D64" s="455">
        <v>34341.47</v>
      </c>
      <c r="E64" s="455">
        <v>24674.350000000002</v>
      </c>
      <c r="F64" s="455"/>
      <c r="G64" s="455"/>
      <c r="H64" s="455"/>
      <c r="I64" s="455"/>
      <c r="J64" s="455">
        <v>119391.47</v>
      </c>
      <c r="K64" s="455">
        <v>78139.47</v>
      </c>
      <c r="N64" s="1"/>
      <c r="O64" s="1"/>
      <c r="P64" s="2"/>
      <c r="Q64" s="2"/>
      <c r="R64" s="218"/>
    </row>
    <row r="65" spans="1:18">
      <c r="A65" s="457" t="s">
        <v>341</v>
      </c>
      <c r="B65" s="455">
        <v>0</v>
      </c>
      <c r="C65" s="455">
        <v>725.36</v>
      </c>
      <c r="D65" s="455">
        <v>397188.14</v>
      </c>
      <c r="E65" s="455">
        <v>228422.91</v>
      </c>
      <c r="F65" s="455"/>
      <c r="G65" s="455"/>
      <c r="H65" s="455"/>
      <c r="I65" s="455"/>
      <c r="J65" s="455">
        <v>397188.14</v>
      </c>
      <c r="K65" s="455">
        <v>229148.27</v>
      </c>
      <c r="N65" s="1"/>
      <c r="O65" s="1"/>
      <c r="P65" s="2"/>
      <c r="Q65" s="2"/>
      <c r="R65" s="218"/>
    </row>
    <row r="66" spans="1:18">
      <c r="A66" s="457" t="s">
        <v>114</v>
      </c>
      <c r="B66" s="455"/>
      <c r="C66" s="455"/>
      <c r="D66" s="455">
        <v>20933.899999999998</v>
      </c>
      <c r="E66" s="455">
        <v>38189.710000000006</v>
      </c>
      <c r="F66" s="455"/>
      <c r="G66" s="455"/>
      <c r="H66" s="455"/>
      <c r="I66" s="455"/>
      <c r="J66" s="455">
        <v>20933.899999999998</v>
      </c>
      <c r="K66" s="455">
        <v>38189.710000000006</v>
      </c>
      <c r="N66" s="1"/>
      <c r="O66" s="1"/>
      <c r="P66" s="2"/>
      <c r="Q66" s="2"/>
      <c r="R66" s="218"/>
    </row>
    <row r="67" spans="1:18">
      <c r="A67" s="457" t="s">
        <v>51</v>
      </c>
      <c r="B67" s="455">
        <v>8640</v>
      </c>
      <c r="C67" s="455">
        <v>2706.05</v>
      </c>
      <c r="D67" s="455">
        <v>226527.27</v>
      </c>
      <c r="E67" s="455">
        <v>72787.59</v>
      </c>
      <c r="F67" s="455"/>
      <c r="G67" s="455"/>
      <c r="H67" s="455"/>
      <c r="I67" s="455"/>
      <c r="J67" s="455">
        <v>235167.27</v>
      </c>
      <c r="K67" s="455">
        <v>75493.64</v>
      </c>
      <c r="N67" s="1"/>
      <c r="O67" s="1"/>
      <c r="P67" s="2"/>
      <c r="Q67" s="2"/>
      <c r="R67" s="218"/>
    </row>
    <row r="68" spans="1:18">
      <c r="A68" s="457" t="s">
        <v>578</v>
      </c>
      <c r="B68" s="455"/>
      <c r="C68" s="455"/>
      <c r="D68" s="455">
        <v>34000</v>
      </c>
      <c r="E68" s="455">
        <v>24889.84</v>
      </c>
      <c r="F68" s="455"/>
      <c r="G68" s="455"/>
      <c r="H68" s="455"/>
      <c r="I68" s="455"/>
      <c r="J68" s="455">
        <v>34000</v>
      </c>
      <c r="K68" s="455">
        <v>24889.84</v>
      </c>
      <c r="N68" s="1"/>
      <c r="O68" s="1"/>
      <c r="P68" s="2"/>
      <c r="Q68" s="2"/>
      <c r="R68" s="218"/>
    </row>
    <row r="69" spans="1:18">
      <c r="A69" s="457" t="s">
        <v>170</v>
      </c>
      <c r="B69" s="455">
        <v>0</v>
      </c>
      <c r="C69" s="455">
        <v>-853.59</v>
      </c>
      <c r="D69" s="455">
        <v>66889.78</v>
      </c>
      <c r="E69" s="455">
        <v>41865.83</v>
      </c>
      <c r="F69" s="455"/>
      <c r="G69" s="455"/>
      <c r="H69" s="455"/>
      <c r="I69" s="455"/>
      <c r="J69" s="455">
        <v>66889.78</v>
      </c>
      <c r="K69" s="455">
        <v>41012.240000000005</v>
      </c>
      <c r="N69" s="1"/>
      <c r="O69" s="1"/>
      <c r="P69" s="2"/>
      <c r="Q69" s="2"/>
      <c r="R69" s="218"/>
    </row>
    <row r="70" spans="1:18">
      <c r="A70" s="457" t="s">
        <v>135</v>
      </c>
      <c r="B70" s="455">
        <v>13427</v>
      </c>
      <c r="C70" s="455">
        <v>5245.92</v>
      </c>
      <c r="D70" s="455">
        <v>46792.19</v>
      </c>
      <c r="E70" s="455">
        <v>18439.259999999998</v>
      </c>
      <c r="F70" s="455"/>
      <c r="G70" s="455"/>
      <c r="H70" s="455"/>
      <c r="I70" s="455"/>
      <c r="J70" s="455">
        <v>60219.19</v>
      </c>
      <c r="K70" s="455">
        <v>23685.18</v>
      </c>
      <c r="N70" s="1"/>
      <c r="O70" s="1"/>
      <c r="P70" s="2"/>
      <c r="Q70" s="2"/>
      <c r="R70" s="218"/>
    </row>
    <row r="71" spans="1:18">
      <c r="A71" s="457" t="s">
        <v>150</v>
      </c>
      <c r="B71" s="455"/>
      <c r="C71" s="455"/>
      <c r="D71" s="455">
        <v>131318</v>
      </c>
      <c r="E71" s="455">
        <v>101762.91</v>
      </c>
      <c r="F71" s="455"/>
      <c r="G71" s="455"/>
      <c r="H71" s="455"/>
      <c r="I71" s="455"/>
      <c r="J71" s="455">
        <v>131318</v>
      </c>
      <c r="K71" s="455">
        <v>101762.91</v>
      </c>
      <c r="N71" s="1"/>
      <c r="O71" s="1"/>
      <c r="P71" s="2"/>
      <c r="Q71" s="2"/>
      <c r="R71" s="218"/>
    </row>
    <row r="72" spans="1:18">
      <c r="A72" s="457" t="s">
        <v>376</v>
      </c>
      <c r="B72" s="455">
        <v>25791</v>
      </c>
      <c r="C72" s="455">
        <v>11923.18</v>
      </c>
      <c r="D72" s="455">
        <v>381234</v>
      </c>
      <c r="E72" s="455">
        <v>190350.13999999998</v>
      </c>
      <c r="F72" s="455"/>
      <c r="G72" s="455"/>
      <c r="H72" s="455"/>
      <c r="I72" s="455"/>
      <c r="J72" s="455">
        <v>407025</v>
      </c>
      <c r="K72" s="455">
        <v>202273.31999999998</v>
      </c>
      <c r="N72" s="1"/>
      <c r="O72" s="1"/>
      <c r="P72" s="2"/>
      <c r="Q72" s="2"/>
      <c r="R72" s="218"/>
    </row>
    <row r="73" spans="1:18">
      <c r="A73" s="457" t="s">
        <v>399</v>
      </c>
      <c r="B73" s="455"/>
      <c r="C73" s="455"/>
      <c r="D73" s="455">
        <v>85748.45</v>
      </c>
      <c r="E73" s="455">
        <v>89489.1</v>
      </c>
      <c r="F73" s="455"/>
      <c r="G73" s="455"/>
      <c r="H73" s="455"/>
      <c r="I73" s="455"/>
      <c r="J73" s="455">
        <v>85748.45</v>
      </c>
      <c r="K73" s="455">
        <v>89489.1</v>
      </c>
      <c r="N73" s="1"/>
      <c r="O73" s="1"/>
      <c r="P73" s="2"/>
      <c r="Q73" s="2"/>
      <c r="R73" s="218"/>
    </row>
    <row r="74" spans="1:18">
      <c r="A74" s="457" t="s">
        <v>41</v>
      </c>
      <c r="B74" s="455">
        <v>578</v>
      </c>
      <c r="C74" s="455">
        <v>803.42</v>
      </c>
      <c r="D74" s="455">
        <v>643.79999999999995</v>
      </c>
      <c r="E74" s="455">
        <v>611.64</v>
      </c>
      <c r="F74" s="455"/>
      <c r="G74" s="455"/>
      <c r="H74" s="455"/>
      <c r="I74" s="455"/>
      <c r="J74" s="455">
        <v>1221.8</v>
      </c>
      <c r="K74" s="455">
        <v>1415.06</v>
      </c>
      <c r="N74" s="1"/>
      <c r="O74" s="1"/>
      <c r="P74" s="2"/>
      <c r="Q74" s="2"/>
      <c r="R74" s="218"/>
    </row>
    <row r="75" spans="1:18">
      <c r="A75" s="457" t="s">
        <v>131</v>
      </c>
      <c r="B75" s="455">
        <v>148</v>
      </c>
      <c r="C75" s="455">
        <v>291.68</v>
      </c>
      <c r="D75" s="455">
        <v>48.2</v>
      </c>
      <c r="E75" s="455">
        <v>91.86</v>
      </c>
      <c r="F75" s="455"/>
      <c r="G75" s="455"/>
      <c r="H75" s="455"/>
      <c r="I75" s="455"/>
      <c r="J75" s="455">
        <v>196.2</v>
      </c>
      <c r="K75" s="455">
        <v>383.54</v>
      </c>
      <c r="N75" s="1"/>
      <c r="O75" s="1"/>
      <c r="P75" s="2"/>
      <c r="Q75" s="2"/>
      <c r="R75" s="218"/>
    </row>
    <row r="76" spans="1:18">
      <c r="A76" s="457" t="s">
        <v>379</v>
      </c>
      <c r="B76" s="455">
        <v>135</v>
      </c>
      <c r="C76" s="455">
        <v>682.65</v>
      </c>
      <c r="D76" s="455">
        <v>23.8</v>
      </c>
      <c r="E76" s="455">
        <v>117.31</v>
      </c>
      <c r="F76" s="455"/>
      <c r="G76" s="455"/>
      <c r="H76" s="455"/>
      <c r="I76" s="455"/>
      <c r="J76" s="455">
        <v>158.80000000000001</v>
      </c>
      <c r="K76" s="455">
        <v>799.96</v>
      </c>
      <c r="N76" s="1"/>
      <c r="O76" s="1"/>
      <c r="P76" s="2"/>
      <c r="Q76" s="2"/>
      <c r="R76" s="218"/>
    </row>
    <row r="77" spans="1:18">
      <c r="A77" s="457" t="s">
        <v>175</v>
      </c>
      <c r="B77" s="455">
        <v>44</v>
      </c>
      <c r="C77" s="455">
        <v>305.36</v>
      </c>
      <c r="D77" s="455">
        <v>23.4</v>
      </c>
      <c r="E77" s="455">
        <v>180.58</v>
      </c>
      <c r="F77" s="455"/>
      <c r="G77" s="455"/>
      <c r="H77" s="455"/>
      <c r="I77" s="455"/>
      <c r="J77" s="455">
        <v>67.400000000000006</v>
      </c>
      <c r="K77" s="455">
        <v>485.94000000000005</v>
      </c>
      <c r="N77" s="1"/>
      <c r="O77" s="1"/>
      <c r="P77" s="2"/>
      <c r="Q77" s="2"/>
      <c r="R77" s="218"/>
    </row>
    <row r="78" spans="1:18">
      <c r="A78" s="457" t="s">
        <v>277</v>
      </c>
      <c r="B78" s="455">
        <v>34.56</v>
      </c>
      <c r="C78" s="455">
        <v>186.97</v>
      </c>
      <c r="D78" s="455">
        <v>69.400000000000006</v>
      </c>
      <c r="E78" s="455">
        <v>372.55</v>
      </c>
      <c r="F78" s="455"/>
      <c r="G78" s="455"/>
      <c r="H78" s="455"/>
      <c r="I78" s="455"/>
      <c r="J78" s="455">
        <v>103.96000000000001</v>
      </c>
      <c r="K78" s="455">
        <v>559.52</v>
      </c>
      <c r="N78" s="1"/>
      <c r="O78" s="1"/>
      <c r="P78" s="2"/>
      <c r="Q78" s="2"/>
      <c r="R78" s="218"/>
    </row>
    <row r="79" spans="1:18">
      <c r="A79" s="457" t="s">
        <v>49</v>
      </c>
      <c r="B79" s="455">
        <v>38.6</v>
      </c>
      <c r="C79" s="455">
        <v>104.72</v>
      </c>
      <c r="D79" s="455">
        <v>20.5</v>
      </c>
      <c r="E79" s="455">
        <v>62.6</v>
      </c>
      <c r="F79" s="455"/>
      <c r="G79" s="455"/>
      <c r="H79" s="455"/>
      <c r="I79" s="455"/>
      <c r="J79" s="455">
        <v>59.1</v>
      </c>
      <c r="K79" s="455">
        <v>167.32</v>
      </c>
      <c r="N79" s="1"/>
      <c r="O79" s="1"/>
      <c r="P79" s="2"/>
      <c r="Q79" s="2"/>
      <c r="R79" s="218"/>
    </row>
    <row r="80" spans="1:18">
      <c r="A80" s="457" t="s">
        <v>284</v>
      </c>
      <c r="B80" s="455">
        <v>47.2</v>
      </c>
      <c r="C80" s="455">
        <v>306.81</v>
      </c>
      <c r="D80" s="455">
        <v>56.4</v>
      </c>
      <c r="E80" s="455">
        <v>373.46</v>
      </c>
      <c r="F80" s="455"/>
      <c r="G80" s="455"/>
      <c r="H80" s="455"/>
      <c r="I80" s="455"/>
      <c r="J80" s="455">
        <v>103.6</v>
      </c>
      <c r="K80" s="455">
        <v>680.27</v>
      </c>
      <c r="N80" s="1"/>
      <c r="O80" s="1"/>
      <c r="P80" s="2"/>
      <c r="Q80" s="2"/>
      <c r="R80" s="218"/>
    </row>
    <row r="81" spans="1:18">
      <c r="A81" s="457" t="s">
        <v>305</v>
      </c>
      <c r="B81" s="455">
        <v>1312.55</v>
      </c>
      <c r="C81" s="455">
        <v>4211.97</v>
      </c>
      <c r="D81" s="455">
        <v>828.93</v>
      </c>
      <c r="E81" s="455">
        <v>2177.1</v>
      </c>
      <c r="F81" s="455"/>
      <c r="G81" s="455"/>
      <c r="H81" s="455"/>
      <c r="I81" s="455"/>
      <c r="J81" s="455">
        <v>2141.48</v>
      </c>
      <c r="K81" s="455">
        <v>6389.07</v>
      </c>
      <c r="N81" s="1"/>
      <c r="O81" s="1"/>
      <c r="P81" s="2"/>
      <c r="Q81" s="2"/>
      <c r="R81" s="218"/>
    </row>
    <row r="82" spans="1:18">
      <c r="A82" s="457" t="s">
        <v>260</v>
      </c>
      <c r="B82" s="455">
        <v>979</v>
      </c>
      <c r="C82" s="455">
        <v>493.51</v>
      </c>
      <c r="D82" s="455">
        <v>1612</v>
      </c>
      <c r="E82" s="455">
        <v>812.13</v>
      </c>
      <c r="F82" s="455"/>
      <c r="G82" s="455"/>
      <c r="H82" s="455"/>
      <c r="I82" s="455"/>
      <c r="J82" s="455">
        <v>2591</v>
      </c>
      <c r="K82" s="455">
        <v>1305.6399999999999</v>
      </c>
      <c r="N82" s="1"/>
      <c r="O82" s="1"/>
      <c r="P82" s="2"/>
      <c r="Q82" s="2"/>
      <c r="R82" s="218"/>
    </row>
    <row r="83" spans="1:18">
      <c r="A83" s="457" t="s">
        <v>247</v>
      </c>
      <c r="B83" s="455"/>
      <c r="C83" s="455"/>
      <c r="D83" s="455">
        <v>52725</v>
      </c>
      <c r="E83" s="455">
        <v>29251.83</v>
      </c>
      <c r="F83" s="455"/>
      <c r="G83" s="455"/>
      <c r="H83" s="455"/>
      <c r="I83" s="455"/>
      <c r="J83" s="455">
        <v>52725</v>
      </c>
      <c r="K83" s="455">
        <v>29251.83</v>
      </c>
      <c r="N83" s="1"/>
      <c r="O83" s="1"/>
      <c r="P83" s="2"/>
      <c r="Q83" s="2"/>
      <c r="R83" s="218"/>
    </row>
    <row r="84" spans="1:18">
      <c r="A84" s="457" t="s">
        <v>391</v>
      </c>
      <c r="B84" s="455">
        <v>46829</v>
      </c>
      <c r="C84" s="455">
        <v>60384.67</v>
      </c>
      <c r="D84" s="455">
        <v>75677.259999999995</v>
      </c>
      <c r="E84" s="455">
        <v>96748.739999999991</v>
      </c>
      <c r="F84" s="455"/>
      <c r="G84" s="455"/>
      <c r="H84" s="455"/>
      <c r="I84" s="455"/>
      <c r="J84" s="455">
        <v>122506.26</v>
      </c>
      <c r="K84" s="455">
        <v>157133.40999999997</v>
      </c>
      <c r="N84" s="1"/>
      <c r="O84" s="1"/>
      <c r="P84" s="2"/>
      <c r="Q84" s="2"/>
      <c r="R84" s="218"/>
    </row>
    <row r="85" spans="1:18">
      <c r="A85" s="457" t="s">
        <v>199</v>
      </c>
      <c r="B85" s="455">
        <v>48003</v>
      </c>
      <c r="C85" s="455">
        <v>32162.01</v>
      </c>
      <c r="D85" s="455">
        <v>48400</v>
      </c>
      <c r="E85" s="455">
        <v>32408.639999999999</v>
      </c>
      <c r="F85" s="455"/>
      <c r="G85" s="455"/>
      <c r="H85" s="455"/>
      <c r="I85" s="455"/>
      <c r="J85" s="455">
        <v>96403</v>
      </c>
      <c r="K85" s="455">
        <v>64570.649999999994</v>
      </c>
      <c r="N85" s="1"/>
      <c r="O85" s="1"/>
      <c r="P85" s="2"/>
      <c r="Q85" s="2"/>
      <c r="R85" s="218"/>
    </row>
    <row r="86" spans="1:18">
      <c r="A86" s="457" t="s">
        <v>138</v>
      </c>
      <c r="B86" s="455">
        <v>193493.8</v>
      </c>
      <c r="C86" s="455">
        <v>119810.06</v>
      </c>
      <c r="D86" s="455">
        <v>296720.38</v>
      </c>
      <c r="E86" s="455">
        <v>172261</v>
      </c>
      <c r="F86" s="455"/>
      <c r="G86" s="455"/>
      <c r="H86" s="455"/>
      <c r="I86" s="455"/>
      <c r="J86" s="455">
        <v>490214.18</v>
      </c>
      <c r="K86" s="455">
        <v>292071.06</v>
      </c>
      <c r="N86" s="1"/>
      <c r="O86" s="1"/>
      <c r="P86" s="2"/>
      <c r="Q86" s="2"/>
      <c r="R86" s="218"/>
    </row>
    <row r="87" spans="1:18">
      <c r="A87" s="457" t="s">
        <v>486</v>
      </c>
      <c r="B87" s="455">
        <v>472</v>
      </c>
      <c r="C87" s="455">
        <v>566.39999999999986</v>
      </c>
      <c r="D87" s="455">
        <v>1534</v>
      </c>
      <c r="E87" s="455">
        <v>1840.81</v>
      </c>
      <c r="F87" s="455"/>
      <c r="G87" s="455"/>
      <c r="H87" s="455"/>
      <c r="I87" s="455"/>
      <c r="J87" s="455">
        <v>2006</v>
      </c>
      <c r="K87" s="455">
        <v>2407.21</v>
      </c>
      <c r="N87" s="1"/>
      <c r="O87" s="1"/>
      <c r="P87" s="2"/>
      <c r="Q87" s="2"/>
      <c r="R87" s="218"/>
    </row>
    <row r="88" spans="1:18">
      <c r="A88" s="457" t="s">
        <v>217</v>
      </c>
      <c r="B88" s="455">
        <v>42.1</v>
      </c>
      <c r="C88" s="455">
        <v>1770.3000000000002</v>
      </c>
      <c r="D88" s="455">
        <v>77</v>
      </c>
      <c r="E88" s="455">
        <v>3273.68</v>
      </c>
      <c r="F88" s="455"/>
      <c r="G88" s="455"/>
      <c r="H88" s="455"/>
      <c r="I88" s="455"/>
      <c r="J88" s="455">
        <v>119.1</v>
      </c>
      <c r="K88" s="455">
        <v>5043.9799999999996</v>
      </c>
      <c r="N88" s="1"/>
      <c r="O88" s="1"/>
      <c r="P88" s="2"/>
      <c r="Q88" s="2"/>
      <c r="R88" s="218"/>
    </row>
    <row r="89" spans="1:18">
      <c r="A89" s="457" t="s">
        <v>231</v>
      </c>
      <c r="B89" s="455">
        <v>8210</v>
      </c>
      <c r="C89" s="455">
        <v>7812.64</v>
      </c>
      <c r="D89" s="455">
        <v>7635</v>
      </c>
      <c r="E89" s="455">
        <v>7277.68</v>
      </c>
      <c r="F89" s="455"/>
      <c r="G89" s="455"/>
      <c r="H89" s="455"/>
      <c r="I89" s="455"/>
      <c r="J89" s="455">
        <v>15845</v>
      </c>
      <c r="K89" s="455">
        <v>15090.32</v>
      </c>
      <c r="N89" s="1"/>
      <c r="O89" s="1"/>
      <c r="P89" s="2"/>
      <c r="Q89" s="2"/>
      <c r="R89" s="218"/>
    </row>
    <row r="90" spans="1:18">
      <c r="A90" s="457" t="s">
        <v>229</v>
      </c>
      <c r="B90" s="455"/>
      <c r="C90" s="455"/>
      <c r="D90" s="455">
        <v>1188</v>
      </c>
      <c r="E90" s="455">
        <v>4977.72</v>
      </c>
      <c r="F90" s="455"/>
      <c r="G90" s="455"/>
      <c r="H90" s="455"/>
      <c r="I90" s="455"/>
      <c r="J90" s="455">
        <v>1188</v>
      </c>
      <c r="K90" s="455">
        <v>4977.72</v>
      </c>
      <c r="N90" s="1"/>
      <c r="O90" s="1"/>
      <c r="P90" s="2"/>
      <c r="Q90" s="2"/>
      <c r="R90" s="218"/>
    </row>
    <row r="91" spans="1:18">
      <c r="A91" s="457" t="s">
        <v>215</v>
      </c>
      <c r="B91" s="455">
        <v>36</v>
      </c>
      <c r="C91" s="455">
        <v>32.76</v>
      </c>
      <c r="D91" s="455">
        <v>263</v>
      </c>
      <c r="E91" s="455">
        <v>239.33</v>
      </c>
      <c r="F91" s="455"/>
      <c r="G91" s="455"/>
      <c r="H91" s="455"/>
      <c r="I91" s="455"/>
      <c r="J91" s="455">
        <v>299</v>
      </c>
      <c r="K91" s="455">
        <v>272.09000000000003</v>
      </c>
      <c r="N91" s="1"/>
      <c r="O91" s="1"/>
      <c r="P91" s="2"/>
      <c r="Q91" s="2"/>
      <c r="R91" s="218"/>
    </row>
    <row r="92" spans="1:18">
      <c r="A92" s="457" t="s">
        <v>202</v>
      </c>
      <c r="B92" s="455">
        <v>778.97</v>
      </c>
      <c r="C92" s="455">
        <v>5319.51</v>
      </c>
      <c r="D92" s="455">
        <v>1244</v>
      </c>
      <c r="E92" s="455">
        <v>6828.5599999999995</v>
      </c>
      <c r="F92" s="455"/>
      <c r="G92" s="455"/>
      <c r="H92" s="455"/>
      <c r="I92" s="455"/>
      <c r="J92" s="455">
        <v>2022.97</v>
      </c>
      <c r="K92" s="455">
        <v>12148.07</v>
      </c>
      <c r="N92" s="1"/>
      <c r="O92" s="1"/>
      <c r="P92" s="2"/>
      <c r="Q92" s="2"/>
      <c r="R92" s="218"/>
    </row>
    <row r="93" spans="1:18">
      <c r="A93" s="227" t="s">
        <v>2752</v>
      </c>
      <c r="B93" s="81"/>
      <c r="C93" s="81"/>
      <c r="D93" s="81">
        <v>29167.96</v>
      </c>
      <c r="E93" s="81">
        <v>13555.779999999999</v>
      </c>
      <c r="F93" s="81"/>
      <c r="G93" s="81"/>
      <c r="H93" s="81"/>
      <c r="I93" s="81"/>
      <c r="J93" s="81">
        <v>29167.96</v>
      </c>
      <c r="K93" s="81">
        <v>13555.779999999999</v>
      </c>
      <c r="N93" s="1"/>
      <c r="O93" s="1"/>
      <c r="P93" s="2"/>
      <c r="Q93" s="2"/>
      <c r="R93" s="218"/>
    </row>
    <row r="94" spans="1:18">
      <c r="A94" s="227" t="s">
        <v>2768</v>
      </c>
      <c r="B94" s="81">
        <v>200</v>
      </c>
      <c r="C94" s="81">
        <v>9229.68</v>
      </c>
      <c r="D94" s="81">
        <v>300</v>
      </c>
      <c r="E94" s="81">
        <v>9827.94</v>
      </c>
      <c r="F94" s="81"/>
      <c r="G94" s="81"/>
      <c r="H94" s="81"/>
      <c r="I94" s="81"/>
      <c r="J94" s="81">
        <v>500</v>
      </c>
      <c r="K94" s="81">
        <v>19057.620000000003</v>
      </c>
      <c r="N94" s="1"/>
      <c r="O94" s="1"/>
      <c r="P94" s="2"/>
      <c r="Q94" s="2"/>
      <c r="R94" s="218"/>
    </row>
    <row r="95" spans="1:18">
      <c r="A95" s="227" t="s">
        <v>2867</v>
      </c>
      <c r="B95" s="81"/>
      <c r="C95" s="81"/>
      <c r="D95" s="81">
        <v>720</v>
      </c>
      <c r="E95" s="81">
        <v>8784</v>
      </c>
      <c r="F95" s="81"/>
      <c r="G95" s="81"/>
      <c r="H95" s="81"/>
      <c r="I95" s="81"/>
      <c r="J95" s="81">
        <v>720</v>
      </c>
      <c r="K95" s="81">
        <v>8784</v>
      </c>
      <c r="N95" s="1"/>
      <c r="O95" s="1"/>
      <c r="P95" s="2"/>
      <c r="Q95" s="2"/>
      <c r="R95" s="218"/>
    </row>
    <row r="96" spans="1:18">
      <c r="A96" s="227" t="s">
        <v>2869</v>
      </c>
      <c r="B96" s="81"/>
      <c r="C96" s="81"/>
      <c r="D96" s="81">
        <v>0</v>
      </c>
      <c r="E96" s="81">
        <v>0</v>
      </c>
      <c r="F96" s="81"/>
      <c r="G96" s="81"/>
      <c r="H96" s="81"/>
      <c r="I96" s="81"/>
      <c r="J96" s="81">
        <v>0</v>
      </c>
      <c r="K96" s="81">
        <v>0</v>
      </c>
      <c r="N96" s="1"/>
      <c r="O96" s="1"/>
      <c r="P96" s="2"/>
      <c r="Q96" s="2"/>
      <c r="R96" s="218"/>
    </row>
    <row r="97" spans="1:18">
      <c r="A97" s="227" t="s">
        <v>443</v>
      </c>
      <c r="B97" s="81"/>
      <c r="C97" s="81"/>
      <c r="D97" s="81">
        <v>25734</v>
      </c>
      <c r="E97" s="81">
        <v>25219.32</v>
      </c>
      <c r="F97" s="81"/>
      <c r="G97" s="81"/>
      <c r="H97" s="81"/>
      <c r="I97" s="81"/>
      <c r="J97" s="81">
        <v>25734</v>
      </c>
      <c r="K97" s="81">
        <v>25219.32</v>
      </c>
      <c r="N97" s="1"/>
      <c r="O97" s="1"/>
      <c r="P97" s="2"/>
      <c r="Q97" s="2"/>
      <c r="R97" s="218"/>
    </row>
    <row r="98" spans="1:18">
      <c r="A98" s="457" t="s">
        <v>2893</v>
      </c>
      <c r="B98" s="455">
        <v>6800</v>
      </c>
      <c r="C98" s="455">
        <v>5916</v>
      </c>
      <c r="D98" s="81"/>
      <c r="E98" s="81"/>
      <c r="F98" s="81"/>
      <c r="G98" s="81"/>
      <c r="H98" s="81"/>
      <c r="I98" s="81"/>
      <c r="J98" s="81">
        <v>6800</v>
      </c>
      <c r="K98" s="81">
        <v>5916</v>
      </c>
      <c r="N98" s="1"/>
      <c r="O98" s="1"/>
      <c r="P98" s="2"/>
      <c r="Q98" s="2"/>
      <c r="R98" s="218"/>
    </row>
    <row r="99" spans="1:18">
      <c r="A99" s="423" t="s">
        <v>2915</v>
      </c>
      <c r="B99" s="424">
        <v>30600</v>
      </c>
      <c r="C99" s="424">
        <v>26622</v>
      </c>
      <c r="D99" s="424">
        <v>1200</v>
      </c>
      <c r="E99" s="424">
        <v>1044</v>
      </c>
      <c r="F99" s="81"/>
      <c r="G99" s="81"/>
      <c r="H99" s="81"/>
      <c r="I99" s="81"/>
      <c r="J99" s="81">
        <v>31800</v>
      </c>
      <c r="K99" s="81">
        <v>27666</v>
      </c>
      <c r="N99" s="1"/>
      <c r="O99" s="1"/>
      <c r="P99" s="2"/>
      <c r="Q99" s="2"/>
      <c r="R99" s="218"/>
    </row>
    <row r="100" spans="1:18">
      <c r="A100" s="456" t="s">
        <v>726</v>
      </c>
      <c r="B100" s="455">
        <v>533273.93999999994</v>
      </c>
      <c r="C100" s="455">
        <v>533858.09000000008</v>
      </c>
      <c r="D100" s="455">
        <v>2401398.2599999998</v>
      </c>
      <c r="E100" s="455">
        <v>2008952.5300000005</v>
      </c>
      <c r="F100" s="455"/>
      <c r="G100" s="455"/>
      <c r="H100" s="455"/>
      <c r="I100" s="455"/>
      <c r="J100" s="455">
        <v>2934672.2</v>
      </c>
      <c r="K100" s="455">
        <v>2542810.6199999992</v>
      </c>
      <c r="N100" s="1"/>
      <c r="O100" s="1"/>
      <c r="P100" s="2"/>
      <c r="Q100" s="2"/>
      <c r="R100" s="218"/>
    </row>
    <row r="101" spans="1:18">
      <c r="A101" s="456" t="s">
        <v>18</v>
      </c>
      <c r="B101" s="81"/>
      <c r="C101" s="81"/>
      <c r="D101" s="81"/>
      <c r="E101" s="81"/>
      <c r="F101" s="81"/>
      <c r="G101" s="81"/>
      <c r="H101" s="81"/>
      <c r="I101" s="81"/>
      <c r="J101" s="81"/>
      <c r="K101" s="81"/>
      <c r="N101" s="1"/>
      <c r="O101" s="1"/>
      <c r="P101" s="2"/>
      <c r="Q101" s="2"/>
      <c r="R101" s="218"/>
    </row>
    <row r="102" spans="1:18">
      <c r="A102" s="457" t="s">
        <v>428</v>
      </c>
      <c r="B102" s="455">
        <v>67</v>
      </c>
      <c r="C102" s="455">
        <v>6675.04</v>
      </c>
      <c r="D102" s="455">
        <v>9</v>
      </c>
      <c r="E102" s="455">
        <v>842.31</v>
      </c>
      <c r="F102" s="455"/>
      <c r="G102" s="455"/>
      <c r="H102" s="455"/>
      <c r="I102" s="455"/>
      <c r="J102" s="455">
        <v>76</v>
      </c>
      <c r="K102" s="455">
        <v>7517.35</v>
      </c>
      <c r="N102" s="1"/>
      <c r="O102" s="1"/>
      <c r="P102" s="2"/>
      <c r="Q102" s="2"/>
      <c r="R102" s="218"/>
    </row>
    <row r="103" spans="1:18">
      <c r="A103" s="457" t="s">
        <v>472</v>
      </c>
      <c r="B103" s="455">
        <v>7590</v>
      </c>
      <c r="C103" s="455">
        <v>3620.58</v>
      </c>
      <c r="D103" s="455">
        <v>8967</v>
      </c>
      <c r="E103" s="455">
        <v>5255.38</v>
      </c>
      <c r="F103" s="455"/>
      <c r="G103" s="455"/>
      <c r="H103" s="455"/>
      <c r="I103" s="455"/>
      <c r="J103" s="455">
        <v>16557</v>
      </c>
      <c r="K103" s="455">
        <v>8875.9599999999991</v>
      </c>
      <c r="N103" s="1"/>
      <c r="O103" s="1"/>
      <c r="P103" s="2"/>
      <c r="Q103" s="2"/>
      <c r="R103" s="218"/>
    </row>
    <row r="104" spans="1:18">
      <c r="A104" s="457" t="s">
        <v>500</v>
      </c>
      <c r="B104" s="455">
        <v>17080</v>
      </c>
      <c r="C104" s="455">
        <v>7931.22</v>
      </c>
      <c r="D104" s="455">
        <v>30770</v>
      </c>
      <c r="E104" s="455">
        <v>18038.649999999998</v>
      </c>
      <c r="F104" s="455"/>
      <c r="G104" s="455"/>
      <c r="H104" s="455"/>
      <c r="I104" s="455"/>
      <c r="J104" s="455">
        <v>47850</v>
      </c>
      <c r="K104" s="455">
        <v>25969.87</v>
      </c>
      <c r="N104" s="1"/>
      <c r="O104" s="1"/>
      <c r="P104" s="2"/>
      <c r="Q104" s="2"/>
      <c r="R104" s="218"/>
    </row>
    <row r="105" spans="1:18">
      <c r="A105" s="457" t="s">
        <v>551</v>
      </c>
      <c r="B105" s="455">
        <v>17515</v>
      </c>
      <c r="C105" s="455">
        <v>8935.68</v>
      </c>
      <c r="D105" s="455">
        <v>1727</v>
      </c>
      <c r="E105" s="455">
        <v>904.95</v>
      </c>
      <c r="F105" s="455"/>
      <c r="G105" s="455"/>
      <c r="H105" s="455"/>
      <c r="I105" s="455"/>
      <c r="J105" s="455">
        <v>19242</v>
      </c>
      <c r="K105" s="455">
        <v>9840.630000000001</v>
      </c>
      <c r="N105" s="1"/>
      <c r="O105" s="1"/>
      <c r="P105" s="2"/>
      <c r="Q105" s="2"/>
      <c r="R105" s="218"/>
    </row>
    <row r="106" spans="1:18">
      <c r="A106" s="227" t="s">
        <v>582</v>
      </c>
      <c r="B106" s="81">
        <v>5115</v>
      </c>
      <c r="C106" s="81">
        <v>1749.33</v>
      </c>
      <c r="D106" s="81">
        <v>5717</v>
      </c>
      <c r="E106" s="81">
        <v>3440.25</v>
      </c>
      <c r="F106" s="81"/>
      <c r="G106" s="81"/>
      <c r="H106" s="81"/>
      <c r="I106" s="81"/>
      <c r="J106" s="81">
        <v>10832</v>
      </c>
      <c r="K106" s="81">
        <v>5189.58</v>
      </c>
      <c r="N106" s="1"/>
      <c r="O106" s="1"/>
      <c r="P106" s="2"/>
      <c r="Q106" s="2"/>
      <c r="R106" s="218"/>
    </row>
    <row r="107" spans="1:18">
      <c r="A107" s="457" t="s">
        <v>157</v>
      </c>
      <c r="B107" s="455">
        <v>4795</v>
      </c>
      <c r="C107" s="455">
        <v>2466.67</v>
      </c>
      <c r="D107" s="455"/>
      <c r="E107" s="455"/>
      <c r="F107" s="455"/>
      <c r="G107" s="455"/>
      <c r="H107" s="455"/>
      <c r="I107" s="455"/>
      <c r="J107" s="455">
        <v>4795</v>
      </c>
      <c r="K107" s="455">
        <v>2466.67</v>
      </c>
      <c r="N107" s="1"/>
      <c r="O107" s="1"/>
      <c r="P107" s="2"/>
      <c r="Q107" s="2"/>
      <c r="R107" s="218"/>
    </row>
    <row r="108" spans="1:18">
      <c r="A108" s="227" t="s">
        <v>279</v>
      </c>
      <c r="B108" s="81">
        <v>6694</v>
      </c>
      <c r="C108" s="81">
        <v>3411.0600000000004</v>
      </c>
      <c r="D108" s="81">
        <v>8620</v>
      </c>
      <c r="E108" s="81">
        <v>5185.8500000000004</v>
      </c>
      <c r="F108" s="81"/>
      <c r="G108" s="81"/>
      <c r="H108" s="81"/>
      <c r="I108" s="81"/>
      <c r="J108" s="81">
        <v>15314</v>
      </c>
      <c r="K108" s="81">
        <v>8596.91</v>
      </c>
      <c r="N108" s="1"/>
      <c r="O108" s="1"/>
      <c r="P108" s="2"/>
      <c r="Q108" s="2"/>
      <c r="R108" s="218"/>
    </row>
    <row r="109" spans="1:18">
      <c r="A109" s="457" t="s">
        <v>667</v>
      </c>
      <c r="B109" s="455"/>
      <c r="C109" s="455"/>
      <c r="D109" s="455">
        <v>109</v>
      </c>
      <c r="E109" s="455">
        <v>116.03</v>
      </c>
      <c r="F109" s="455"/>
      <c r="G109" s="455"/>
      <c r="H109" s="455"/>
      <c r="I109" s="455"/>
      <c r="J109" s="455">
        <v>109</v>
      </c>
      <c r="K109" s="455">
        <v>116.03</v>
      </c>
      <c r="N109" s="1"/>
      <c r="O109" s="1"/>
      <c r="P109" s="2"/>
      <c r="Q109" s="2"/>
      <c r="R109" s="218"/>
    </row>
    <row r="110" spans="1:18">
      <c r="A110" s="457" t="s">
        <v>526</v>
      </c>
      <c r="B110" s="455">
        <v>19002</v>
      </c>
      <c r="C110" s="455">
        <v>12481.16</v>
      </c>
      <c r="D110" s="455">
        <v>17583</v>
      </c>
      <c r="E110" s="455">
        <v>14243.93</v>
      </c>
      <c r="F110" s="455"/>
      <c r="G110" s="455"/>
      <c r="H110" s="455"/>
      <c r="I110" s="455"/>
      <c r="J110" s="455">
        <v>36585</v>
      </c>
      <c r="K110" s="455">
        <v>26725.09</v>
      </c>
      <c r="N110" s="1"/>
      <c r="O110" s="1"/>
      <c r="P110" s="2"/>
      <c r="Q110" s="2"/>
      <c r="R110" s="218"/>
    </row>
    <row r="111" spans="1:18">
      <c r="A111" s="457" t="s">
        <v>568</v>
      </c>
      <c r="B111" s="455">
        <v>13041</v>
      </c>
      <c r="C111" s="455">
        <v>7316</v>
      </c>
      <c r="D111" s="455">
        <v>6485</v>
      </c>
      <c r="E111" s="455">
        <v>4137.26</v>
      </c>
      <c r="F111" s="455"/>
      <c r="G111" s="455"/>
      <c r="H111" s="455"/>
      <c r="I111" s="455"/>
      <c r="J111" s="455">
        <v>19526</v>
      </c>
      <c r="K111" s="455">
        <v>11453.26</v>
      </c>
      <c r="N111" s="1"/>
      <c r="O111" s="1"/>
      <c r="P111" s="2"/>
      <c r="Q111" s="2"/>
      <c r="R111" s="218"/>
    </row>
    <row r="112" spans="1:18">
      <c r="A112" s="457" t="s">
        <v>14</v>
      </c>
      <c r="B112" s="455">
        <v>25815</v>
      </c>
      <c r="C112" s="455">
        <v>16958.820000000003</v>
      </c>
      <c r="D112" s="455">
        <v>39348</v>
      </c>
      <c r="E112" s="455">
        <v>31394.68</v>
      </c>
      <c r="F112" s="455"/>
      <c r="G112" s="455"/>
      <c r="H112" s="455"/>
      <c r="I112" s="455"/>
      <c r="J112" s="455">
        <v>65163</v>
      </c>
      <c r="K112" s="455">
        <v>48353.5</v>
      </c>
      <c r="N112" s="1"/>
      <c r="O112" s="1"/>
      <c r="P112" s="2"/>
      <c r="Q112" s="2"/>
      <c r="R112" s="218"/>
    </row>
    <row r="113" spans="1:18">
      <c r="A113" s="457" t="s">
        <v>356</v>
      </c>
      <c r="B113" s="455">
        <v>856</v>
      </c>
      <c r="C113" s="455">
        <v>717.76</v>
      </c>
      <c r="D113" s="455"/>
      <c r="E113" s="455"/>
      <c r="F113" s="455"/>
      <c r="G113" s="455"/>
      <c r="H113" s="455"/>
      <c r="I113" s="455"/>
      <c r="J113" s="455">
        <v>856</v>
      </c>
      <c r="K113" s="455">
        <v>717.76</v>
      </c>
      <c r="N113" s="1"/>
      <c r="O113" s="1"/>
      <c r="P113" s="2"/>
      <c r="Q113" s="2"/>
      <c r="R113" s="218"/>
    </row>
    <row r="114" spans="1:18">
      <c r="A114" s="457" t="s">
        <v>76</v>
      </c>
      <c r="B114" s="455">
        <v>3648</v>
      </c>
      <c r="C114" s="455">
        <v>2026.6100000000001</v>
      </c>
      <c r="D114" s="455"/>
      <c r="E114" s="455"/>
      <c r="F114" s="455"/>
      <c r="G114" s="455"/>
      <c r="H114" s="455"/>
      <c r="I114" s="455"/>
      <c r="J114" s="455">
        <v>3648</v>
      </c>
      <c r="K114" s="455">
        <v>2026.6100000000001</v>
      </c>
      <c r="N114" s="1"/>
      <c r="O114" s="1"/>
      <c r="P114" s="2"/>
      <c r="Q114" s="2"/>
      <c r="R114" s="218"/>
    </row>
    <row r="115" spans="1:18">
      <c r="A115" s="457" t="s">
        <v>92</v>
      </c>
      <c r="B115" s="455">
        <v>8109</v>
      </c>
      <c r="C115" s="455">
        <v>2839.56</v>
      </c>
      <c r="D115" s="455">
        <v>25545</v>
      </c>
      <c r="E115" s="455">
        <v>9908.7000000000007</v>
      </c>
      <c r="F115" s="455"/>
      <c r="G115" s="455"/>
      <c r="H115" s="455"/>
      <c r="I115" s="455"/>
      <c r="J115" s="455">
        <v>33654</v>
      </c>
      <c r="K115" s="455">
        <v>12748.26</v>
      </c>
      <c r="N115" s="1"/>
      <c r="O115" s="1"/>
      <c r="P115" s="2"/>
      <c r="Q115" s="2"/>
      <c r="R115" s="218"/>
    </row>
    <row r="116" spans="1:18">
      <c r="A116" s="457" t="s">
        <v>588</v>
      </c>
      <c r="B116" s="455">
        <v>20562</v>
      </c>
      <c r="C116" s="455">
        <v>12234.39</v>
      </c>
      <c r="D116" s="455">
        <v>68640</v>
      </c>
      <c r="E116" s="455">
        <v>51617.440000000002</v>
      </c>
      <c r="F116" s="455"/>
      <c r="G116" s="455"/>
      <c r="H116" s="455"/>
      <c r="I116" s="455"/>
      <c r="J116" s="455">
        <v>89202</v>
      </c>
      <c r="K116" s="455">
        <v>63851.83</v>
      </c>
      <c r="N116" s="1"/>
      <c r="O116" s="1"/>
      <c r="P116" s="2"/>
      <c r="Q116" s="2"/>
      <c r="R116" s="218"/>
    </row>
    <row r="117" spans="1:18">
      <c r="A117" s="457" t="s">
        <v>535</v>
      </c>
      <c r="B117" s="455">
        <v>3988</v>
      </c>
      <c r="C117" s="455">
        <v>2680.7299999999996</v>
      </c>
      <c r="D117" s="455"/>
      <c r="E117" s="455"/>
      <c r="F117" s="455"/>
      <c r="G117" s="455"/>
      <c r="H117" s="455"/>
      <c r="I117" s="455"/>
      <c r="J117" s="455">
        <v>3988</v>
      </c>
      <c r="K117" s="455">
        <v>2680.7299999999996</v>
      </c>
      <c r="N117" s="1"/>
      <c r="O117" s="1"/>
      <c r="P117" s="2"/>
      <c r="Q117" s="2"/>
      <c r="R117" s="218"/>
    </row>
    <row r="118" spans="1:18">
      <c r="A118" s="457" t="s">
        <v>540</v>
      </c>
      <c r="B118" s="455">
        <v>5384</v>
      </c>
      <c r="C118" s="455">
        <v>3011.23</v>
      </c>
      <c r="D118" s="455"/>
      <c r="E118" s="455"/>
      <c r="F118" s="455"/>
      <c r="G118" s="455"/>
      <c r="H118" s="455"/>
      <c r="I118" s="455"/>
      <c r="J118" s="455">
        <v>5384</v>
      </c>
      <c r="K118" s="455">
        <v>3011.23</v>
      </c>
      <c r="N118" s="1"/>
      <c r="O118" s="1"/>
      <c r="P118" s="2"/>
      <c r="Q118" s="2"/>
      <c r="R118" s="218"/>
    </row>
    <row r="119" spans="1:18">
      <c r="A119" s="457" t="s">
        <v>609</v>
      </c>
      <c r="B119" s="455">
        <v>33716</v>
      </c>
      <c r="C119" s="455">
        <v>15364.349999999999</v>
      </c>
      <c r="D119" s="455">
        <v>30970</v>
      </c>
      <c r="E119" s="455">
        <v>17151.449999999997</v>
      </c>
      <c r="F119" s="455"/>
      <c r="G119" s="455"/>
      <c r="H119" s="455"/>
      <c r="I119" s="455"/>
      <c r="J119" s="455">
        <v>64686</v>
      </c>
      <c r="K119" s="455">
        <v>32515.799999999996</v>
      </c>
      <c r="N119" s="1"/>
      <c r="O119" s="1"/>
      <c r="P119" s="2"/>
      <c r="Q119" s="2"/>
      <c r="R119" s="218"/>
    </row>
    <row r="120" spans="1:18">
      <c r="A120" s="457" t="s">
        <v>621</v>
      </c>
      <c r="B120" s="455">
        <v>11771</v>
      </c>
      <c r="C120" s="455">
        <v>3743.05</v>
      </c>
      <c r="D120" s="455">
        <v>49877</v>
      </c>
      <c r="E120" s="455">
        <v>19261.689999999999</v>
      </c>
      <c r="F120" s="455"/>
      <c r="G120" s="455"/>
      <c r="H120" s="455"/>
      <c r="I120" s="455"/>
      <c r="J120" s="455">
        <v>61648</v>
      </c>
      <c r="K120" s="455">
        <v>23004.739999999998</v>
      </c>
      <c r="L120" s="81"/>
      <c r="N120" s="1"/>
      <c r="O120" s="1"/>
      <c r="P120" s="2"/>
      <c r="Q120" s="2"/>
      <c r="R120" s="218"/>
    </row>
    <row r="121" spans="1:18">
      <c r="A121" s="457" t="s">
        <v>532</v>
      </c>
      <c r="B121" s="455">
        <v>194</v>
      </c>
      <c r="C121" s="455">
        <v>138.28</v>
      </c>
      <c r="D121" s="455"/>
      <c r="E121" s="455"/>
      <c r="F121" s="455"/>
      <c r="G121" s="455"/>
      <c r="H121" s="455"/>
      <c r="I121" s="455"/>
      <c r="J121" s="455">
        <v>194</v>
      </c>
      <c r="K121" s="455">
        <v>138.28</v>
      </c>
      <c r="L121" s="81"/>
      <c r="N121" s="1"/>
      <c r="O121" s="1"/>
      <c r="P121" s="2"/>
      <c r="Q121" s="2"/>
      <c r="R121" s="218"/>
    </row>
    <row r="122" spans="1:18">
      <c r="A122" s="457" t="s">
        <v>642</v>
      </c>
      <c r="B122" s="455"/>
      <c r="C122" s="455"/>
      <c r="D122" s="455">
        <v>22539</v>
      </c>
      <c r="E122" s="455">
        <v>15353.52</v>
      </c>
      <c r="F122" s="455"/>
      <c r="G122" s="455"/>
      <c r="H122" s="455"/>
      <c r="I122" s="455"/>
      <c r="J122" s="455">
        <v>22539</v>
      </c>
      <c r="K122" s="455">
        <v>15353.52</v>
      </c>
      <c r="L122" s="81"/>
      <c r="N122" s="1"/>
      <c r="O122" s="1"/>
      <c r="P122" s="2"/>
      <c r="Q122" s="2"/>
      <c r="R122" s="218"/>
    </row>
    <row r="123" spans="1:18">
      <c r="A123" s="457" t="s">
        <v>655</v>
      </c>
      <c r="B123" s="455">
        <v>33697</v>
      </c>
      <c r="C123" s="455">
        <v>16007.58</v>
      </c>
      <c r="D123" s="455">
        <v>37860</v>
      </c>
      <c r="E123" s="455">
        <v>22291.000000000004</v>
      </c>
      <c r="F123" s="455"/>
      <c r="G123" s="455"/>
      <c r="H123" s="455"/>
      <c r="I123" s="455"/>
      <c r="J123" s="455">
        <v>71557</v>
      </c>
      <c r="K123" s="455">
        <v>38298.58</v>
      </c>
      <c r="L123" s="81"/>
      <c r="N123" s="1"/>
      <c r="O123" s="1"/>
      <c r="P123" s="2"/>
      <c r="Q123" s="2"/>
      <c r="R123" s="218"/>
    </row>
    <row r="124" spans="1:18">
      <c r="A124" s="457" t="s">
        <v>453</v>
      </c>
      <c r="B124" s="455"/>
      <c r="C124" s="455"/>
      <c r="D124" s="455">
        <v>299985</v>
      </c>
      <c r="E124" s="455">
        <v>26563.42</v>
      </c>
      <c r="F124" s="455"/>
      <c r="G124" s="455"/>
      <c r="H124" s="455"/>
      <c r="I124" s="455"/>
      <c r="J124" s="455">
        <v>299985</v>
      </c>
      <c r="K124" s="455">
        <v>26563.42</v>
      </c>
      <c r="L124" s="81"/>
      <c r="N124" s="1"/>
      <c r="O124" s="1"/>
      <c r="P124" s="2"/>
      <c r="Q124" s="2"/>
      <c r="R124" s="218"/>
    </row>
    <row r="125" spans="1:18">
      <c r="A125" s="457" t="s">
        <v>456</v>
      </c>
      <c r="B125" s="455">
        <v>102268</v>
      </c>
      <c r="C125" s="455">
        <v>36380.6</v>
      </c>
      <c r="D125" s="455">
        <v>73903</v>
      </c>
      <c r="E125" s="455">
        <v>22395.74</v>
      </c>
      <c r="F125" s="455"/>
      <c r="G125" s="455"/>
      <c r="H125" s="455"/>
      <c r="I125" s="455"/>
      <c r="J125" s="455">
        <v>176171</v>
      </c>
      <c r="K125" s="455">
        <v>58776.34</v>
      </c>
      <c r="L125" s="81"/>
      <c r="N125" s="1"/>
      <c r="O125" s="1"/>
      <c r="P125" s="2"/>
      <c r="Q125" s="2"/>
      <c r="R125" s="218"/>
    </row>
    <row r="126" spans="1:18">
      <c r="A126" s="457" t="s">
        <v>418</v>
      </c>
      <c r="B126" s="455">
        <v>50236</v>
      </c>
      <c r="C126" s="455">
        <v>13344.920000000002</v>
      </c>
      <c r="D126" s="455">
        <v>80951</v>
      </c>
      <c r="E126" s="455">
        <v>17703.78</v>
      </c>
      <c r="F126" s="455"/>
      <c r="G126" s="455"/>
      <c r="H126" s="455"/>
      <c r="I126" s="455"/>
      <c r="J126" s="455">
        <v>131187</v>
      </c>
      <c r="K126" s="455">
        <v>31048.7</v>
      </c>
      <c r="L126" s="81"/>
      <c r="N126" s="1"/>
      <c r="O126" s="1"/>
      <c r="P126" s="2"/>
      <c r="Q126" s="2"/>
      <c r="R126" s="218"/>
    </row>
    <row r="127" spans="1:18">
      <c r="A127" s="457" t="s">
        <v>519</v>
      </c>
      <c r="B127" s="455">
        <v>96464</v>
      </c>
      <c r="C127" s="455">
        <v>22041.34</v>
      </c>
      <c r="D127" s="455">
        <v>340187</v>
      </c>
      <c r="E127" s="455">
        <v>67024.91</v>
      </c>
      <c r="F127" s="455"/>
      <c r="G127" s="455"/>
      <c r="H127" s="455"/>
      <c r="I127" s="455"/>
      <c r="J127" s="455">
        <v>436651</v>
      </c>
      <c r="K127" s="455">
        <v>89066.25</v>
      </c>
      <c r="L127" s="81"/>
      <c r="N127" s="1"/>
      <c r="O127" s="1"/>
      <c r="P127" s="2"/>
      <c r="Q127" s="2"/>
      <c r="R127" s="218"/>
    </row>
    <row r="128" spans="1:18">
      <c r="A128" s="457" t="s">
        <v>24</v>
      </c>
      <c r="B128" s="455">
        <v>231176</v>
      </c>
      <c r="C128" s="455">
        <v>5455.75</v>
      </c>
      <c r="D128" s="455">
        <v>91106</v>
      </c>
      <c r="E128" s="455">
        <v>2159.21</v>
      </c>
      <c r="F128" s="455"/>
      <c r="G128" s="455"/>
      <c r="H128" s="455"/>
      <c r="I128" s="455"/>
      <c r="J128" s="455">
        <v>322282</v>
      </c>
      <c r="K128" s="455">
        <v>7614.96</v>
      </c>
      <c r="L128" s="81"/>
      <c r="N128" s="1"/>
      <c r="O128" s="1"/>
      <c r="P128" s="2"/>
      <c r="Q128" s="2"/>
      <c r="R128" s="218"/>
    </row>
    <row r="129" spans="1:18">
      <c r="A129" s="457" t="s">
        <v>576</v>
      </c>
      <c r="B129" s="455"/>
      <c r="C129" s="455"/>
      <c r="D129" s="455">
        <v>1522650</v>
      </c>
      <c r="E129" s="455">
        <v>32894.26</v>
      </c>
      <c r="F129" s="455"/>
      <c r="G129" s="455"/>
      <c r="H129" s="455"/>
      <c r="I129" s="455"/>
      <c r="J129" s="455">
        <v>1522650</v>
      </c>
      <c r="K129" s="455">
        <v>32894.26</v>
      </c>
      <c r="L129" s="81"/>
      <c r="N129" s="1"/>
      <c r="O129" s="1"/>
      <c r="P129" s="2"/>
      <c r="Q129" s="2"/>
      <c r="R129" s="218"/>
    </row>
    <row r="130" spans="1:18">
      <c r="A130" s="457" t="s">
        <v>69</v>
      </c>
      <c r="B130" s="455">
        <v>168818</v>
      </c>
      <c r="C130" s="455">
        <v>3995.6</v>
      </c>
      <c r="D130" s="455">
        <v>140876</v>
      </c>
      <c r="E130" s="455">
        <v>3342.17</v>
      </c>
      <c r="F130" s="455"/>
      <c r="G130" s="455"/>
      <c r="H130" s="455"/>
      <c r="I130" s="455"/>
      <c r="J130" s="455">
        <v>309694</v>
      </c>
      <c r="K130" s="455">
        <v>7337.77</v>
      </c>
      <c r="L130" s="81"/>
      <c r="N130" s="1"/>
      <c r="O130" s="1"/>
      <c r="P130" s="2"/>
      <c r="Q130" s="2"/>
      <c r="R130" s="218"/>
    </row>
    <row r="131" spans="1:18">
      <c r="A131" s="457" t="s">
        <v>403</v>
      </c>
      <c r="B131" s="455">
        <v>496346</v>
      </c>
      <c r="C131" s="455">
        <v>10721.08</v>
      </c>
      <c r="D131" s="455">
        <v>697802</v>
      </c>
      <c r="E131" s="455">
        <v>15012.8</v>
      </c>
      <c r="F131" s="455"/>
      <c r="G131" s="455"/>
      <c r="H131" s="455"/>
      <c r="I131" s="455"/>
      <c r="J131" s="455">
        <v>1194148</v>
      </c>
      <c r="K131" s="455">
        <v>25733.879999999997</v>
      </c>
      <c r="L131" s="81"/>
      <c r="N131" s="1"/>
      <c r="O131" s="1"/>
      <c r="P131" s="2"/>
      <c r="Q131" s="2"/>
      <c r="R131" s="218"/>
    </row>
    <row r="132" spans="1:18">
      <c r="A132" s="457" t="s">
        <v>382</v>
      </c>
      <c r="B132" s="455"/>
      <c r="C132" s="455"/>
      <c r="D132" s="455">
        <v>162500</v>
      </c>
      <c r="E132" s="455">
        <v>3748.75</v>
      </c>
      <c r="F132" s="455"/>
      <c r="G132" s="455"/>
      <c r="H132" s="455"/>
      <c r="I132" s="455"/>
      <c r="J132" s="455">
        <v>162500</v>
      </c>
      <c r="K132" s="455">
        <v>3748.75</v>
      </c>
      <c r="L132" s="81"/>
      <c r="N132" s="1"/>
      <c r="O132" s="1"/>
      <c r="P132" s="2"/>
      <c r="Q132" s="2"/>
      <c r="R132" s="218"/>
    </row>
    <row r="133" spans="1:18">
      <c r="A133" s="457" t="s">
        <v>133</v>
      </c>
      <c r="B133" s="455">
        <v>285343</v>
      </c>
      <c r="C133" s="455">
        <v>6819.7</v>
      </c>
      <c r="D133" s="455">
        <v>278746</v>
      </c>
      <c r="E133" s="455">
        <v>6662.02</v>
      </c>
      <c r="F133" s="455"/>
      <c r="G133" s="455"/>
      <c r="H133" s="455"/>
      <c r="I133" s="455"/>
      <c r="J133" s="455">
        <v>564089</v>
      </c>
      <c r="K133" s="455">
        <v>13481.720000000001</v>
      </c>
      <c r="L133" s="81"/>
      <c r="N133" s="1"/>
      <c r="O133" s="1"/>
      <c r="P133" s="2"/>
      <c r="Q133" s="2"/>
      <c r="R133" s="218"/>
    </row>
    <row r="134" spans="1:18">
      <c r="A134" s="457" t="s">
        <v>478</v>
      </c>
      <c r="B134" s="455">
        <v>216583</v>
      </c>
      <c r="C134" s="455">
        <v>4678.1900000000005</v>
      </c>
      <c r="D134" s="455">
        <v>191950</v>
      </c>
      <c r="E134" s="455">
        <v>4111.12</v>
      </c>
      <c r="F134" s="455"/>
      <c r="G134" s="455"/>
      <c r="H134" s="455"/>
      <c r="I134" s="455"/>
      <c r="J134" s="455">
        <v>408533</v>
      </c>
      <c r="K134" s="455">
        <v>8789.3100000000013</v>
      </c>
      <c r="L134" s="81"/>
      <c r="N134" s="1"/>
      <c r="O134" s="1"/>
      <c r="P134" s="2"/>
      <c r="Q134" s="2"/>
      <c r="R134" s="218"/>
    </row>
    <row r="135" spans="1:18">
      <c r="A135" s="457" t="s">
        <v>484</v>
      </c>
      <c r="B135" s="455">
        <v>165710</v>
      </c>
      <c r="C135" s="455">
        <v>3513.05</v>
      </c>
      <c r="D135" s="455">
        <v>76149</v>
      </c>
      <c r="E135" s="455">
        <v>1637.2</v>
      </c>
      <c r="F135" s="455"/>
      <c r="G135" s="455"/>
      <c r="H135" s="455"/>
      <c r="I135" s="455"/>
      <c r="J135" s="455">
        <v>241859</v>
      </c>
      <c r="K135" s="455">
        <v>5150.25</v>
      </c>
      <c r="L135" s="81"/>
      <c r="N135" s="1"/>
      <c r="O135" s="1"/>
      <c r="P135" s="2"/>
      <c r="Q135" s="2"/>
      <c r="R135" s="218"/>
    </row>
    <row r="136" spans="1:18">
      <c r="A136" s="227" t="s">
        <v>459</v>
      </c>
      <c r="B136" s="81">
        <v>155</v>
      </c>
      <c r="C136" s="81">
        <v>77.5</v>
      </c>
      <c r="D136" s="81">
        <v>83</v>
      </c>
      <c r="E136" s="81">
        <v>41.5</v>
      </c>
      <c r="F136" s="81"/>
      <c r="G136" s="81"/>
      <c r="H136" s="81"/>
      <c r="I136" s="81"/>
      <c r="J136" s="81">
        <v>238</v>
      </c>
      <c r="K136" s="81">
        <v>119</v>
      </c>
      <c r="L136" s="81"/>
      <c r="N136" s="1"/>
      <c r="O136" s="1"/>
      <c r="P136" s="2"/>
      <c r="Q136" s="2"/>
      <c r="R136" s="218"/>
    </row>
    <row r="137" spans="1:18">
      <c r="A137" s="457" t="s">
        <v>498</v>
      </c>
      <c r="B137" s="455">
        <v>313852</v>
      </c>
      <c r="C137" s="455">
        <v>6747.8200000000006</v>
      </c>
      <c r="D137" s="455">
        <v>468605</v>
      </c>
      <c r="E137" s="455">
        <v>10121.869999999999</v>
      </c>
      <c r="F137" s="455"/>
      <c r="G137" s="455"/>
      <c r="H137" s="455"/>
      <c r="I137" s="455"/>
      <c r="J137" s="455">
        <v>782457</v>
      </c>
      <c r="K137" s="455">
        <v>16869.689999999999</v>
      </c>
      <c r="L137" s="81"/>
      <c r="N137" s="1"/>
      <c r="O137" s="1"/>
      <c r="P137" s="2"/>
      <c r="Q137" s="2"/>
      <c r="R137" s="218"/>
    </row>
    <row r="138" spans="1:18">
      <c r="A138" s="457" t="s">
        <v>414</v>
      </c>
      <c r="B138" s="455">
        <v>36244</v>
      </c>
      <c r="C138" s="455">
        <v>442.18</v>
      </c>
      <c r="D138" s="455"/>
      <c r="E138" s="455"/>
      <c r="F138" s="455"/>
      <c r="G138" s="455"/>
      <c r="H138" s="455"/>
      <c r="I138" s="455"/>
      <c r="J138" s="455">
        <v>36244</v>
      </c>
      <c r="K138" s="455">
        <v>442.18</v>
      </c>
      <c r="L138" s="81"/>
      <c r="N138" s="1"/>
      <c r="O138" s="1"/>
      <c r="P138" s="2"/>
      <c r="Q138" s="2"/>
      <c r="R138" s="218"/>
    </row>
    <row r="139" spans="1:18">
      <c r="A139" s="457" t="s">
        <v>384</v>
      </c>
      <c r="B139" s="455">
        <v>90275</v>
      </c>
      <c r="C139" s="455">
        <v>1209.69</v>
      </c>
      <c r="D139" s="455">
        <v>43507</v>
      </c>
      <c r="E139" s="455">
        <v>582.99</v>
      </c>
      <c r="F139" s="455"/>
      <c r="G139" s="455"/>
      <c r="H139" s="455"/>
      <c r="I139" s="455"/>
      <c r="J139" s="455">
        <v>133782</v>
      </c>
      <c r="K139" s="455">
        <v>1792.68</v>
      </c>
      <c r="L139" s="81"/>
      <c r="N139" s="1"/>
      <c r="O139" s="1"/>
      <c r="P139" s="2"/>
      <c r="Q139" s="2"/>
      <c r="R139" s="218"/>
    </row>
    <row r="140" spans="1:18">
      <c r="A140" s="457" t="s">
        <v>325</v>
      </c>
      <c r="B140" s="455">
        <v>39933</v>
      </c>
      <c r="C140" s="455">
        <v>487.18</v>
      </c>
      <c r="D140" s="455">
        <v>73911</v>
      </c>
      <c r="E140" s="455">
        <v>975.62</v>
      </c>
      <c r="F140" s="455"/>
      <c r="G140" s="455"/>
      <c r="H140" s="455"/>
      <c r="I140" s="455"/>
      <c r="J140" s="455">
        <v>113844</v>
      </c>
      <c r="K140" s="455">
        <v>1462.8</v>
      </c>
      <c r="L140" s="81"/>
      <c r="N140" s="1"/>
      <c r="O140" s="1"/>
      <c r="P140" s="2"/>
      <c r="Q140" s="2"/>
      <c r="R140" s="218"/>
    </row>
    <row r="141" spans="1:18">
      <c r="A141" s="457" t="s">
        <v>90</v>
      </c>
      <c r="B141" s="455"/>
      <c r="C141" s="455"/>
      <c r="D141" s="455">
        <v>18638</v>
      </c>
      <c r="E141" s="455">
        <v>236.7</v>
      </c>
      <c r="F141" s="455"/>
      <c r="G141" s="455"/>
      <c r="H141" s="455"/>
      <c r="I141" s="455"/>
      <c r="J141" s="455">
        <v>18638</v>
      </c>
      <c r="K141" s="455">
        <v>236.7</v>
      </c>
      <c r="L141" s="81"/>
      <c r="N141" s="1"/>
      <c r="O141" s="1"/>
      <c r="P141" s="2"/>
      <c r="Q141" s="2"/>
      <c r="R141" s="218"/>
    </row>
    <row r="142" spans="1:18">
      <c r="A142" s="457" t="s">
        <v>492</v>
      </c>
      <c r="B142" s="455">
        <v>66904</v>
      </c>
      <c r="C142" s="455">
        <v>896.51</v>
      </c>
      <c r="D142" s="455">
        <v>75447</v>
      </c>
      <c r="E142" s="455">
        <v>1010.99</v>
      </c>
      <c r="F142" s="455"/>
      <c r="G142" s="455"/>
      <c r="H142" s="455"/>
      <c r="I142" s="455"/>
      <c r="J142" s="455">
        <v>142351</v>
      </c>
      <c r="K142" s="455">
        <v>1907.5</v>
      </c>
      <c r="L142" s="81"/>
      <c r="N142" s="1"/>
      <c r="O142" s="1"/>
      <c r="P142" s="2"/>
      <c r="Q142" s="2"/>
      <c r="R142" s="218"/>
    </row>
    <row r="143" spans="1:18">
      <c r="A143" s="457" t="s">
        <v>467</v>
      </c>
      <c r="B143" s="455">
        <v>18452</v>
      </c>
      <c r="C143" s="455">
        <v>247.26</v>
      </c>
      <c r="D143" s="455">
        <v>20342</v>
      </c>
      <c r="E143" s="455">
        <v>272.58</v>
      </c>
      <c r="F143" s="455"/>
      <c r="G143" s="455"/>
      <c r="H143" s="455"/>
      <c r="I143" s="455"/>
      <c r="J143" s="455">
        <v>38794</v>
      </c>
      <c r="K143" s="455">
        <v>519.83999999999992</v>
      </c>
      <c r="L143" s="81"/>
      <c r="N143" s="1"/>
      <c r="O143" s="1"/>
      <c r="P143" s="2"/>
      <c r="Q143" s="2"/>
      <c r="R143" s="218"/>
    </row>
    <row r="144" spans="1:18">
      <c r="A144" s="457" t="s">
        <v>109</v>
      </c>
      <c r="B144" s="455">
        <v>1709</v>
      </c>
      <c r="C144" s="455">
        <v>22.73</v>
      </c>
      <c r="D144" s="455">
        <v>51326</v>
      </c>
      <c r="E144" s="455">
        <v>687.77</v>
      </c>
      <c r="F144" s="455"/>
      <c r="G144" s="455"/>
      <c r="H144" s="455"/>
      <c r="I144" s="455"/>
      <c r="J144" s="455">
        <v>53035</v>
      </c>
      <c r="K144" s="455">
        <v>710.5</v>
      </c>
      <c r="L144" s="81"/>
      <c r="N144" s="1"/>
      <c r="O144" s="1"/>
      <c r="P144" s="2"/>
      <c r="Q144" s="2"/>
      <c r="R144" s="218"/>
    </row>
    <row r="145" spans="1:18">
      <c r="A145" s="457" t="s">
        <v>100</v>
      </c>
      <c r="B145" s="455">
        <v>34945</v>
      </c>
      <c r="C145" s="455">
        <v>468.26</v>
      </c>
      <c r="D145" s="455">
        <v>18505</v>
      </c>
      <c r="E145" s="455">
        <v>247.97</v>
      </c>
      <c r="F145" s="455"/>
      <c r="G145" s="455"/>
      <c r="H145" s="455"/>
      <c r="I145" s="455"/>
      <c r="J145" s="455">
        <v>53450</v>
      </c>
      <c r="K145" s="455">
        <v>716.23</v>
      </c>
      <c r="L145" s="81"/>
      <c r="N145" s="1"/>
      <c r="O145" s="1"/>
      <c r="P145" s="2"/>
      <c r="Q145" s="2"/>
      <c r="R145" s="218"/>
    </row>
    <row r="146" spans="1:18">
      <c r="A146" s="457" t="s">
        <v>538</v>
      </c>
      <c r="B146" s="455">
        <v>170501</v>
      </c>
      <c r="C146" s="455">
        <v>1994.86</v>
      </c>
      <c r="D146" s="455">
        <v>32901</v>
      </c>
      <c r="E146" s="455">
        <v>384.94</v>
      </c>
      <c r="F146" s="455"/>
      <c r="G146" s="455"/>
      <c r="H146" s="455"/>
      <c r="I146" s="455"/>
      <c r="J146" s="455">
        <v>203402</v>
      </c>
      <c r="K146" s="455">
        <v>2379.7999999999997</v>
      </c>
      <c r="L146" s="81"/>
      <c r="N146" s="1"/>
      <c r="O146" s="1"/>
      <c r="P146" s="2"/>
      <c r="Q146" s="2"/>
      <c r="R146" s="218"/>
    </row>
    <row r="147" spans="1:18">
      <c r="A147" s="457" t="s">
        <v>117</v>
      </c>
      <c r="B147" s="455">
        <v>324448</v>
      </c>
      <c r="C147" s="455">
        <v>3959.71</v>
      </c>
      <c r="D147" s="455">
        <v>22301</v>
      </c>
      <c r="E147" s="455">
        <v>298.83</v>
      </c>
      <c r="F147" s="455"/>
      <c r="G147" s="455"/>
      <c r="H147" s="455"/>
      <c r="I147" s="455"/>
      <c r="J147" s="455">
        <v>346749</v>
      </c>
      <c r="K147" s="455">
        <v>4258.54</v>
      </c>
      <c r="L147" s="81"/>
      <c r="N147" s="1"/>
      <c r="O147" s="1"/>
      <c r="P147" s="2"/>
      <c r="Q147" s="2"/>
      <c r="R147" s="218"/>
    </row>
    <row r="148" spans="1:18">
      <c r="A148" s="457" t="s">
        <v>242</v>
      </c>
      <c r="B148" s="455">
        <v>23631</v>
      </c>
      <c r="C148" s="455">
        <v>311.93</v>
      </c>
      <c r="D148" s="455"/>
      <c r="E148" s="455"/>
      <c r="F148" s="455"/>
      <c r="G148" s="455"/>
      <c r="H148" s="455"/>
      <c r="I148" s="455"/>
      <c r="J148" s="455">
        <v>23631</v>
      </c>
      <c r="K148" s="455">
        <v>311.93</v>
      </c>
      <c r="L148" s="81"/>
      <c r="N148" s="1"/>
      <c r="O148" s="1"/>
      <c r="P148" s="2"/>
      <c r="Q148" s="2"/>
      <c r="R148" s="218"/>
    </row>
    <row r="149" spans="1:18">
      <c r="A149" s="457" t="s">
        <v>184</v>
      </c>
      <c r="B149" s="455">
        <v>29025</v>
      </c>
      <c r="C149" s="455">
        <v>388.94</v>
      </c>
      <c r="D149" s="455"/>
      <c r="E149" s="455"/>
      <c r="F149" s="455"/>
      <c r="G149" s="455"/>
      <c r="H149" s="455"/>
      <c r="I149" s="455"/>
      <c r="J149" s="455">
        <v>29025</v>
      </c>
      <c r="K149" s="455">
        <v>388.94</v>
      </c>
      <c r="L149" s="81"/>
      <c r="N149" s="1"/>
      <c r="O149" s="1"/>
      <c r="P149" s="2"/>
      <c r="Q149" s="2"/>
      <c r="R149" s="218"/>
    </row>
    <row r="150" spans="1:18">
      <c r="A150" s="457" t="s">
        <v>206</v>
      </c>
      <c r="B150" s="455">
        <v>21307</v>
      </c>
      <c r="C150" s="455">
        <v>242.9</v>
      </c>
      <c r="D150" s="455"/>
      <c r="E150" s="455"/>
      <c r="F150" s="455"/>
      <c r="G150" s="455"/>
      <c r="H150" s="455"/>
      <c r="I150" s="455"/>
      <c r="J150" s="455">
        <v>21307</v>
      </c>
      <c r="K150" s="455">
        <v>242.9</v>
      </c>
      <c r="L150" s="81"/>
      <c r="N150" s="1"/>
      <c r="O150" s="1"/>
      <c r="P150" s="2"/>
      <c r="Q150" s="2"/>
      <c r="R150" s="218"/>
    </row>
    <row r="151" spans="1:18">
      <c r="A151" s="457" t="s">
        <v>401</v>
      </c>
      <c r="B151" s="455">
        <v>10595</v>
      </c>
      <c r="C151" s="455">
        <v>141.97</v>
      </c>
      <c r="D151" s="455"/>
      <c r="E151" s="455"/>
      <c r="F151" s="455"/>
      <c r="G151" s="455"/>
      <c r="H151" s="455"/>
      <c r="I151" s="455"/>
      <c r="J151" s="455">
        <v>10595</v>
      </c>
      <c r="K151" s="455">
        <v>141.97</v>
      </c>
      <c r="L151" s="81"/>
      <c r="N151" s="1"/>
      <c r="O151" s="1"/>
      <c r="P151" s="2"/>
      <c r="Q151" s="2"/>
      <c r="R151" s="218"/>
    </row>
    <row r="152" spans="1:18">
      <c r="A152" s="457" t="s">
        <v>97</v>
      </c>
      <c r="B152" s="455">
        <v>11896</v>
      </c>
      <c r="C152" s="455">
        <v>184.39</v>
      </c>
      <c r="D152" s="455">
        <v>11986</v>
      </c>
      <c r="E152" s="455">
        <v>160.61000000000001</v>
      </c>
      <c r="F152" s="455"/>
      <c r="G152" s="455"/>
      <c r="H152" s="455"/>
      <c r="I152" s="455"/>
      <c r="J152" s="455">
        <v>23882</v>
      </c>
      <c r="K152" s="455">
        <v>345</v>
      </c>
      <c r="L152" s="81"/>
      <c r="N152" s="1"/>
      <c r="O152" s="1"/>
      <c r="P152" s="2"/>
      <c r="Q152" s="2"/>
      <c r="R152" s="218"/>
    </row>
    <row r="153" spans="1:18">
      <c r="A153" s="457" t="s">
        <v>396</v>
      </c>
      <c r="B153" s="455">
        <v>7457</v>
      </c>
      <c r="C153" s="455">
        <v>93.21</v>
      </c>
      <c r="D153" s="455"/>
      <c r="E153" s="455"/>
      <c r="F153" s="455"/>
      <c r="G153" s="455"/>
      <c r="H153" s="455"/>
      <c r="I153" s="455"/>
      <c r="J153" s="455">
        <v>7457</v>
      </c>
      <c r="K153" s="455">
        <v>93.21</v>
      </c>
      <c r="L153" s="81"/>
      <c r="N153" s="1"/>
      <c r="O153" s="1"/>
      <c r="P153" s="2"/>
      <c r="Q153" s="2"/>
      <c r="R153" s="218"/>
    </row>
    <row r="154" spans="1:18">
      <c r="A154" s="227" t="s">
        <v>638</v>
      </c>
      <c r="B154" s="81">
        <v>50000</v>
      </c>
      <c r="C154" s="81">
        <v>670</v>
      </c>
      <c r="D154" s="81">
        <v>17228</v>
      </c>
      <c r="E154" s="81">
        <v>230.86</v>
      </c>
      <c r="F154" s="81"/>
      <c r="G154" s="81"/>
      <c r="H154" s="81"/>
      <c r="I154" s="81"/>
      <c r="J154" s="81">
        <v>67228</v>
      </c>
      <c r="K154" s="81">
        <v>900.86</v>
      </c>
      <c r="L154" s="81"/>
      <c r="N154" s="1"/>
      <c r="O154" s="1"/>
      <c r="P154" s="2"/>
      <c r="Q154" s="2"/>
      <c r="R154" s="218"/>
    </row>
    <row r="155" spans="1:18">
      <c r="A155" s="227" t="s">
        <v>644</v>
      </c>
      <c r="B155" s="81">
        <v>33611</v>
      </c>
      <c r="C155" s="81">
        <v>450.39</v>
      </c>
      <c r="D155" s="81"/>
      <c r="E155" s="81"/>
      <c r="F155" s="81"/>
      <c r="G155" s="81"/>
      <c r="H155" s="81"/>
      <c r="I155" s="81"/>
      <c r="J155" s="81">
        <v>33611</v>
      </c>
      <c r="K155" s="81">
        <v>450.39</v>
      </c>
      <c r="L155" s="81"/>
      <c r="N155" s="1"/>
      <c r="O155" s="1"/>
      <c r="P155" s="2"/>
      <c r="Q155" s="2"/>
      <c r="R155" s="218"/>
    </row>
    <row r="156" spans="1:18">
      <c r="A156" s="227" t="s">
        <v>653</v>
      </c>
      <c r="B156" s="81">
        <v>47005</v>
      </c>
      <c r="C156" s="81">
        <v>629.87</v>
      </c>
      <c r="D156" s="81">
        <v>9429</v>
      </c>
      <c r="E156" s="81">
        <v>66</v>
      </c>
      <c r="F156" s="81"/>
      <c r="G156" s="81"/>
      <c r="H156" s="81"/>
      <c r="I156" s="81"/>
      <c r="J156" s="81">
        <v>56434</v>
      </c>
      <c r="K156" s="81">
        <v>695.87</v>
      </c>
      <c r="L156" s="81"/>
      <c r="N156" s="1"/>
      <c r="O156" s="1"/>
      <c r="P156" s="2"/>
      <c r="Q156" s="2"/>
      <c r="R156" s="218"/>
    </row>
    <row r="157" spans="1:18">
      <c r="A157" s="457" t="s">
        <v>431</v>
      </c>
      <c r="B157" s="455">
        <v>9418</v>
      </c>
      <c r="C157" s="455">
        <v>162.93</v>
      </c>
      <c r="D157" s="455">
        <v>21369</v>
      </c>
      <c r="E157" s="455">
        <v>369.68</v>
      </c>
      <c r="F157" s="455"/>
      <c r="G157" s="455"/>
      <c r="H157" s="455"/>
      <c r="I157" s="455"/>
      <c r="J157" s="455">
        <v>30787</v>
      </c>
      <c r="K157" s="455">
        <v>532.61</v>
      </c>
      <c r="L157" s="81"/>
      <c r="N157" s="1"/>
      <c r="O157" s="1"/>
      <c r="P157" s="2"/>
      <c r="Q157" s="2"/>
      <c r="R157" s="218"/>
    </row>
    <row r="158" spans="1:18">
      <c r="A158" s="457" t="s">
        <v>152</v>
      </c>
      <c r="B158" s="455">
        <v>23989</v>
      </c>
      <c r="C158" s="455">
        <v>731.66</v>
      </c>
      <c r="D158" s="455">
        <v>22034</v>
      </c>
      <c r="E158" s="455">
        <v>672.04</v>
      </c>
      <c r="F158" s="455"/>
      <c r="G158" s="455"/>
      <c r="H158" s="455"/>
      <c r="I158" s="455"/>
      <c r="J158" s="455">
        <v>46023</v>
      </c>
      <c r="K158" s="455">
        <v>1403.6999999999998</v>
      </c>
      <c r="L158" s="81"/>
      <c r="N158" s="1"/>
      <c r="O158" s="1"/>
      <c r="P158" s="2"/>
      <c r="Q158" s="2"/>
      <c r="R158" s="218"/>
    </row>
    <row r="159" spans="1:18">
      <c r="A159" s="457" t="s">
        <v>353</v>
      </c>
      <c r="B159" s="455">
        <v>18015</v>
      </c>
      <c r="C159" s="455">
        <v>239.6</v>
      </c>
      <c r="D159" s="455"/>
      <c r="E159" s="455"/>
      <c r="F159" s="455"/>
      <c r="G159" s="455"/>
      <c r="H159" s="455"/>
      <c r="I159" s="455"/>
      <c r="J159" s="455">
        <v>18015</v>
      </c>
      <c r="K159" s="455">
        <v>239.6</v>
      </c>
      <c r="L159" s="81"/>
      <c r="N159" s="1"/>
      <c r="O159" s="1"/>
      <c r="P159" s="2"/>
      <c r="Q159" s="2"/>
      <c r="R159" s="218"/>
    </row>
    <row r="160" spans="1:18">
      <c r="A160" s="457" t="s">
        <v>148</v>
      </c>
      <c r="B160" s="455">
        <v>15000</v>
      </c>
      <c r="C160" s="455">
        <v>235.5</v>
      </c>
      <c r="D160" s="455">
        <v>46622</v>
      </c>
      <c r="E160" s="455">
        <v>629.31999999999994</v>
      </c>
      <c r="F160" s="455"/>
      <c r="G160" s="455"/>
      <c r="H160" s="455"/>
      <c r="I160" s="455"/>
      <c r="J160" s="455">
        <v>61622</v>
      </c>
      <c r="K160" s="455">
        <v>864.81999999999994</v>
      </c>
      <c r="L160" s="81"/>
      <c r="N160" s="1"/>
      <c r="O160" s="1"/>
      <c r="P160" s="2"/>
      <c r="Q160" s="2"/>
      <c r="R160" s="218"/>
    </row>
    <row r="161" spans="1:18">
      <c r="A161" s="457" t="s">
        <v>159</v>
      </c>
      <c r="B161" s="455">
        <v>22635</v>
      </c>
      <c r="C161" s="455">
        <v>303.31</v>
      </c>
      <c r="D161" s="455">
        <v>27948</v>
      </c>
      <c r="E161" s="455">
        <v>374.5</v>
      </c>
      <c r="F161" s="455"/>
      <c r="G161" s="455"/>
      <c r="H161" s="455"/>
      <c r="I161" s="455"/>
      <c r="J161" s="455">
        <v>50583</v>
      </c>
      <c r="K161" s="455">
        <v>677.81</v>
      </c>
      <c r="L161" s="81"/>
      <c r="N161" s="1"/>
      <c r="O161" s="1"/>
      <c r="P161" s="2"/>
      <c r="Q161" s="2"/>
      <c r="R161" s="218"/>
    </row>
    <row r="162" spans="1:18">
      <c r="A162" s="457" t="s">
        <v>386</v>
      </c>
      <c r="B162" s="455">
        <v>21850</v>
      </c>
      <c r="C162" s="455">
        <v>257.83</v>
      </c>
      <c r="D162" s="455">
        <v>22948</v>
      </c>
      <c r="E162" s="455">
        <v>273.08</v>
      </c>
      <c r="F162" s="455"/>
      <c r="G162" s="455"/>
      <c r="H162" s="455"/>
      <c r="I162" s="455"/>
      <c r="J162" s="455">
        <v>44798</v>
      </c>
      <c r="K162" s="455">
        <v>530.91</v>
      </c>
      <c r="L162" s="81"/>
      <c r="N162" s="1"/>
      <c r="O162" s="1"/>
      <c r="P162" s="2"/>
      <c r="Q162" s="2"/>
      <c r="R162" s="218"/>
    </row>
    <row r="163" spans="1:18">
      <c r="A163" s="457" t="s">
        <v>295</v>
      </c>
      <c r="B163" s="455">
        <v>31203</v>
      </c>
      <c r="C163" s="455">
        <v>418.12</v>
      </c>
      <c r="D163" s="455">
        <v>16800</v>
      </c>
      <c r="E163" s="455">
        <v>225.12</v>
      </c>
      <c r="F163" s="455"/>
      <c r="G163" s="455"/>
      <c r="H163" s="455"/>
      <c r="I163" s="455"/>
      <c r="J163" s="455">
        <v>48003</v>
      </c>
      <c r="K163" s="455">
        <v>643.24</v>
      </c>
      <c r="L163" s="81"/>
      <c r="N163" s="1"/>
      <c r="O163" s="1"/>
      <c r="P163" s="2"/>
      <c r="Q163" s="2"/>
      <c r="R163" s="218"/>
    </row>
    <row r="164" spans="1:18">
      <c r="A164" s="457" t="s">
        <v>409</v>
      </c>
      <c r="B164" s="455">
        <v>30000</v>
      </c>
      <c r="C164" s="455">
        <v>402</v>
      </c>
      <c r="D164" s="455">
        <v>10000</v>
      </c>
      <c r="E164" s="455">
        <v>134</v>
      </c>
      <c r="F164" s="455"/>
      <c r="G164" s="455"/>
      <c r="H164" s="455"/>
      <c r="I164" s="455"/>
      <c r="J164" s="455">
        <v>40000</v>
      </c>
      <c r="K164" s="455">
        <v>536</v>
      </c>
      <c r="L164" s="81"/>
      <c r="N164" s="1"/>
      <c r="O164" s="1"/>
      <c r="P164" s="2"/>
      <c r="Q164" s="2"/>
      <c r="R164" s="218"/>
    </row>
    <row r="165" spans="1:18">
      <c r="A165" s="457" t="s">
        <v>204</v>
      </c>
      <c r="B165" s="455">
        <v>30000</v>
      </c>
      <c r="C165" s="455">
        <v>294</v>
      </c>
      <c r="D165" s="455">
        <v>21351</v>
      </c>
      <c r="E165" s="455">
        <v>286.10000000000002</v>
      </c>
      <c r="F165" s="455"/>
      <c r="G165" s="455"/>
      <c r="H165" s="455"/>
      <c r="I165" s="455"/>
      <c r="J165" s="455">
        <v>51351</v>
      </c>
      <c r="K165" s="455">
        <v>580.1</v>
      </c>
      <c r="L165" s="81"/>
      <c r="N165" s="1"/>
      <c r="O165" s="1"/>
      <c r="P165" s="2"/>
      <c r="Q165" s="2"/>
      <c r="R165" s="218"/>
    </row>
    <row r="166" spans="1:18">
      <c r="A166" s="457" t="s">
        <v>605</v>
      </c>
      <c r="B166" s="455">
        <v>45000</v>
      </c>
      <c r="C166" s="455">
        <v>526.5</v>
      </c>
      <c r="D166" s="455">
        <v>23649</v>
      </c>
      <c r="E166" s="455">
        <v>279.06</v>
      </c>
      <c r="F166" s="455"/>
      <c r="G166" s="455"/>
      <c r="H166" s="455"/>
      <c r="I166" s="455"/>
      <c r="J166" s="455">
        <v>68649</v>
      </c>
      <c r="K166" s="455">
        <v>805.56</v>
      </c>
      <c r="L166" s="81"/>
      <c r="N166" s="1"/>
      <c r="O166" s="1"/>
      <c r="P166" s="2"/>
      <c r="Q166" s="2"/>
      <c r="R166" s="218"/>
    </row>
    <row r="167" spans="1:18">
      <c r="A167" s="457" t="s">
        <v>685</v>
      </c>
      <c r="B167" s="455">
        <v>21538</v>
      </c>
      <c r="C167" s="455">
        <v>374.76</v>
      </c>
      <c r="D167" s="455">
        <v>49367</v>
      </c>
      <c r="E167" s="455">
        <v>858.99</v>
      </c>
      <c r="F167" s="455"/>
      <c r="G167" s="455"/>
      <c r="H167" s="455"/>
      <c r="I167" s="455"/>
      <c r="J167" s="455">
        <v>70905</v>
      </c>
      <c r="K167" s="455">
        <v>1233.75</v>
      </c>
      <c r="L167" s="81"/>
      <c r="N167" s="1"/>
      <c r="O167" s="1"/>
      <c r="P167" s="2"/>
      <c r="Q167" s="2"/>
      <c r="R167" s="218"/>
    </row>
    <row r="168" spans="1:18">
      <c r="A168" s="457" t="s">
        <v>439</v>
      </c>
      <c r="B168" s="455">
        <v>23301</v>
      </c>
      <c r="C168" s="455">
        <v>309.89999999999998</v>
      </c>
      <c r="D168" s="455"/>
      <c r="E168" s="455"/>
      <c r="F168" s="455"/>
      <c r="G168" s="455"/>
      <c r="H168" s="455"/>
      <c r="I168" s="455"/>
      <c r="J168" s="455">
        <v>23301</v>
      </c>
      <c r="K168" s="455">
        <v>309.89999999999998</v>
      </c>
      <c r="L168" s="81"/>
      <c r="N168" s="1"/>
      <c r="O168" s="1"/>
      <c r="P168" s="2"/>
      <c r="Q168" s="2"/>
      <c r="R168" s="218"/>
    </row>
    <row r="169" spans="1:18">
      <c r="A169" s="457" t="s">
        <v>253</v>
      </c>
      <c r="B169" s="455">
        <v>9949</v>
      </c>
      <c r="C169" s="455">
        <v>125.36</v>
      </c>
      <c r="D169" s="455"/>
      <c r="E169" s="455"/>
      <c r="F169" s="455"/>
      <c r="G169" s="455"/>
      <c r="H169" s="455"/>
      <c r="I169" s="455"/>
      <c r="J169" s="455">
        <v>9949</v>
      </c>
      <c r="K169" s="455">
        <v>125.36</v>
      </c>
      <c r="L169" s="81"/>
      <c r="N169" s="1"/>
      <c r="O169" s="1"/>
      <c r="P169" s="2"/>
      <c r="Q169" s="2"/>
      <c r="R169" s="218"/>
    </row>
    <row r="170" spans="1:18">
      <c r="A170" s="227" t="s">
        <v>692</v>
      </c>
      <c r="B170" s="81">
        <v>70000</v>
      </c>
      <c r="C170" s="81">
        <v>938</v>
      </c>
      <c r="D170" s="81">
        <v>86432</v>
      </c>
      <c r="E170" s="81">
        <v>1158.19</v>
      </c>
      <c r="F170" s="81"/>
      <c r="G170" s="81"/>
      <c r="H170" s="81"/>
      <c r="I170" s="81"/>
      <c r="J170" s="81">
        <v>156432</v>
      </c>
      <c r="K170" s="81">
        <v>2096.19</v>
      </c>
      <c r="L170" s="81"/>
      <c r="N170" s="1"/>
      <c r="O170" s="1"/>
      <c r="P170" s="2"/>
      <c r="Q170" s="2"/>
      <c r="R170" s="218"/>
    </row>
    <row r="171" spans="1:18">
      <c r="A171" s="457" t="s">
        <v>596</v>
      </c>
      <c r="B171" s="455">
        <v>31488</v>
      </c>
      <c r="C171" s="455">
        <v>421.94</v>
      </c>
      <c r="D171" s="455">
        <v>64805</v>
      </c>
      <c r="E171" s="455">
        <v>868.39</v>
      </c>
      <c r="F171" s="455"/>
      <c r="G171" s="455"/>
      <c r="H171" s="455"/>
      <c r="I171" s="455"/>
      <c r="J171" s="455">
        <v>96293</v>
      </c>
      <c r="K171" s="455">
        <v>1290.33</v>
      </c>
      <c r="L171" s="81"/>
      <c r="N171" s="1"/>
      <c r="O171" s="1"/>
      <c r="P171" s="2"/>
      <c r="Q171" s="2"/>
      <c r="R171" s="218"/>
    </row>
    <row r="172" spans="1:18">
      <c r="A172" s="457" t="s">
        <v>619</v>
      </c>
      <c r="B172" s="455">
        <v>56468</v>
      </c>
      <c r="C172" s="455">
        <v>756.67</v>
      </c>
      <c r="D172" s="455"/>
      <c r="E172" s="455"/>
      <c r="F172" s="455"/>
      <c r="G172" s="455"/>
      <c r="H172" s="455"/>
      <c r="I172" s="455"/>
      <c r="J172" s="455">
        <v>56468</v>
      </c>
      <c r="K172" s="455">
        <v>756.67</v>
      </c>
      <c r="N172" s="1"/>
      <c r="O172" s="1"/>
      <c r="P172" s="2"/>
      <c r="Q172" s="2"/>
      <c r="R172" s="218"/>
    </row>
    <row r="173" spans="1:18">
      <c r="A173" s="457" t="s">
        <v>37</v>
      </c>
      <c r="B173" s="455"/>
      <c r="C173" s="455"/>
      <c r="D173" s="455">
        <v>96491</v>
      </c>
      <c r="E173" s="455">
        <v>1273.68</v>
      </c>
      <c r="F173" s="455"/>
      <c r="G173" s="455"/>
      <c r="H173" s="455"/>
      <c r="I173" s="455"/>
      <c r="J173" s="455">
        <v>96491</v>
      </c>
      <c r="K173" s="455">
        <v>1273.68</v>
      </c>
      <c r="N173" s="1"/>
      <c r="O173" s="1"/>
      <c r="P173" s="2"/>
      <c r="Q173" s="2"/>
      <c r="R173" s="218"/>
    </row>
    <row r="174" spans="1:18">
      <c r="A174" s="457" t="s">
        <v>106</v>
      </c>
      <c r="B174" s="455">
        <v>32992</v>
      </c>
      <c r="C174" s="455">
        <v>442.09000000000003</v>
      </c>
      <c r="D174" s="455">
        <v>32857</v>
      </c>
      <c r="E174" s="455">
        <v>440.28</v>
      </c>
      <c r="F174" s="455"/>
      <c r="G174" s="455"/>
      <c r="H174" s="455"/>
      <c r="I174" s="455"/>
      <c r="J174" s="455">
        <v>65849</v>
      </c>
      <c r="K174" s="455">
        <v>882.37</v>
      </c>
      <c r="N174" s="1"/>
      <c r="O174" s="1"/>
      <c r="P174" s="2"/>
      <c r="Q174" s="2"/>
      <c r="R174" s="218"/>
    </row>
    <row r="175" spans="1:18">
      <c r="A175" s="457" t="s">
        <v>63</v>
      </c>
      <c r="B175" s="455">
        <v>72820</v>
      </c>
      <c r="C175" s="455">
        <v>961.22</v>
      </c>
      <c r="D175" s="455">
        <v>103692</v>
      </c>
      <c r="E175" s="455">
        <v>1368.73</v>
      </c>
      <c r="F175" s="455"/>
      <c r="G175" s="455"/>
      <c r="H175" s="455"/>
      <c r="I175" s="455"/>
      <c r="J175" s="455">
        <v>176512</v>
      </c>
      <c r="K175" s="455">
        <v>2329.9499999999998</v>
      </c>
      <c r="N175" s="1"/>
      <c r="O175" s="1"/>
      <c r="P175" s="2"/>
      <c r="Q175" s="2"/>
      <c r="R175" s="218"/>
    </row>
    <row r="176" spans="1:18">
      <c r="A176" s="457" t="s">
        <v>79</v>
      </c>
      <c r="B176" s="455">
        <v>61614</v>
      </c>
      <c r="C176" s="455">
        <v>825.63</v>
      </c>
      <c r="D176" s="455">
        <v>59230</v>
      </c>
      <c r="E176" s="455">
        <v>793.68000000000006</v>
      </c>
      <c r="F176" s="455"/>
      <c r="G176" s="455"/>
      <c r="H176" s="455"/>
      <c r="I176" s="455"/>
      <c r="J176" s="455">
        <v>120844</v>
      </c>
      <c r="K176" s="455">
        <v>1619.31</v>
      </c>
      <c r="N176" s="1"/>
      <c r="O176" s="1"/>
      <c r="P176" s="2"/>
      <c r="Q176" s="2"/>
      <c r="R176" s="218"/>
    </row>
    <row r="177" spans="1:18">
      <c r="A177" s="457" t="s">
        <v>60</v>
      </c>
      <c r="B177" s="455">
        <v>93337</v>
      </c>
      <c r="C177" s="455">
        <v>1250.72</v>
      </c>
      <c r="D177" s="455">
        <v>94980</v>
      </c>
      <c r="E177" s="455">
        <v>1272.73</v>
      </c>
      <c r="F177" s="455"/>
      <c r="G177" s="455"/>
      <c r="H177" s="455"/>
      <c r="I177" s="455"/>
      <c r="J177" s="455">
        <v>188317</v>
      </c>
      <c r="K177" s="455">
        <v>2523.4499999999998</v>
      </c>
      <c r="N177" s="1"/>
      <c r="O177" s="1"/>
      <c r="P177" s="2"/>
      <c r="Q177" s="2"/>
      <c r="R177" s="218"/>
    </row>
    <row r="178" spans="1:18">
      <c r="A178" s="457" t="s">
        <v>554</v>
      </c>
      <c r="B178" s="455">
        <v>58666</v>
      </c>
      <c r="C178" s="455">
        <v>786.12</v>
      </c>
      <c r="D178" s="455">
        <v>77994</v>
      </c>
      <c r="E178" s="455">
        <v>1045.1199999999999</v>
      </c>
      <c r="F178" s="455"/>
      <c r="G178" s="455"/>
      <c r="H178" s="455"/>
      <c r="I178" s="455"/>
      <c r="J178" s="455">
        <v>136660</v>
      </c>
      <c r="K178" s="455">
        <v>1831.2399999999998</v>
      </c>
      <c r="N178" s="1"/>
      <c r="O178" s="1"/>
      <c r="P178" s="2"/>
      <c r="Q178" s="2"/>
      <c r="R178" s="218"/>
    </row>
    <row r="179" spans="1:18">
      <c r="A179" s="457" t="s">
        <v>103</v>
      </c>
      <c r="B179" s="455">
        <v>28664</v>
      </c>
      <c r="C179" s="455">
        <v>384.1</v>
      </c>
      <c r="D179" s="455"/>
      <c r="E179" s="455"/>
      <c r="F179" s="455"/>
      <c r="G179" s="455"/>
      <c r="H179" s="455"/>
      <c r="I179" s="455"/>
      <c r="J179" s="455">
        <v>28664</v>
      </c>
      <c r="K179" s="455">
        <v>384.1</v>
      </c>
      <c r="N179" s="1"/>
      <c r="O179" s="1"/>
      <c r="P179" s="2"/>
      <c r="Q179" s="2"/>
      <c r="R179" s="218"/>
    </row>
    <row r="180" spans="1:18">
      <c r="A180" s="457" t="s">
        <v>598</v>
      </c>
      <c r="B180" s="455">
        <v>41460</v>
      </c>
      <c r="C180" s="455">
        <v>555.55999999999995</v>
      </c>
      <c r="D180" s="455"/>
      <c r="E180" s="455"/>
      <c r="F180" s="455"/>
      <c r="G180" s="455"/>
      <c r="H180" s="455"/>
      <c r="I180" s="455"/>
      <c r="J180" s="455">
        <v>41460</v>
      </c>
      <c r="K180" s="455">
        <v>555.55999999999995</v>
      </c>
      <c r="N180" s="1"/>
      <c r="O180" s="1"/>
      <c r="P180" s="2"/>
      <c r="Q180" s="2"/>
      <c r="R180" s="218"/>
    </row>
    <row r="181" spans="1:18">
      <c r="A181" s="457" t="s">
        <v>267</v>
      </c>
      <c r="B181" s="455">
        <v>17554</v>
      </c>
      <c r="C181" s="455">
        <v>235.22</v>
      </c>
      <c r="D181" s="455">
        <v>40000</v>
      </c>
      <c r="E181" s="455">
        <v>536</v>
      </c>
      <c r="F181" s="455"/>
      <c r="G181" s="455"/>
      <c r="H181" s="455"/>
      <c r="I181" s="455"/>
      <c r="J181" s="455">
        <v>57554</v>
      </c>
      <c r="K181" s="455">
        <v>771.22</v>
      </c>
      <c r="N181" s="1"/>
      <c r="O181" s="1"/>
      <c r="P181" s="2"/>
      <c r="Q181" s="2"/>
      <c r="R181" s="218"/>
    </row>
    <row r="182" spans="1:18">
      <c r="A182" s="457" t="s">
        <v>411</v>
      </c>
      <c r="B182" s="455">
        <v>74637</v>
      </c>
      <c r="C182" s="455">
        <v>1000.14</v>
      </c>
      <c r="D182" s="455">
        <v>9293</v>
      </c>
      <c r="E182" s="455">
        <v>124.53</v>
      </c>
      <c r="F182" s="455"/>
      <c r="G182" s="455"/>
      <c r="H182" s="455"/>
      <c r="I182" s="455"/>
      <c r="J182" s="455">
        <v>83930</v>
      </c>
      <c r="K182" s="455">
        <v>1124.67</v>
      </c>
      <c r="N182" s="1"/>
      <c r="O182" s="1"/>
      <c r="P182" s="2"/>
      <c r="Q182" s="2"/>
      <c r="R182" s="218"/>
    </row>
    <row r="183" spans="1:18">
      <c r="A183" s="457" t="s">
        <v>509</v>
      </c>
      <c r="B183" s="455">
        <v>55612</v>
      </c>
      <c r="C183" s="455">
        <v>745.2</v>
      </c>
      <c r="D183" s="455">
        <v>40000</v>
      </c>
      <c r="E183" s="455">
        <v>536</v>
      </c>
      <c r="F183" s="455"/>
      <c r="G183" s="455"/>
      <c r="H183" s="455"/>
      <c r="I183" s="455"/>
      <c r="J183" s="455">
        <v>95612</v>
      </c>
      <c r="K183" s="455">
        <v>1281.2</v>
      </c>
      <c r="N183" s="1"/>
      <c r="O183" s="1"/>
      <c r="P183" s="2"/>
      <c r="Q183" s="2"/>
      <c r="R183" s="218"/>
    </row>
    <row r="184" spans="1:18">
      <c r="A184" s="457" t="s">
        <v>546</v>
      </c>
      <c r="B184" s="455">
        <v>87609</v>
      </c>
      <c r="C184" s="455">
        <v>1173.96</v>
      </c>
      <c r="D184" s="455">
        <v>55277</v>
      </c>
      <c r="E184" s="455">
        <v>740.71</v>
      </c>
      <c r="F184" s="455"/>
      <c r="G184" s="455"/>
      <c r="H184" s="455"/>
      <c r="I184" s="455"/>
      <c r="J184" s="455">
        <v>142886</v>
      </c>
      <c r="K184" s="455">
        <v>1914.67</v>
      </c>
      <c r="N184" s="1"/>
      <c r="O184" s="1"/>
      <c r="P184" s="2"/>
      <c r="Q184" s="2"/>
      <c r="R184" s="218"/>
    </row>
    <row r="185" spans="1:18">
      <c r="A185" s="457" t="s">
        <v>39</v>
      </c>
      <c r="B185" s="455">
        <v>12241</v>
      </c>
      <c r="C185" s="455">
        <v>164.03</v>
      </c>
      <c r="D185" s="455">
        <v>40000</v>
      </c>
      <c r="E185" s="455">
        <v>536</v>
      </c>
      <c r="F185" s="455"/>
      <c r="G185" s="455"/>
      <c r="H185" s="455"/>
      <c r="I185" s="455"/>
      <c r="J185" s="455">
        <v>52241</v>
      </c>
      <c r="K185" s="455">
        <v>700.03</v>
      </c>
      <c r="N185" s="1"/>
      <c r="O185" s="1"/>
      <c r="P185" s="2"/>
      <c r="Q185" s="2"/>
      <c r="R185" s="218"/>
    </row>
    <row r="186" spans="1:18">
      <c r="A186" s="457" t="s">
        <v>66</v>
      </c>
      <c r="B186" s="455">
        <v>59316</v>
      </c>
      <c r="C186" s="455">
        <v>794.83</v>
      </c>
      <c r="D186" s="455">
        <v>21185</v>
      </c>
      <c r="E186" s="455">
        <v>283.88</v>
      </c>
      <c r="F186" s="455"/>
      <c r="G186" s="455"/>
      <c r="H186" s="455"/>
      <c r="I186" s="455"/>
      <c r="J186" s="455">
        <v>80501</v>
      </c>
      <c r="K186" s="455">
        <v>1078.71</v>
      </c>
      <c r="N186" s="1"/>
      <c r="O186" s="1"/>
      <c r="P186" s="2"/>
      <c r="Q186" s="2"/>
      <c r="R186" s="218"/>
    </row>
    <row r="187" spans="1:18">
      <c r="A187" s="457" t="s">
        <v>85</v>
      </c>
      <c r="B187" s="455">
        <v>102207</v>
      </c>
      <c r="C187" s="455">
        <v>1369.57</v>
      </c>
      <c r="D187" s="455">
        <v>25259</v>
      </c>
      <c r="E187" s="455">
        <v>338.47</v>
      </c>
      <c r="F187" s="455"/>
      <c r="G187" s="455"/>
      <c r="H187" s="455"/>
      <c r="I187" s="455"/>
      <c r="J187" s="455">
        <v>127466</v>
      </c>
      <c r="K187" s="455">
        <v>1708.04</v>
      </c>
      <c r="N187" s="1"/>
      <c r="O187" s="1"/>
      <c r="P187" s="2"/>
      <c r="Q187" s="2"/>
      <c r="R187" s="218"/>
    </row>
    <row r="188" spans="1:18">
      <c r="A188" s="457" t="s">
        <v>490</v>
      </c>
      <c r="B188" s="455"/>
      <c r="C188" s="455"/>
      <c r="D188" s="455">
        <v>25000</v>
      </c>
      <c r="E188" s="455">
        <v>335</v>
      </c>
      <c r="F188" s="455"/>
      <c r="G188" s="455"/>
      <c r="H188" s="455"/>
      <c r="I188" s="455"/>
      <c r="J188" s="455">
        <v>25000</v>
      </c>
      <c r="K188" s="455">
        <v>335</v>
      </c>
      <c r="N188" s="1"/>
      <c r="O188" s="1"/>
      <c r="P188" s="2"/>
      <c r="Q188" s="2"/>
      <c r="R188" s="218"/>
    </row>
    <row r="189" spans="1:18">
      <c r="A189" s="457" t="s">
        <v>222</v>
      </c>
      <c r="B189" s="455"/>
      <c r="C189" s="455"/>
      <c r="D189" s="455">
        <v>39000</v>
      </c>
      <c r="E189" s="455">
        <v>514.79999999999995</v>
      </c>
      <c r="F189" s="455"/>
      <c r="G189" s="455"/>
      <c r="H189" s="455"/>
      <c r="I189" s="455"/>
      <c r="J189" s="455">
        <v>39000</v>
      </c>
      <c r="K189" s="455">
        <v>514.79999999999995</v>
      </c>
      <c r="N189" s="1"/>
      <c r="O189" s="1"/>
      <c r="P189" s="2"/>
      <c r="Q189" s="2"/>
    </row>
    <row r="190" spans="1:18">
      <c r="A190" s="457" t="s">
        <v>700</v>
      </c>
      <c r="B190" s="455">
        <v>68920</v>
      </c>
      <c r="C190" s="455">
        <v>822.04000000000008</v>
      </c>
      <c r="D190" s="455">
        <v>37572</v>
      </c>
      <c r="E190" s="455">
        <v>443.35</v>
      </c>
      <c r="F190" s="455"/>
      <c r="G190" s="455"/>
      <c r="H190" s="455"/>
      <c r="I190" s="455"/>
      <c r="J190" s="455">
        <v>106492</v>
      </c>
      <c r="K190" s="455">
        <v>1265.3900000000001</v>
      </c>
      <c r="N190" s="1"/>
      <c r="O190" s="1"/>
      <c r="P190" s="2"/>
      <c r="Q190" s="2"/>
    </row>
    <row r="191" spans="1:18">
      <c r="A191" s="457" t="s">
        <v>703</v>
      </c>
      <c r="B191" s="455">
        <v>78995</v>
      </c>
      <c r="C191" s="455">
        <v>1058.54</v>
      </c>
      <c r="D191" s="455">
        <v>32515</v>
      </c>
      <c r="E191" s="455">
        <v>435.7</v>
      </c>
      <c r="F191" s="455"/>
      <c r="G191" s="455"/>
      <c r="H191" s="455"/>
      <c r="I191" s="455"/>
      <c r="J191" s="455">
        <v>111510</v>
      </c>
      <c r="K191" s="455">
        <v>1494.24</v>
      </c>
      <c r="N191" s="1"/>
      <c r="O191" s="1"/>
      <c r="P191" s="2"/>
      <c r="Q191" s="2"/>
    </row>
    <row r="192" spans="1:18">
      <c r="A192" s="227" t="s">
        <v>709</v>
      </c>
      <c r="B192" s="81"/>
      <c r="C192" s="81"/>
      <c r="D192" s="81">
        <v>16646</v>
      </c>
      <c r="E192" s="81">
        <v>196.42</v>
      </c>
      <c r="F192" s="81"/>
      <c r="G192" s="81"/>
      <c r="H192" s="81"/>
      <c r="I192" s="81"/>
      <c r="J192" s="81">
        <v>16646</v>
      </c>
      <c r="K192" s="81">
        <v>196.42</v>
      </c>
      <c r="N192" s="1"/>
      <c r="O192" s="1"/>
      <c r="P192" s="2"/>
      <c r="Q192" s="2"/>
    </row>
    <row r="193" spans="1:17">
      <c r="A193" s="457" t="s">
        <v>161</v>
      </c>
      <c r="B193" s="455"/>
      <c r="C193" s="455"/>
      <c r="D193" s="455">
        <v>2000</v>
      </c>
      <c r="E193" s="455">
        <v>34.6</v>
      </c>
      <c r="F193" s="455"/>
      <c r="G193" s="455"/>
      <c r="H193" s="455"/>
      <c r="I193" s="455"/>
      <c r="J193" s="455">
        <v>2000</v>
      </c>
      <c r="K193" s="455">
        <v>34.6</v>
      </c>
      <c r="N193" s="1"/>
      <c r="O193" s="1"/>
      <c r="P193" s="2"/>
      <c r="Q193" s="2"/>
    </row>
    <row r="194" spans="1:17">
      <c r="A194" s="457" t="s">
        <v>407</v>
      </c>
      <c r="B194" s="455"/>
      <c r="C194" s="455"/>
      <c r="D194" s="455">
        <v>7380</v>
      </c>
      <c r="E194" s="455">
        <v>127.67</v>
      </c>
      <c r="F194" s="455"/>
      <c r="G194" s="455"/>
      <c r="H194" s="455"/>
      <c r="I194" s="455"/>
      <c r="J194" s="455">
        <v>7380</v>
      </c>
      <c r="K194" s="455">
        <v>127.67</v>
      </c>
      <c r="N194" s="1"/>
      <c r="O194" s="1"/>
      <c r="P194" s="2"/>
      <c r="Q194" s="2"/>
    </row>
    <row r="195" spans="1:17">
      <c r="A195" s="457" t="s">
        <v>607</v>
      </c>
      <c r="B195" s="455">
        <v>13189</v>
      </c>
      <c r="C195" s="455">
        <v>176.73</v>
      </c>
      <c r="D195" s="455">
        <v>24224</v>
      </c>
      <c r="E195" s="455">
        <v>324.60000000000002</v>
      </c>
      <c r="F195" s="455"/>
      <c r="G195" s="455"/>
      <c r="H195" s="455"/>
      <c r="I195" s="455"/>
      <c r="J195" s="455">
        <v>37413</v>
      </c>
      <c r="K195" s="455">
        <v>501.33000000000004</v>
      </c>
      <c r="N195" s="1"/>
      <c r="O195" s="1"/>
      <c r="P195" s="2"/>
      <c r="Q195" s="2"/>
    </row>
    <row r="196" spans="1:17">
      <c r="A196" s="457" t="s">
        <v>290</v>
      </c>
      <c r="B196" s="455"/>
      <c r="C196" s="455"/>
      <c r="D196" s="455">
        <v>18600</v>
      </c>
      <c r="E196" s="455">
        <v>249.24</v>
      </c>
      <c r="F196" s="455"/>
      <c r="G196" s="455"/>
      <c r="H196" s="455"/>
      <c r="I196" s="455"/>
      <c r="J196" s="455">
        <v>18600</v>
      </c>
      <c r="K196" s="455">
        <v>249.24</v>
      </c>
      <c r="N196" s="1"/>
      <c r="O196" s="1"/>
      <c r="P196" s="2"/>
      <c r="Q196" s="2"/>
    </row>
    <row r="197" spans="1:17">
      <c r="A197" s="457" t="s">
        <v>464</v>
      </c>
      <c r="B197" s="455">
        <v>29202</v>
      </c>
      <c r="C197" s="455">
        <v>391.31</v>
      </c>
      <c r="D197" s="455">
        <v>42832</v>
      </c>
      <c r="E197" s="455">
        <v>573.95000000000005</v>
      </c>
      <c r="F197" s="455"/>
      <c r="G197" s="455"/>
      <c r="H197" s="455"/>
      <c r="I197" s="455"/>
      <c r="J197" s="455">
        <v>72034</v>
      </c>
      <c r="K197" s="455">
        <v>965.26</v>
      </c>
      <c r="N197" s="1"/>
      <c r="O197" s="1"/>
      <c r="P197" s="2"/>
      <c r="Q197" s="2"/>
    </row>
    <row r="198" spans="1:17">
      <c r="A198" s="457" t="s">
        <v>502</v>
      </c>
      <c r="B198" s="455"/>
      <c r="C198" s="455"/>
      <c r="D198" s="455">
        <v>442398</v>
      </c>
      <c r="E198" s="455">
        <v>2919.83</v>
      </c>
      <c r="F198" s="455"/>
      <c r="G198" s="455"/>
      <c r="H198" s="455"/>
      <c r="I198" s="455"/>
      <c r="J198" s="455">
        <v>442398</v>
      </c>
      <c r="K198" s="455">
        <v>2919.83</v>
      </c>
      <c r="N198" s="1"/>
      <c r="O198" s="1"/>
      <c r="P198" s="2"/>
      <c r="Q198" s="2"/>
    </row>
    <row r="199" spans="1:17">
      <c r="A199" s="457" t="s">
        <v>426</v>
      </c>
      <c r="B199" s="455"/>
      <c r="C199" s="455"/>
      <c r="D199" s="455">
        <v>445853</v>
      </c>
      <c r="E199" s="455">
        <v>3165.56</v>
      </c>
      <c r="F199" s="455"/>
      <c r="G199" s="455"/>
      <c r="H199" s="455"/>
      <c r="I199" s="455"/>
      <c r="J199" s="455">
        <v>445853</v>
      </c>
      <c r="K199" s="455">
        <v>3165.56</v>
      </c>
      <c r="N199" s="1"/>
      <c r="O199" s="1"/>
      <c r="P199" s="2"/>
      <c r="Q199" s="2"/>
    </row>
    <row r="200" spans="1:17">
      <c r="A200" s="457" t="s">
        <v>83</v>
      </c>
      <c r="B200" s="455"/>
      <c r="C200" s="455"/>
      <c r="D200" s="455">
        <v>448137</v>
      </c>
      <c r="E200" s="455">
        <v>3002.52</v>
      </c>
      <c r="F200" s="455"/>
      <c r="G200" s="455"/>
      <c r="H200" s="455"/>
      <c r="I200" s="455"/>
      <c r="J200" s="455">
        <v>448137</v>
      </c>
      <c r="K200" s="455">
        <v>3002.52</v>
      </c>
      <c r="N200" s="1"/>
      <c r="O200" s="1"/>
      <c r="P200" s="2"/>
      <c r="Q200" s="2"/>
    </row>
    <row r="201" spans="1:17">
      <c r="A201" s="457" t="s">
        <v>542</v>
      </c>
      <c r="B201" s="455"/>
      <c r="C201" s="455"/>
      <c r="D201" s="455">
        <v>448008</v>
      </c>
      <c r="E201" s="455">
        <v>3180.8599999999997</v>
      </c>
      <c r="F201" s="455"/>
      <c r="G201" s="455"/>
      <c r="H201" s="455"/>
      <c r="I201" s="455"/>
      <c r="J201" s="455">
        <v>448008</v>
      </c>
      <c r="K201" s="455">
        <v>3180.8599999999997</v>
      </c>
      <c r="N201" s="1"/>
      <c r="O201" s="1"/>
      <c r="P201" s="2"/>
      <c r="Q201" s="2"/>
    </row>
    <row r="202" spans="1:17">
      <c r="A202" s="457" t="s">
        <v>562</v>
      </c>
      <c r="B202" s="455"/>
      <c r="C202" s="455"/>
      <c r="D202" s="455">
        <v>466690</v>
      </c>
      <c r="E202" s="455">
        <v>3082.82</v>
      </c>
      <c r="F202" s="455"/>
      <c r="G202" s="455"/>
      <c r="H202" s="455"/>
      <c r="I202" s="455"/>
      <c r="J202" s="455">
        <v>466690</v>
      </c>
      <c r="K202" s="455">
        <v>3082.82</v>
      </c>
      <c r="N202" s="1"/>
      <c r="O202" s="1"/>
      <c r="P202" s="2"/>
      <c r="Q202" s="2"/>
    </row>
    <row r="203" spans="1:17">
      <c r="A203" s="457" t="s">
        <v>488</v>
      </c>
      <c r="B203" s="455"/>
      <c r="C203" s="455"/>
      <c r="D203" s="455">
        <v>445995</v>
      </c>
      <c r="E203" s="455">
        <v>3165.96</v>
      </c>
      <c r="F203" s="455"/>
      <c r="G203" s="455"/>
      <c r="H203" s="455"/>
      <c r="I203" s="455"/>
      <c r="J203" s="455">
        <v>445995</v>
      </c>
      <c r="K203" s="455">
        <v>3165.96</v>
      </c>
      <c r="N203" s="1"/>
      <c r="O203" s="1"/>
      <c r="P203" s="2"/>
      <c r="Q203" s="2"/>
    </row>
    <row r="204" spans="1:17">
      <c r="A204" s="457" t="s">
        <v>45</v>
      </c>
      <c r="B204" s="455"/>
      <c r="C204" s="455"/>
      <c r="D204" s="455">
        <v>418183</v>
      </c>
      <c r="E204" s="455">
        <v>2760.01</v>
      </c>
      <c r="F204" s="455"/>
      <c r="G204" s="455"/>
      <c r="H204" s="455"/>
      <c r="I204" s="455"/>
      <c r="J204" s="455">
        <v>418183</v>
      </c>
      <c r="K204" s="455">
        <v>2760.01</v>
      </c>
      <c r="N204" s="1"/>
      <c r="O204" s="1"/>
      <c r="P204" s="2"/>
      <c r="Q204" s="2"/>
    </row>
    <row r="205" spans="1:17">
      <c r="A205" s="457" t="s">
        <v>522</v>
      </c>
      <c r="B205" s="455"/>
      <c r="C205" s="455"/>
      <c r="D205" s="455">
        <v>418183</v>
      </c>
      <c r="E205" s="455">
        <v>2969.1</v>
      </c>
      <c r="F205" s="455"/>
      <c r="G205" s="455"/>
      <c r="H205" s="455"/>
      <c r="I205" s="455"/>
      <c r="J205" s="455">
        <v>418183</v>
      </c>
      <c r="K205" s="455">
        <v>2969.1</v>
      </c>
      <c r="N205" s="1"/>
      <c r="O205" s="1"/>
      <c r="P205" s="2"/>
      <c r="Q205" s="2"/>
    </row>
    <row r="206" spans="1:17">
      <c r="A206" s="457" t="s">
        <v>461</v>
      </c>
      <c r="B206" s="455"/>
      <c r="C206" s="455"/>
      <c r="D206" s="455"/>
      <c r="E206" s="455"/>
      <c r="F206" s="455">
        <v>56211</v>
      </c>
      <c r="G206" s="455">
        <v>1568.29</v>
      </c>
      <c r="H206" s="455"/>
      <c r="I206" s="455"/>
      <c r="J206" s="455">
        <v>56211</v>
      </c>
      <c r="K206" s="455">
        <v>1568.29</v>
      </c>
      <c r="N206" s="1"/>
      <c r="O206" s="1"/>
      <c r="P206" s="2"/>
      <c r="Q206" s="2"/>
    </row>
    <row r="207" spans="1:17">
      <c r="A207" s="457" t="s">
        <v>524</v>
      </c>
      <c r="B207" s="455"/>
      <c r="C207" s="455"/>
      <c r="D207" s="455"/>
      <c r="E207" s="455"/>
      <c r="F207" s="455">
        <v>180309</v>
      </c>
      <c r="G207" s="455">
        <v>2344.02</v>
      </c>
      <c r="H207" s="455"/>
      <c r="I207" s="455"/>
      <c r="J207" s="455">
        <v>180309</v>
      </c>
      <c r="K207" s="455">
        <v>2344.02</v>
      </c>
      <c r="N207" s="1"/>
      <c r="O207" s="1"/>
      <c r="P207" s="2"/>
      <c r="Q207" s="2"/>
    </row>
    <row r="208" spans="1:17">
      <c r="A208" s="457" t="s">
        <v>566</v>
      </c>
      <c r="B208" s="455"/>
      <c r="C208" s="455"/>
      <c r="D208" s="455"/>
      <c r="E208" s="455"/>
      <c r="F208" s="455">
        <v>77494</v>
      </c>
      <c r="G208" s="455">
        <v>1154.6600000000001</v>
      </c>
      <c r="H208" s="455"/>
      <c r="I208" s="455"/>
      <c r="J208" s="455">
        <v>77494</v>
      </c>
      <c r="K208" s="455">
        <v>1154.6600000000001</v>
      </c>
      <c r="N208" s="1"/>
      <c r="O208" s="1"/>
      <c r="P208" s="2"/>
      <c r="Q208" s="2"/>
    </row>
    <row r="209" spans="1:17">
      <c r="A209" s="457" t="s">
        <v>57</v>
      </c>
      <c r="B209" s="455"/>
      <c r="C209" s="455"/>
      <c r="D209" s="455"/>
      <c r="E209" s="455"/>
      <c r="F209" s="455">
        <v>79584</v>
      </c>
      <c r="G209" s="455">
        <v>835.63</v>
      </c>
      <c r="H209" s="455"/>
      <c r="I209" s="455"/>
      <c r="J209" s="455">
        <v>79584</v>
      </c>
      <c r="K209" s="455">
        <v>835.63</v>
      </c>
      <c r="N209" s="1"/>
      <c r="O209" s="1"/>
      <c r="P209" s="2"/>
      <c r="Q209" s="2"/>
    </row>
    <row r="210" spans="1:17">
      <c r="A210" s="457" t="s">
        <v>81</v>
      </c>
      <c r="B210" s="455"/>
      <c r="C210" s="455"/>
      <c r="D210" s="455"/>
      <c r="E210" s="455"/>
      <c r="F210" s="455">
        <v>71567</v>
      </c>
      <c r="G210" s="455">
        <v>1996.72</v>
      </c>
      <c r="H210" s="455"/>
      <c r="I210" s="455"/>
      <c r="J210" s="455">
        <v>71567</v>
      </c>
      <c r="K210" s="455">
        <v>1996.72</v>
      </c>
      <c r="N210" s="1"/>
      <c r="O210" s="1"/>
      <c r="P210" s="2"/>
      <c r="Q210" s="2"/>
    </row>
    <row r="211" spans="1:17">
      <c r="A211" s="457" t="s">
        <v>584</v>
      </c>
      <c r="B211" s="455"/>
      <c r="C211" s="455"/>
      <c r="D211" s="455"/>
      <c r="E211" s="455"/>
      <c r="F211" s="455">
        <v>178911</v>
      </c>
      <c r="G211" s="455">
        <v>2353.9799999999996</v>
      </c>
      <c r="H211" s="455"/>
      <c r="I211" s="455"/>
      <c r="J211" s="455">
        <v>178911</v>
      </c>
      <c r="K211" s="455">
        <v>2353.9799999999996</v>
      </c>
      <c r="N211" s="1"/>
      <c r="O211" s="1"/>
      <c r="P211" s="2"/>
      <c r="Q211" s="2"/>
    </row>
    <row r="212" spans="1:17">
      <c r="A212" s="457" t="s">
        <v>603</v>
      </c>
      <c r="B212" s="455"/>
      <c r="C212" s="455"/>
      <c r="D212" s="455"/>
      <c r="E212" s="455"/>
      <c r="F212" s="455">
        <v>175957</v>
      </c>
      <c r="G212" s="455">
        <v>2550.08</v>
      </c>
      <c r="H212" s="455"/>
      <c r="I212" s="455"/>
      <c r="J212" s="455">
        <v>175957</v>
      </c>
      <c r="K212" s="455">
        <v>2550.08</v>
      </c>
      <c r="N212" s="1"/>
      <c r="O212" s="1"/>
      <c r="P212" s="2"/>
      <c r="Q212" s="2"/>
    </row>
    <row r="213" spans="1:17">
      <c r="A213" s="457" t="s">
        <v>613</v>
      </c>
      <c r="B213" s="455"/>
      <c r="C213" s="455"/>
      <c r="D213" s="455"/>
      <c r="E213" s="455"/>
      <c r="F213" s="455">
        <v>174906</v>
      </c>
      <c r="G213" s="455">
        <v>1836.51</v>
      </c>
      <c r="H213" s="455"/>
      <c r="I213" s="455"/>
      <c r="J213" s="455">
        <v>174906</v>
      </c>
      <c r="K213" s="455">
        <v>1836.51</v>
      </c>
      <c r="N213" s="1"/>
      <c r="O213" s="1"/>
      <c r="P213" s="2"/>
      <c r="Q213" s="2"/>
    </row>
    <row r="214" spans="1:17">
      <c r="A214" s="457" t="s">
        <v>629</v>
      </c>
      <c r="B214" s="455"/>
      <c r="C214" s="455"/>
      <c r="D214" s="455"/>
      <c r="E214" s="455"/>
      <c r="F214" s="455">
        <v>153109</v>
      </c>
      <c r="G214" s="455">
        <v>2281.33</v>
      </c>
      <c r="H214" s="455"/>
      <c r="I214" s="455"/>
      <c r="J214" s="455">
        <v>153109</v>
      </c>
      <c r="K214" s="455">
        <v>2281.33</v>
      </c>
      <c r="N214" s="1"/>
      <c r="O214" s="1"/>
      <c r="P214" s="2"/>
      <c r="Q214" s="2"/>
    </row>
    <row r="215" spans="1:17">
      <c r="A215" s="457" t="s">
        <v>640</v>
      </c>
      <c r="B215" s="455"/>
      <c r="C215" s="455"/>
      <c r="D215" s="455"/>
      <c r="E215" s="455"/>
      <c r="F215" s="455">
        <v>202732</v>
      </c>
      <c r="G215" s="455">
        <v>2128.69</v>
      </c>
      <c r="H215" s="455"/>
      <c r="I215" s="455"/>
      <c r="J215" s="455">
        <v>202732</v>
      </c>
      <c r="K215" s="455">
        <v>2128.69</v>
      </c>
      <c r="N215" s="1"/>
      <c r="O215" s="1"/>
      <c r="P215" s="2"/>
      <c r="Q215" s="2"/>
    </row>
    <row r="216" spans="1:17">
      <c r="A216" s="457" t="s">
        <v>646</v>
      </c>
      <c r="B216" s="455"/>
      <c r="C216" s="455"/>
      <c r="D216" s="455"/>
      <c r="E216" s="455"/>
      <c r="F216" s="455">
        <v>78274</v>
      </c>
      <c r="G216" s="455">
        <v>1017.56</v>
      </c>
      <c r="H216" s="455"/>
      <c r="I216" s="455"/>
      <c r="J216" s="455">
        <v>78274</v>
      </c>
      <c r="K216" s="455">
        <v>1017.56</v>
      </c>
      <c r="N216" s="1"/>
      <c r="O216" s="1"/>
      <c r="P216" s="2"/>
      <c r="Q216" s="2"/>
    </row>
    <row r="217" spans="1:17">
      <c r="A217" s="457" t="s">
        <v>660</v>
      </c>
      <c r="B217" s="455"/>
      <c r="C217" s="455"/>
      <c r="D217" s="455"/>
      <c r="E217" s="455"/>
      <c r="F217" s="455">
        <v>94625</v>
      </c>
      <c r="G217" s="455">
        <v>2636.19</v>
      </c>
      <c r="H217" s="455"/>
      <c r="I217" s="455"/>
      <c r="J217" s="455">
        <v>94625</v>
      </c>
      <c r="K217" s="455">
        <v>2636.19</v>
      </c>
      <c r="N217" s="1"/>
      <c r="O217" s="1"/>
      <c r="P217" s="2"/>
      <c r="Q217" s="2"/>
    </row>
    <row r="218" spans="1:17">
      <c r="A218" s="457" t="s">
        <v>271</v>
      </c>
      <c r="B218" s="455">
        <v>16595</v>
      </c>
      <c r="C218" s="455">
        <v>222.37</v>
      </c>
      <c r="D218" s="455">
        <v>25075</v>
      </c>
      <c r="E218" s="455">
        <v>336.01</v>
      </c>
      <c r="F218" s="455"/>
      <c r="G218" s="455"/>
      <c r="H218" s="455"/>
      <c r="I218" s="455"/>
      <c r="J218" s="455">
        <v>41670</v>
      </c>
      <c r="K218" s="455">
        <v>558.38</v>
      </c>
      <c r="N218" s="1"/>
      <c r="O218" s="1"/>
      <c r="P218" s="2"/>
      <c r="Q218" s="2"/>
    </row>
    <row r="219" spans="1:17">
      <c r="A219" s="227" t="s">
        <v>669</v>
      </c>
      <c r="B219" s="81"/>
      <c r="C219" s="81"/>
      <c r="D219" s="81"/>
      <c r="E219" s="81"/>
      <c r="F219" s="81">
        <v>92391</v>
      </c>
      <c r="G219" s="81">
        <v>1362.69</v>
      </c>
      <c r="H219" s="81"/>
      <c r="I219" s="81"/>
      <c r="J219" s="81">
        <v>92391</v>
      </c>
      <c r="K219" s="81">
        <v>1362.69</v>
      </c>
      <c r="N219" s="1"/>
      <c r="O219" s="1"/>
      <c r="P219" s="2"/>
      <c r="Q219" s="2"/>
    </row>
    <row r="220" spans="1:17">
      <c r="A220" s="457" t="s">
        <v>496</v>
      </c>
      <c r="B220" s="455"/>
      <c r="C220" s="455"/>
      <c r="D220" s="455">
        <v>46066</v>
      </c>
      <c r="E220" s="455">
        <v>612.67999999999995</v>
      </c>
      <c r="F220" s="455"/>
      <c r="G220" s="455"/>
      <c r="H220" s="455"/>
      <c r="I220" s="455"/>
      <c r="J220" s="455">
        <v>46066</v>
      </c>
      <c r="K220" s="455">
        <v>612.67999999999995</v>
      </c>
      <c r="N220" s="1"/>
      <c r="O220" s="1"/>
      <c r="P220" s="2"/>
      <c r="Q220" s="2"/>
    </row>
    <row r="221" spans="1:17">
      <c r="A221" s="457" t="s">
        <v>433</v>
      </c>
      <c r="B221" s="455">
        <v>20000</v>
      </c>
      <c r="C221" s="455">
        <v>268</v>
      </c>
      <c r="D221" s="455">
        <v>31796</v>
      </c>
      <c r="E221" s="455">
        <v>422.89</v>
      </c>
      <c r="F221" s="455"/>
      <c r="G221" s="455"/>
      <c r="H221" s="455"/>
      <c r="I221" s="455"/>
      <c r="J221" s="455">
        <v>51796</v>
      </c>
      <c r="K221" s="455">
        <v>690.89</v>
      </c>
      <c r="N221" s="1"/>
      <c r="O221" s="1"/>
      <c r="P221" s="2"/>
      <c r="Q221" s="2"/>
    </row>
    <row r="222" spans="1:17">
      <c r="A222" s="457" t="s">
        <v>517</v>
      </c>
      <c r="B222" s="455">
        <v>82812</v>
      </c>
      <c r="C222" s="455">
        <v>1109.68</v>
      </c>
      <c r="D222" s="455">
        <v>76147</v>
      </c>
      <c r="E222" s="455">
        <v>1020.37</v>
      </c>
      <c r="F222" s="455"/>
      <c r="G222" s="455"/>
      <c r="H222" s="455"/>
      <c r="I222" s="455"/>
      <c r="J222" s="455">
        <v>158959</v>
      </c>
      <c r="K222" s="455">
        <v>2130.0500000000002</v>
      </c>
      <c r="N222" s="1"/>
      <c r="O222" s="1"/>
      <c r="P222" s="2"/>
      <c r="Q222" s="2"/>
    </row>
    <row r="223" spans="1:17">
      <c r="A223" s="457" t="s">
        <v>616</v>
      </c>
      <c r="B223" s="455">
        <v>14011</v>
      </c>
      <c r="C223" s="455">
        <v>186.35</v>
      </c>
      <c r="D223" s="455">
        <v>10651</v>
      </c>
      <c r="E223" s="455">
        <v>141.66</v>
      </c>
      <c r="F223" s="455"/>
      <c r="G223" s="455"/>
      <c r="H223" s="455"/>
      <c r="I223" s="455"/>
      <c r="J223" s="455">
        <v>24662</v>
      </c>
      <c r="K223" s="455">
        <v>328.01</v>
      </c>
      <c r="N223" s="1"/>
      <c r="O223" s="1"/>
      <c r="P223" s="2"/>
      <c r="Q223" s="2"/>
    </row>
    <row r="224" spans="1:17">
      <c r="A224" s="457" t="s">
        <v>627</v>
      </c>
      <c r="B224" s="455">
        <v>60108</v>
      </c>
      <c r="C224" s="455">
        <v>805.45</v>
      </c>
      <c r="D224" s="455">
        <v>96674</v>
      </c>
      <c r="E224" s="455">
        <v>1290.76</v>
      </c>
      <c r="F224" s="455"/>
      <c r="G224" s="455"/>
      <c r="H224" s="455"/>
      <c r="I224" s="455"/>
      <c r="J224" s="455">
        <v>156782</v>
      </c>
      <c r="K224" s="455">
        <v>2096.21</v>
      </c>
      <c r="N224" s="1"/>
      <c r="O224" s="1"/>
      <c r="P224" s="2"/>
      <c r="Q224" s="2"/>
    </row>
    <row r="225" spans="1:17">
      <c r="A225" s="457" t="s">
        <v>233</v>
      </c>
      <c r="B225" s="455">
        <v>36425</v>
      </c>
      <c r="C225" s="455">
        <v>560.95000000000005</v>
      </c>
      <c r="D225" s="455"/>
      <c r="E225" s="455"/>
      <c r="F225" s="455"/>
      <c r="G225" s="455"/>
      <c r="H225" s="455"/>
      <c r="I225" s="455"/>
      <c r="J225" s="455">
        <v>36425</v>
      </c>
      <c r="K225" s="455">
        <v>560.95000000000005</v>
      </c>
      <c r="N225" s="1"/>
      <c r="O225" s="1"/>
      <c r="P225" s="2"/>
      <c r="Q225" s="2"/>
    </row>
    <row r="226" spans="1:17">
      <c r="A226" s="457" t="s">
        <v>224</v>
      </c>
      <c r="B226" s="455">
        <v>67177</v>
      </c>
      <c r="C226" s="455">
        <v>1168.8800000000001</v>
      </c>
      <c r="D226" s="455"/>
      <c r="E226" s="455"/>
      <c r="F226" s="455"/>
      <c r="G226" s="455"/>
      <c r="H226" s="455"/>
      <c r="I226" s="455"/>
      <c r="J226" s="455">
        <v>67177</v>
      </c>
      <c r="K226" s="455">
        <v>1168.8800000000001</v>
      </c>
      <c r="N226" s="1"/>
      <c r="O226" s="1"/>
      <c r="P226" s="2"/>
      <c r="Q226" s="2"/>
    </row>
    <row r="227" spans="1:17">
      <c r="A227" s="457" t="s">
        <v>514</v>
      </c>
      <c r="B227" s="455"/>
      <c r="C227" s="455"/>
      <c r="D227" s="455">
        <v>49047</v>
      </c>
      <c r="E227" s="455">
        <v>660.84</v>
      </c>
      <c r="F227" s="455"/>
      <c r="G227" s="455"/>
      <c r="H227" s="455"/>
      <c r="I227" s="455"/>
      <c r="J227" s="455">
        <v>49047</v>
      </c>
      <c r="K227" s="455">
        <v>660.84</v>
      </c>
      <c r="N227" s="1"/>
      <c r="O227" s="1"/>
      <c r="P227" s="2"/>
      <c r="Q227" s="2"/>
    </row>
    <row r="228" spans="1:17">
      <c r="A228" s="457" t="s">
        <v>180</v>
      </c>
      <c r="B228" s="455"/>
      <c r="C228" s="455"/>
      <c r="D228" s="455">
        <v>48947</v>
      </c>
      <c r="E228" s="455">
        <v>760.94</v>
      </c>
      <c r="F228" s="455"/>
      <c r="G228" s="455"/>
      <c r="H228" s="455"/>
      <c r="I228" s="455"/>
      <c r="J228" s="455">
        <v>48947</v>
      </c>
      <c r="K228" s="455">
        <v>760.94</v>
      </c>
      <c r="N228" s="1"/>
      <c r="O228" s="1"/>
      <c r="P228" s="2"/>
      <c r="Q228" s="2"/>
    </row>
    <row r="229" spans="1:17">
      <c r="A229" s="457" t="s">
        <v>20</v>
      </c>
      <c r="B229" s="455">
        <v>29950</v>
      </c>
      <c r="C229" s="455">
        <v>461.23</v>
      </c>
      <c r="D229" s="455">
        <v>16418</v>
      </c>
      <c r="E229" s="455">
        <v>252.84</v>
      </c>
      <c r="F229" s="455"/>
      <c r="G229" s="455"/>
      <c r="H229" s="455"/>
      <c r="I229" s="455"/>
      <c r="J229" s="455">
        <v>46368</v>
      </c>
      <c r="K229" s="455">
        <v>714.07</v>
      </c>
      <c r="N229" s="1"/>
      <c r="O229" s="1"/>
      <c r="P229" s="2"/>
      <c r="Q229" s="2"/>
    </row>
    <row r="230" spans="1:17">
      <c r="A230" s="227" t="s">
        <v>674</v>
      </c>
      <c r="B230" s="81">
        <v>29709</v>
      </c>
      <c r="C230" s="81">
        <v>516.94000000000005</v>
      </c>
      <c r="D230" s="81">
        <v>22707</v>
      </c>
      <c r="E230" s="81">
        <v>395.1</v>
      </c>
      <c r="F230" s="81"/>
      <c r="G230" s="81"/>
      <c r="H230" s="81"/>
      <c r="I230" s="81"/>
      <c r="J230" s="81">
        <v>52416</v>
      </c>
      <c r="K230" s="81">
        <v>912.04000000000008</v>
      </c>
      <c r="N230" s="1"/>
      <c r="O230" s="1"/>
      <c r="P230" s="2"/>
      <c r="Q230" s="2"/>
    </row>
    <row r="231" spans="1:17">
      <c r="A231" s="457" t="s">
        <v>423</v>
      </c>
      <c r="B231" s="455"/>
      <c r="C231" s="455"/>
      <c r="D231" s="455">
        <v>20800</v>
      </c>
      <c r="E231" s="455">
        <v>276.64</v>
      </c>
      <c r="F231" s="455"/>
      <c r="G231" s="455"/>
      <c r="H231" s="455"/>
      <c r="I231" s="455"/>
      <c r="J231" s="455">
        <v>20800</v>
      </c>
      <c r="K231" s="455">
        <v>276.64</v>
      </c>
      <c r="N231" s="1"/>
      <c r="O231" s="1"/>
      <c r="P231" s="2"/>
      <c r="Q231" s="2"/>
    </row>
    <row r="232" spans="1:17">
      <c r="A232" s="457" t="s">
        <v>677</v>
      </c>
      <c r="B232" s="455">
        <v>33755</v>
      </c>
      <c r="C232" s="455">
        <v>519.83000000000004</v>
      </c>
      <c r="D232" s="455">
        <v>16897</v>
      </c>
      <c r="E232" s="455">
        <v>260.20999999999998</v>
      </c>
      <c r="F232" s="455"/>
      <c r="G232" s="455"/>
      <c r="H232" s="455"/>
      <c r="I232" s="455"/>
      <c r="J232" s="455">
        <v>50652</v>
      </c>
      <c r="K232" s="455">
        <v>780.04</v>
      </c>
      <c r="N232" s="1"/>
      <c r="O232" s="1"/>
      <c r="P232" s="2"/>
      <c r="Q232" s="2"/>
    </row>
    <row r="233" spans="1:17">
      <c r="A233" s="457" t="s">
        <v>683</v>
      </c>
      <c r="B233" s="455">
        <v>53204</v>
      </c>
      <c r="C233" s="455">
        <v>925.75</v>
      </c>
      <c r="D233" s="455">
        <v>16897</v>
      </c>
      <c r="E233" s="455">
        <v>294.01</v>
      </c>
      <c r="F233" s="455"/>
      <c r="G233" s="455"/>
      <c r="H233" s="455"/>
      <c r="I233" s="455"/>
      <c r="J233" s="455">
        <v>70101</v>
      </c>
      <c r="K233" s="455">
        <v>1219.76</v>
      </c>
      <c r="N233" s="1"/>
      <c r="O233" s="1"/>
      <c r="P233" s="2"/>
      <c r="Q233" s="2"/>
    </row>
    <row r="234" spans="1:17">
      <c r="A234" s="457" t="s">
        <v>389</v>
      </c>
      <c r="B234" s="455">
        <v>32453</v>
      </c>
      <c r="C234" s="455">
        <v>561.44000000000005</v>
      </c>
      <c r="D234" s="455">
        <v>59698</v>
      </c>
      <c r="E234" s="455">
        <v>1034.75</v>
      </c>
      <c r="F234" s="455"/>
      <c r="G234" s="455"/>
      <c r="H234" s="455"/>
      <c r="I234" s="455"/>
      <c r="J234" s="455">
        <v>92151</v>
      </c>
      <c r="K234" s="455">
        <v>1596.19</v>
      </c>
      <c r="N234" s="1"/>
      <c r="O234" s="1"/>
      <c r="P234" s="2"/>
      <c r="Q234" s="2"/>
    </row>
    <row r="235" spans="1:17">
      <c r="A235" s="457" t="s">
        <v>687</v>
      </c>
      <c r="B235" s="455">
        <v>27306</v>
      </c>
      <c r="C235" s="455">
        <v>832.83</v>
      </c>
      <c r="D235" s="455">
        <v>52428</v>
      </c>
      <c r="E235" s="455">
        <v>1599.05</v>
      </c>
      <c r="F235" s="455"/>
      <c r="G235" s="455"/>
      <c r="H235" s="455"/>
      <c r="I235" s="455"/>
      <c r="J235" s="455">
        <v>79734</v>
      </c>
      <c r="K235" s="455">
        <v>2431.88</v>
      </c>
      <c r="N235" s="1"/>
      <c r="O235" s="1"/>
      <c r="P235" s="2"/>
      <c r="Q235" s="2"/>
    </row>
    <row r="236" spans="1:17">
      <c r="A236" s="457" t="s">
        <v>544</v>
      </c>
      <c r="B236" s="455">
        <v>13190</v>
      </c>
      <c r="C236" s="455">
        <v>203.13</v>
      </c>
      <c r="D236" s="455">
        <v>23903</v>
      </c>
      <c r="E236" s="455">
        <v>367.72</v>
      </c>
      <c r="F236" s="455"/>
      <c r="G236" s="455"/>
      <c r="H236" s="455"/>
      <c r="I236" s="455"/>
      <c r="J236" s="455">
        <v>37093</v>
      </c>
      <c r="K236" s="455">
        <v>570.85</v>
      </c>
      <c r="N236" s="1"/>
      <c r="O236" s="1"/>
      <c r="P236" s="2"/>
      <c r="Q236" s="2"/>
    </row>
    <row r="237" spans="1:17">
      <c r="A237" s="227" t="s">
        <v>693</v>
      </c>
      <c r="B237" s="81">
        <v>106031</v>
      </c>
      <c r="C237" s="81">
        <v>2366.94</v>
      </c>
      <c r="D237" s="81">
        <v>22878</v>
      </c>
      <c r="E237" s="81">
        <v>398.08</v>
      </c>
      <c r="F237" s="81"/>
      <c r="G237" s="81"/>
      <c r="H237" s="81"/>
      <c r="I237" s="81"/>
      <c r="J237" s="81">
        <v>128909</v>
      </c>
      <c r="K237" s="81">
        <v>2765.02</v>
      </c>
      <c r="N237" s="1"/>
      <c r="O237" s="1"/>
      <c r="P237" s="2"/>
      <c r="Q237" s="2"/>
    </row>
    <row r="238" spans="1:17">
      <c r="A238" s="457" t="s">
        <v>470</v>
      </c>
      <c r="B238" s="455">
        <v>50174</v>
      </c>
      <c r="C238" s="455">
        <v>868.01</v>
      </c>
      <c r="D238" s="455">
        <v>59089</v>
      </c>
      <c r="E238" s="455">
        <v>1081.42</v>
      </c>
      <c r="F238" s="455"/>
      <c r="G238" s="455"/>
      <c r="H238" s="455"/>
      <c r="I238" s="455"/>
      <c r="J238" s="455">
        <v>109263</v>
      </c>
      <c r="K238" s="455">
        <v>1949.43</v>
      </c>
      <c r="N238" s="1"/>
      <c r="O238" s="1"/>
      <c r="P238" s="2"/>
      <c r="Q238" s="2"/>
    </row>
    <row r="239" spans="1:17">
      <c r="A239" s="457" t="s">
        <v>697</v>
      </c>
      <c r="B239" s="455">
        <v>10942</v>
      </c>
      <c r="C239" s="455">
        <v>333.73</v>
      </c>
      <c r="D239" s="455">
        <v>27689</v>
      </c>
      <c r="E239" s="455">
        <v>844.51</v>
      </c>
      <c r="F239" s="455"/>
      <c r="G239" s="455"/>
      <c r="H239" s="455"/>
      <c r="I239" s="455"/>
      <c r="J239" s="455">
        <v>38631</v>
      </c>
      <c r="K239" s="455">
        <v>1178.24</v>
      </c>
      <c r="N239" s="1"/>
      <c r="O239" s="1"/>
      <c r="P239" s="2"/>
      <c r="Q239" s="2"/>
    </row>
    <row r="240" spans="1:17">
      <c r="A240" s="457" t="s">
        <v>119</v>
      </c>
      <c r="B240" s="455"/>
      <c r="C240" s="455"/>
      <c r="D240" s="455">
        <v>329326</v>
      </c>
      <c r="E240" s="455">
        <v>3424.99</v>
      </c>
      <c r="F240" s="455"/>
      <c r="G240" s="455"/>
      <c r="H240" s="455"/>
      <c r="I240" s="455"/>
      <c r="J240" s="455">
        <v>329326</v>
      </c>
      <c r="K240" s="455">
        <v>3424.99</v>
      </c>
      <c r="N240" s="1"/>
      <c r="O240" s="1"/>
      <c r="P240" s="2"/>
      <c r="Q240" s="2"/>
    </row>
    <row r="241" spans="1:17">
      <c r="A241" s="457" t="s">
        <v>219</v>
      </c>
      <c r="B241" s="455">
        <v>8541</v>
      </c>
      <c r="C241" s="455">
        <v>7702.1</v>
      </c>
      <c r="D241" s="455">
        <v>10029</v>
      </c>
      <c r="E241" s="455">
        <v>7466.25</v>
      </c>
      <c r="F241" s="455"/>
      <c r="G241" s="455"/>
      <c r="H241" s="455"/>
      <c r="I241" s="455"/>
      <c r="J241" s="455">
        <v>18570</v>
      </c>
      <c r="K241" s="455">
        <v>15168.35</v>
      </c>
      <c r="N241" s="1"/>
      <c r="O241" s="1"/>
      <c r="P241" s="2"/>
      <c r="Q241" s="2"/>
    </row>
    <row r="242" spans="1:17">
      <c r="A242" s="457" t="s">
        <v>255</v>
      </c>
      <c r="B242" s="455">
        <v>41</v>
      </c>
      <c r="C242" s="455">
        <v>2125.42</v>
      </c>
      <c r="D242" s="455">
        <v>38</v>
      </c>
      <c r="E242" s="455">
        <v>1892.02</v>
      </c>
      <c r="F242" s="455"/>
      <c r="G242" s="455"/>
      <c r="H242" s="455"/>
      <c r="I242" s="455"/>
      <c r="J242" s="455">
        <v>79</v>
      </c>
      <c r="K242" s="455">
        <v>4017.44</v>
      </c>
      <c r="N242" s="1"/>
      <c r="O242" s="1"/>
      <c r="P242" s="2"/>
      <c r="Q242" s="2"/>
    </row>
    <row r="243" spans="1:17">
      <c r="A243" s="457" t="s">
        <v>314</v>
      </c>
      <c r="B243" s="455">
        <v>98497</v>
      </c>
      <c r="C243" s="455">
        <v>3014.0099999999998</v>
      </c>
      <c r="D243" s="455">
        <v>74007</v>
      </c>
      <c r="E243" s="455">
        <v>2283.25</v>
      </c>
      <c r="F243" s="455"/>
      <c r="G243" s="455"/>
      <c r="H243" s="455"/>
      <c r="I243" s="455"/>
      <c r="J243" s="455">
        <v>172504</v>
      </c>
      <c r="K243" s="455">
        <v>5297.26</v>
      </c>
      <c r="N243" s="1"/>
      <c r="O243" s="1"/>
      <c r="P243" s="2"/>
      <c r="Q243" s="2"/>
    </row>
    <row r="244" spans="1:17">
      <c r="A244" s="457" t="s">
        <v>154</v>
      </c>
      <c r="B244" s="455">
        <v>108699</v>
      </c>
      <c r="C244" s="455">
        <v>18315.78</v>
      </c>
      <c r="D244" s="455">
        <v>126300</v>
      </c>
      <c r="E244" s="455">
        <v>21281.55</v>
      </c>
      <c r="F244" s="455"/>
      <c r="G244" s="455"/>
      <c r="H244" s="455"/>
      <c r="I244" s="455"/>
      <c r="J244" s="455">
        <v>234999</v>
      </c>
      <c r="K244" s="455">
        <v>39597.33</v>
      </c>
      <c r="N244" s="1"/>
      <c r="O244" s="1"/>
      <c r="P244" s="2"/>
      <c r="Q244" s="2"/>
    </row>
    <row r="245" spans="1:17">
      <c r="A245" s="457" t="s">
        <v>168</v>
      </c>
      <c r="B245" s="455"/>
      <c r="C245" s="455"/>
      <c r="D245" s="455">
        <v>145833</v>
      </c>
      <c r="E245" s="455">
        <v>14474.15</v>
      </c>
      <c r="F245" s="455"/>
      <c r="G245" s="455"/>
      <c r="H245" s="455"/>
      <c r="I245" s="455"/>
      <c r="J245" s="455">
        <v>145833</v>
      </c>
      <c r="K245" s="455">
        <v>14474.15</v>
      </c>
      <c r="N245" s="1"/>
      <c r="O245" s="1"/>
      <c r="P245" s="2"/>
      <c r="Q245" s="2"/>
    </row>
    <row r="246" spans="1:17">
      <c r="A246" s="457" t="s">
        <v>309</v>
      </c>
      <c r="B246" s="455"/>
      <c r="C246" s="455"/>
      <c r="D246" s="455">
        <v>87240</v>
      </c>
      <c r="E246" s="455">
        <v>25282.149999999998</v>
      </c>
      <c r="F246" s="455"/>
      <c r="G246" s="455"/>
      <c r="H246" s="455"/>
      <c r="I246" s="455"/>
      <c r="J246" s="455">
        <v>87240</v>
      </c>
      <c r="K246" s="455">
        <v>25282.149999999998</v>
      </c>
      <c r="N246" s="1"/>
      <c r="O246" s="1"/>
      <c r="P246" s="2"/>
      <c r="Q246" s="2"/>
    </row>
    <row r="247" spans="1:17">
      <c r="A247" s="457" t="s">
        <v>424</v>
      </c>
      <c r="B247" s="455"/>
      <c r="C247" s="455"/>
      <c r="D247" s="455">
        <v>21480</v>
      </c>
      <c r="E247" s="455">
        <v>247.02</v>
      </c>
      <c r="F247" s="455"/>
      <c r="G247" s="455"/>
      <c r="H247" s="455"/>
      <c r="I247" s="455"/>
      <c r="J247" s="455">
        <v>21480</v>
      </c>
      <c r="K247" s="455">
        <v>247.02</v>
      </c>
      <c r="N247" s="1"/>
      <c r="O247" s="1"/>
      <c r="P247" s="2"/>
      <c r="Q247" s="2"/>
    </row>
    <row r="248" spans="1:17">
      <c r="A248" s="227" t="s">
        <v>2745</v>
      </c>
      <c r="B248" s="81">
        <v>35643</v>
      </c>
      <c r="C248" s="81">
        <v>420.59000000000003</v>
      </c>
      <c r="D248" s="81"/>
      <c r="E248" s="81"/>
      <c r="F248" s="81"/>
      <c r="G248" s="81"/>
      <c r="H248" s="81"/>
      <c r="I248" s="81"/>
      <c r="J248" s="81">
        <v>35643</v>
      </c>
      <c r="K248" s="81">
        <v>420.59000000000003</v>
      </c>
      <c r="N248" s="1"/>
      <c r="O248" s="1"/>
      <c r="P248" s="2"/>
      <c r="Q248" s="2"/>
    </row>
    <row r="249" spans="1:17">
      <c r="A249" s="227" t="s">
        <v>2747</v>
      </c>
      <c r="B249" s="81">
        <v>28470</v>
      </c>
      <c r="C249" s="81">
        <v>335.95</v>
      </c>
      <c r="D249" s="81"/>
      <c r="E249" s="81"/>
      <c r="F249" s="81"/>
      <c r="G249" s="81"/>
      <c r="H249" s="81"/>
      <c r="I249" s="81"/>
      <c r="J249" s="81">
        <v>28470</v>
      </c>
      <c r="K249" s="81">
        <v>335.95</v>
      </c>
      <c r="N249" s="1"/>
      <c r="O249" s="1"/>
      <c r="P249" s="2"/>
      <c r="Q249" s="2"/>
    </row>
    <row r="250" spans="1:17">
      <c r="A250" s="227" t="s">
        <v>2759</v>
      </c>
      <c r="B250" s="81">
        <v>64998</v>
      </c>
      <c r="C250" s="81">
        <v>857.97</v>
      </c>
      <c r="D250" s="81">
        <v>61393</v>
      </c>
      <c r="E250" s="81">
        <v>810.39</v>
      </c>
      <c r="F250" s="81"/>
      <c r="G250" s="81"/>
      <c r="H250" s="81"/>
      <c r="I250" s="81"/>
      <c r="J250" s="81">
        <v>126391</v>
      </c>
      <c r="K250" s="81">
        <v>1668.3600000000001</v>
      </c>
      <c r="N250" s="1"/>
      <c r="O250" s="1"/>
      <c r="P250" s="2"/>
      <c r="Q250" s="2"/>
    </row>
    <row r="251" spans="1:17">
      <c r="A251" s="227" t="s">
        <v>2761</v>
      </c>
      <c r="B251" s="81">
        <v>96401</v>
      </c>
      <c r="C251" s="81">
        <v>964.01</v>
      </c>
      <c r="D251" s="81">
        <v>69893</v>
      </c>
      <c r="E251" s="81">
        <v>701.92000000000007</v>
      </c>
      <c r="F251" s="81"/>
      <c r="G251" s="81"/>
      <c r="H251" s="81"/>
      <c r="I251" s="81"/>
      <c r="J251" s="81">
        <v>166294</v>
      </c>
      <c r="K251" s="81">
        <v>1665.93</v>
      </c>
      <c r="N251" s="1"/>
      <c r="O251" s="1"/>
      <c r="P251" s="2"/>
      <c r="Q251" s="2"/>
    </row>
    <row r="252" spans="1:17">
      <c r="A252" s="227" t="s">
        <v>2765</v>
      </c>
      <c r="B252" s="81">
        <v>124656</v>
      </c>
      <c r="C252" s="81">
        <v>1670.3899999999999</v>
      </c>
      <c r="D252" s="81">
        <v>202496</v>
      </c>
      <c r="E252" s="81">
        <v>2713.45</v>
      </c>
      <c r="F252" s="81"/>
      <c r="G252" s="81"/>
      <c r="H252" s="81"/>
      <c r="I252" s="81"/>
      <c r="J252" s="81">
        <v>327152</v>
      </c>
      <c r="K252" s="81">
        <v>4383.84</v>
      </c>
      <c r="N252" s="1"/>
      <c r="O252" s="1"/>
      <c r="P252" s="2"/>
      <c r="Q252" s="2"/>
    </row>
    <row r="253" spans="1:17">
      <c r="A253" s="227" t="s">
        <v>2771</v>
      </c>
      <c r="B253" s="81"/>
      <c r="C253" s="81"/>
      <c r="D253" s="81">
        <v>22594</v>
      </c>
      <c r="E253" s="81">
        <v>302.76</v>
      </c>
      <c r="F253" s="81"/>
      <c r="G253" s="81"/>
      <c r="H253" s="81"/>
      <c r="I253" s="81"/>
      <c r="J253" s="81">
        <v>22594</v>
      </c>
      <c r="K253" s="81">
        <v>302.76</v>
      </c>
      <c r="N253" s="1"/>
      <c r="O253" s="1"/>
      <c r="P253" s="2"/>
      <c r="Q253" s="2"/>
    </row>
    <row r="254" spans="1:17">
      <c r="A254" s="227" t="s">
        <v>2774</v>
      </c>
      <c r="B254" s="81">
        <v>55261</v>
      </c>
      <c r="C254" s="81">
        <v>552.61</v>
      </c>
      <c r="D254" s="81">
        <v>67793</v>
      </c>
      <c r="E254" s="81">
        <v>677.93000000000006</v>
      </c>
      <c r="F254" s="81"/>
      <c r="G254" s="81"/>
      <c r="H254" s="81"/>
      <c r="I254" s="81"/>
      <c r="J254" s="81">
        <v>123054</v>
      </c>
      <c r="K254" s="81">
        <v>1230.54</v>
      </c>
      <c r="N254" s="1"/>
      <c r="O254" s="1"/>
      <c r="P254" s="2"/>
      <c r="Q254" s="2"/>
    </row>
    <row r="255" spans="1:17">
      <c r="A255" s="227" t="s">
        <v>2776</v>
      </c>
      <c r="B255" s="81">
        <v>54398</v>
      </c>
      <c r="C255" s="81">
        <v>718.05</v>
      </c>
      <c r="D255" s="81">
        <v>74367</v>
      </c>
      <c r="E255" s="81">
        <v>978.21</v>
      </c>
      <c r="F255" s="81"/>
      <c r="G255" s="81"/>
      <c r="H255" s="81"/>
      <c r="I255" s="81"/>
      <c r="J255" s="81">
        <v>128765</v>
      </c>
      <c r="K255" s="81">
        <v>1696.26</v>
      </c>
      <c r="N255" s="1"/>
      <c r="O255" s="1"/>
      <c r="P255" s="2"/>
      <c r="Q255" s="2"/>
    </row>
    <row r="256" spans="1:17">
      <c r="A256" s="227" t="s">
        <v>2780</v>
      </c>
      <c r="B256" s="81">
        <v>4299</v>
      </c>
      <c r="C256" s="81">
        <v>1977.54</v>
      </c>
      <c r="D256" s="81"/>
      <c r="E256" s="81"/>
      <c r="F256" s="81"/>
      <c r="G256" s="81"/>
      <c r="H256" s="81"/>
      <c r="I256" s="81"/>
      <c r="J256" s="81">
        <v>4299</v>
      </c>
      <c r="K256" s="81">
        <v>1977.54</v>
      </c>
      <c r="N256" s="1"/>
      <c r="O256" s="1"/>
      <c r="P256" s="2"/>
      <c r="Q256" s="2"/>
    </row>
    <row r="257" spans="1:19">
      <c r="A257" s="227" t="s">
        <v>2783</v>
      </c>
      <c r="B257" s="81">
        <v>63678</v>
      </c>
      <c r="C257" s="81">
        <v>853.29</v>
      </c>
      <c r="D257" s="81">
        <v>19097</v>
      </c>
      <c r="E257" s="81">
        <v>255.9</v>
      </c>
      <c r="F257" s="81"/>
      <c r="G257" s="81"/>
      <c r="H257" s="81"/>
      <c r="I257" s="81"/>
      <c r="J257" s="81">
        <v>82775</v>
      </c>
      <c r="K257" s="81">
        <v>1109.19</v>
      </c>
      <c r="N257" s="1"/>
      <c r="O257" s="1"/>
      <c r="P257" s="2"/>
      <c r="Q257" s="2"/>
    </row>
    <row r="258" spans="1:19">
      <c r="A258" s="227" t="s">
        <v>2785</v>
      </c>
      <c r="B258" s="81">
        <v>41591</v>
      </c>
      <c r="C258" s="81">
        <v>490.77</v>
      </c>
      <c r="D258" s="81">
        <v>7496</v>
      </c>
      <c r="E258" s="81">
        <v>88.45</v>
      </c>
      <c r="F258" s="81"/>
      <c r="G258" s="81"/>
      <c r="H258" s="81"/>
      <c r="I258" s="81"/>
      <c r="J258" s="81">
        <v>49087</v>
      </c>
      <c r="K258" s="81">
        <v>579.22</v>
      </c>
      <c r="N258" s="1"/>
      <c r="O258" s="1"/>
      <c r="P258" s="2"/>
      <c r="Q258" s="2"/>
    </row>
    <row r="259" spans="1:19">
      <c r="A259" s="227" t="s">
        <v>2803</v>
      </c>
      <c r="B259" s="81">
        <v>48061</v>
      </c>
      <c r="C259" s="81">
        <v>634.41</v>
      </c>
      <c r="D259" s="81">
        <v>26289</v>
      </c>
      <c r="E259" s="81">
        <v>323.35000000000002</v>
      </c>
      <c r="F259" s="81"/>
      <c r="G259" s="81"/>
      <c r="H259" s="81"/>
      <c r="I259" s="81"/>
      <c r="J259" s="81">
        <v>74350</v>
      </c>
      <c r="K259" s="81">
        <v>957.76</v>
      </c>
      <c r="N259" s="1"/>
      <c r="O259" s="1"/>
      <c r="P259" s="2"/>
      <c r="Q259" s="2"/>
    </row>
    <row r="260" spans="1:19">
      <c r="A260" s="227" t="s">
        <v>2806</v>
      </c>
      <c r="B260" s="81">
        <v>30000</v>
      </c>
      <c r="C260" s="81">
        <v>402</v>
      </c>
      <c r="D260" s="81">
        <v>22536</v>
      </c>
      <c r="E260" s="81">
        <v>301.98</v>
      </c>
      <c r="F260" s="81"/>
      <c r="G260" s="81"/>
      <c r="H260" s="81"/>
      <c r="I260" s="81"/>
      <c r="J260" s="81">
        <v>52536</v>
      </c>
      <c r="K260" s="81">
        <v>703.98</v>
      </c>
      <c r="N260" s="1"/>
      <c r="O260" s="1"/>
      <c r="P260" s="2"/>
      <c r="Q260" s="2"/>
    </row>
    <row r="261" spans="1:19">
      <c r="A261" s="227" t="s">
        <v>2808</v>
      </c>
      <c r="B261" s="81"/>
      <c r="C261" s="81"/>
      <c r="D261" s="81">
        <v>19345</v>
      </c>
      <c r="E261" s="81">
        <v>255.35</v>
      </c>
      <c r="F261" s="81"/>
      <c r="G261" s="81"/>
      <c r="H261" s="81"/>
      <c r="I261" s="81"/>
      <c r="J261" s="81">
        <v>19345</v>
      </c>
      <c r="K261" s="81">
        <v>255.35</v>
      </c>
      <c r="N261" s="1"/>
      <c r="O261" s="1"/>
      <c r="P261" s="2"/>
      <c r="Q261" s="2"/>
    </row>
    <row r="262" spans="1:19">
      <c r="A262" s="227" t="s">
        <v>2816</v>
      </c>
      <c r="B262" s="81"/>
      <c r="C262" s="81"/>
      <c r="D262" s="81">
        <v>49760</v>
      </c>
      <c r="E262" s="81">
        <v>607.07000000000005</v>
      </c>
      <c r="F262" s="81"/>
      <c r="G262" s="81"/>
      <c r="H262" s="81"/>
      <c r="I262" s="81"/>
      <c r="J262" s="81">
        <v>49760</v>
      </c>
      <c r="K262" s="81">
        <v>607.07000000000005</v>
      </c>
      <c r="N262" s="1"/>
      <c r="O262" s="1"/>
      <c r="P262" s="2"/>
      <c r="Q262" s="2"/>
    </row>
    <row r="263" spans="1:19">
      <c r="A263" s="227" t="s">
        <v>2823</v>
      </c>
      <c r="B263" s="81"/>
      <c r="C263" s="81"/>
      <c r="D263" s="81">
        <v>125798</v>
      </c>
      <c r="E263" s="81">
        <v>16542.439999999999</v>
      </c>
      <c r="F263" s="81"/>
      <c r="G263" s="81"/>
      <c r="H263" s="81"/>
      <c r="I263" s="81"/>
      <c r="J263" s="81">
        <v>125798</v>
      </c>
      <c r="K263" s="81">
        <v>16542.439999999999</v>
      </c>
      <c r="N263" s="1"/>
      <c r="O263" s="1"/>
      <c r="P263" s="2"/>
      <c r="Q263" s="2"/>
    </row>
    <row r="264" spans="1:19">
      <c r="A264" s="227" t="s">
        <v>2825</v>
      </c>
      <c r="B264" s="81">
        <v>25000</v>
      </c>
      <c r="C264" s="81">
        <v>335</v>
      </c>
      <c r="D264" s="81">
        <v>24637</v>
      </c>
      <c r="E264" s="81">
        <v>330.14</v>
      </c>
      <c r="F264" s="81"/>
      <c r="G264" s="81"/>
      <c r="H264" s="81"/>
      <c r="I264" s="81"/>
      <c r="J264" s="81">
        <v>49637</v>
      </c>
      <c r="K264" s="81">
        <v>665.14</v>
      </c>
      <c r="N264" s="1"/>
      <c r="O264" s="1"/>
      <c r="P264" s="2"/>
      <c r="Q264" s="2"/>
    </row>
    <row r="265" spans="1:19">
      <c r="A265" s="227" t="s">
        <v>2831</v>
      </c>
      <c r="B265" s="81"/>
      <c r="C265" s="81"/>
      <c r="D265" s="81">
        <v>43484</v>
      </c>
      <c r="E265" s="81">
        <v>16021.25</v>
      </c>
      <c r="F265" s="81"/>
      <c r="G265" s="81"/>
      <c r="H265" s="81"/>
      <c r="I265" s="81"/>
      <c r="J265" s="81">
        <v>43484</v>
      </c>
      <c r="K265" s="81">
        <v>16021.25</v>
      </c>
      <c r="N265" s="1"/>
      <c r="O265" s="1"/>
      <c r="P265" s="2"/>
      <c r="Q265" s="2"/>
    </row>
    <row r="266" spans="1:19">
      <c r="A266" s="227" t="s">
        <v>2837</v>
      </c>
      <c r="B266" s="81"/>
      <c r="C266" s="81"/>
      <c r="D266" s="81">
        <v>71662</v>
      </c>
      <c r="E266" s="81">
        <v>974.6</v>
      </c>
      <c r="F266" s="81"/>
      <c r="G266" s="81"/>
      <c r="H266" s="81"/>
      <c r="I266" s="81"/>
      <c r="J266" s="81">
        <v>71662</v>
      </c>
      <c r="K266" s="81">
        <v>974.6</v>
      </c>
      <c r="N266" s="1"/>
      <c r="O266" s="1"/>
      <c r="P266" s="2"/>
      <c r="Q266" s="2"/>
    </row>
    <row r="267" spans="1:19">
      <c r="A267" s="227" t="s">
        <v>2838</v>
      </c>
      <c r="B267" s="81"/>
      <c r="C267" s="81"/>
      <c r="D267" s="81">
        <v>66770</v>
      </c>
      <c r="E267" s="81">
        <v>908.07</v>
      </c>
      <c r="F267" s="81"/>
      <c r="G267" s="81"/>
      <c r="H267" s="81"/>
      <c r="I267" s="81"/>
      <c r="J267" s="81">
        <v>66770</v>
      </c>
      <c r="K267" s="81">
        <v>908.07</v>
      </c>
      <c r="N267" s="1"/>
      <c r="O267" s="1"/>
      <c r="P267" s="2"/>
      <c r="Q267" s="2"/>
    </row>
    <row r="268" spans="1:19">
      <c r="A268" s="227" t="s">
        <v>2839</v>
      </c>
      <c r="B268" s="81"/>
      <c r="C268" s="81"/>
      <c r="D268" s="81">
        <v>51873</v>
      </c>
      <c r="E268" s="81">
        <v>710.66000000000008</v>
      </c>
      <c r="F268" s="81"/>
      <c r="G268" s="81"/>
      <c r="H268" s="81"/>
      <c r="I268" s="81"/>
      <c r="J268" s="81">
        <v>51873</v>
      </c>
      <c r="K268" s="81">
        <v>710.66000000000008</v>
      </c>
      <c r="N268" s="1"/>
      <c r="O268" s="1"/>
      <c r="P268" s="2"/>
      <c r="Q268" s="2"/>
    </row>
    <row r="269" spans="1:19">
      <c r="A269" s="227" t="s">
        <v>2840</v>
      </c>
      <c r="B269" s="81"/>
      <c r="C269" s="81"/>
      <c r="D269" s="81">
        <v>56985</v>
      </c>
      <c r="E269" s="81">
        <v>775</v>
      </c>
      <c r="F269" s="81"/>
      <c r="G269" s="81"/>
      <c r="H269" s="81"/>
      <c r="I269" s="81"/>
      <c r="J269" s="81">
        <v>56985</v>
      </c>
      <c r="K269" s="81">
        <v>775</v>
      </c>
      <c r="N269" s="1"/>
      <c r="O269" s="1"/>
      <c r="P269" s="2"/>
      <c r="Q269" s="2"/>
    </row>
    <row r="270" spans="1:19">
      <c r="A270" s="227" t="s">
        <v>2841</v>
      </c>
      <c r="B270" s="81"/>
      <c r="C270" s="81"/>
      <c r="D270" s="81">
        <v>60031</v>
      </c>
      <c r="E270" s="81">
        <v>816.42</v>
      </c>
      <c r="F270" s="81"/>
      <c r="G270" s="81"/>
      <c r="H270" s="81"/>
      <c r="I270" s="81"/>
      <c r="J270" s="81">
        <v>60031</v>
      </c>
      <c r="K270" s="81">
        <v>816.42</v>
      </c>
      <c r="L270" s="313"/>
      <c r="P270" s="1"/>
      <c r="Q270" s="259"/>
      <c r="R270" s="2"/>
      <c r="S270" s="2"/>
    </row>
    <row r="271" spans="1:19">
      <c r="A271" s="227" t="s">
        <v>2842</v>
      </c>
      <c r="B271" s="81"/>
      <c r="C271" s="81"/>
      <c r="D271" s="81">
        <v>65184</v>
      </c>
      <c r="E271" s="81">
        <v>886.5</v>
      </c>
      <c r="F271" s="81"/>
      <c r="G271" s="81"/>
      <c r="H271" s="81"/>
      <c r="I271" s="81"/>
      <c r="J271" s="81">
        <v>65184</v>
      </c>
      <c r="K271" s="81">
        <v>886.5</v>
      </c>
      <c r="L271" s="313"/>
      <c r="P271" s="1"/>
      <c r="Q271" s="1"/>
      <c r="R271" s="2"/>
      <c r="S271" s="2"/>
    </row>
    <row r="272" spans="1:19">
      <c r="A272" s="227" t="s">
        <v>2843</v>
      </c>
      <c r="B272" s="81"/>
      <c r="C272" s="81"/>
      <c r="D272" s="81">
        <v>48379</v>
      </c>
      <c r="E272" s="81">
        <v>662.79</v>
      </c>
      <c r="F272" s="81"/>
      <c r="G272" s="81"/>
      <c r="H272" s="81"/>
      <c r="I272" s="81"/>
      <c r="J272" s="81">
        <v>48379</v>
      </c>
      <c r="K272" s="81">
        <v>662.79</v>
      </c>
      <c r="L272" s="313"/>
      <c r="P272" s="259"/>
      <c r="Q272" s="259"/>
      <c r="R272" s="2"/>
      <c r="S272" s="2"/>
    </row>
    <row r="273" spans="1:21">
      <c r="A273" s="227" t="s">
        <v>2844</v>
      </c>
      <c r="B273" s="81"/>
      <c r="C273" s="81"/>
      <c r="D273" s="81">
        <v>75158</v>
      </c>
      <c r="E273" s="81">
        <v>1074.76</v>
      </c>
      <c r="F273" s="81"/>
      <c r="G273" s="81"/>
      <c r="H273" s="81"/>
      <c r="I273" s="81"/>
      <c r="J273" s="81">
        <v>75158</v>
      </c>
      <c r="K273" s="81">
        <v>1074.76</v>
      </c>
      <c r="L273" s="313"/>
      <c r="P273" s="259"/>
      <c r="Q273" s="1"/>
      <c r="R273" s="1"/>
      <c r="S273" s="2"/>
      <c r="T273" s="18"/>
      <c r="U273" s="18"/>
    </row>
    <row r="274" spans="1:21">
      <c r="A274" s="227" t="s">
        <v>2856</v>
      </c>
      <c r="B274" s="81"/>
      <c r="C274" s="81"/>
      <c r="D274" s="81">
        <v>48702</v>
      </c>
      <c r="E274" s="81">
        <v>642.16999999999996</v>
      </c>
      <c r="F274" s="81"/>
      <c r="G274" s="81"/>
      <c r="H274" s="81"/>
      <c r="I274" s="81"/>
      <c r="J274" s="81">
        <v>48702</v>
      </c>
      <c r="K274" s="81">
        <v>642.16999999999996</v>
      </c>
      <c r="L274" s="313"/>
      <c r="P274" s="1"/>
      <c r="Q274" s="1"/>
      <c r="R274" s="1"/>
      <c r="S274" s="2"/>
      <c r="T274" s="18"/>
      <c r="U274" s="18"/>
    </row>
    <row r="275" spans="1:21">
      <c r="A275" s="227" t="s">
        <v>2878</v>
      </c>
      <c r="B275" s="81"/>
      <c r="C275" s="81"/>
      <c r="D275" s="81"/>
      <c r="E275" s="81"/>
      <c r="F275" s="81"/>
      <c r="G275" s="81"/>
      <c r="H275" s="81">
        <v>22000</v>
      </c>
      <c r="I275" s="81">
        <v>6969.6</v>
      </c>
      <c r="J275" s="81">
        <v>22000</v>
      </c>
      <c r="K275" s="81">
        <v>6969.6</v>
      </c>
      <c r="L275" s="313"/>
      <c r="P275" s="1"/>
      <c r="Q275" s="1"/>
      <c r="R275" s="1"/>
      <c r="S275" s="2"/>
      <c r="T275" s="18"/>
      <c r="U275" s="18"/>
    </row>
    <row r="276" spans="1:21">
      <c r="A276" s="227" t="s">
        <v>2891</v>
      </c>
      <c r="B276" s="81"/>
      <c r="C276" s="81"/>
      <c r="D276" s="81">
        <v>7425</v>
      </c>
      <c r="E276" s="81">
        <v>4521.83</v>
      </c>
      <c r="F276" s="81"/>
      <c r="G276" s="81"/>
      <c r="H276" s="81"/>
      <c r="I276" s="81"/>
      <c r="J276" s="81">
        <v>7425</v>
      </c>
      <c r="K276" s="81">
        <v>4521.83</v>
      </c>
      <c r="L276" s="313"/>
      <c r="P276" s="1"/>
      <c r="Q276" s="1"/>
      <c r="R276" s="1"/>
      <c r="S276" s="2"/>
      <c r="T276" s="18"/>
      <c r="U276" s="18"/>
    </row>
    <row r="277" spans="1:21">
      <c r="A277" s="227" t="s">
        <v>2895</v>
      </c>
      <c r="B277" s="81"/>
      <c r="C277" s="81"/>
      <c r="D277" s="81">
        <v>2600</v>
      </c>
      <c r="E277" s="81">
        <v>768.81999999999994</v>
      </c>
      <c r="F277" s="81"/>
      <c r="G277" s="81"/>
      <c r="H277" s="81"/>
      <c r="I277" s="81"/>
      <c r="J277" s="81">
        <v>2600</v>
      </c>
      <c r="K277" s="81">
        <v>768.81999999999994</v>
      </c>
      <c r="L277" s="313"/>
      <c r="P277" s="1"/>
      <c r="Q277" s="1"/>
      <c r="R277" s="1"/>
      <c r="S277" s="2"/>
      <c r="T277" s="18"/>
      <c r="U277" s="18"/>
    </row>
    <row r="278" spans="1:21">
      <c r="A278" s="227" t="s">
        <v>2912</v>
      </c>
      <c r="B278" s="81">
        <v>40000</v>
      </c>
      <c r="C278" s="81">
        <v>536</v>
      </c>
      <c r="D278" s="81"/>
      <c r="E278" s="81"/>
      <c r="F278" s="81"/>
      <c r="G278" s="81"/>
      <c r="H278" s="81"/>
      <c r="I278" s="81"/>
      <c r="J278" s="81">
        <v>40000</v>
      </c>
      <c r="K278" s="81">
        <v>536</v>
      </c>
      <c r="L278" s="313"/>
      <c r="P278" s="1"/>
      <c r="Q278" s="1"/>
      <c r="R278" s="1"/>
      <c r="S278" s="2"/>
      <c r="T278" s="18"/>
      <c r="U278" s="18"/>
    </row>
    <row r="279" spans="1:21">
      <c r="A279" s="456" t="s">
        <v>727</v>
      </c>
      <c r="B279" s="455">
        <v>6444493</v>
      </c>
      <c r="C279" s="455">
        <v>330379.11999999988</v>
      </c>
      <c r="D279" s="455">
        <v>12974386</v>
      </c>
      <c r="E279" s="455">
        <v>622672.03999999992</v>
      </c>
      <c r="F279" s="455">
        <v>1616070</v>
      </c>
      <c r="G279" s="455">
        <v>24066.35</v>
      </c>
      <c r="H279" s="455">
        <v>22000</v>
      </c>
      <c r="I279" s="455">
        <v>6969.6</v>
      </c>
      <c r="J279" s="455">
        <v>21056949</v>
      </c>
      <c r="K279" s="455">
        <v>984087.10999999975</v>
      </c>
      <c r="L279" s="313"/>
      <c r="P279" s="1"/>
      <c r="Q279" s="1"/>
      <c r="R279" s="1"/>
      <c r="S279" s="2"/>
      <c r="T279" s="18"/>
      <c r="U279" s="18"/>
    </row>
    <row r="280" spans="1:21">
      <c r="A280" s="456" t="s">
        <v>35</v>
      </c>
      <c r="B280" s="81"/>
      <c r="C280" s="81"/>
      <c r="D280" s="81"/>
      <c r="E280" s="81"/>
      <c r="F280" s="81"/>
      <c r="G280" s="81"/>
      <c r="H280" s="81"/>
      <c r="I280" s="81"/>
      <c r="J280" s="81"/>
      <c r="K280" s="81"/>
      <c r="L280" s="313"/>
      <c r="P280" s="1"/>
      <c r="Q280" s="1"/>
      <c r="R280" s="1"/>
      <c r="S280" s="2"/>
      <c r="T280" s="18"/>
      <c r="U280" s="18"/>
    </row>
    <row r="281" spans="1:21">
      <c r="A281" s="457" t="s">
        <v>394</v>
      </c>
      <c r="B281" s="455"/>
      <c r="C281" s="455"/>
      <c r="D281" s="455">
        <v>75244</v>
      </c>
      <c r="E281" s="455">
        <v>33631.869999999995</v>
      </c>
      <c r="F281" s="455"/>
      <c r="G281" s="455"/>
      <c r="H281" s="455"/>
      <c r="I281" s="455"/>
      <c r="J281" s="455">
        <v>75244</v>
      </c>
      <c r="K281" s="455">
        <v>33631.869999999995</v>
      </c>
      <c r="L281" s="313">
        <f>E281/D281</f>
        <v>0.44697078836850773</v>
      </c>
      <c r="M281" t="str">
        <f>IF(B281="","",VLOOKUP(A281,'AZ WIP'!$A$8:$C$253,3,0)-B281)</f>
        <v/>
      </c>
      <c r="N281">
        <f>IF(D281="","",VLOOKUP(A281,'FL WIP'!$A$8:$C$262,3,0)-D281)</f>
        <v>0</v>
      </c>
      <c r="P281" s="1"/>
      <c r="Q281" s="1"/>
      <c r="R281" s="1"/>
      <c r="S281" s="2"/>
      <c r="T281" s="18"/>
      <c r="U281" s="18"/>
    </row>
    <row r="282" spans="1:21">
      <c r="A282" s="457" t="s">
        <v>373</v>
      </c>
      <c r="B282" s="455"/>
      <c r="C282" s="455"/>
      <c r="D282" s="455">
        <v>94127</v>
      </c>
      <c r="E282" s="455">
        <v>45594.909999999996</v>
      </c>
      <c r="F282" s="455"/>
      <c r="G282" s="455"/>
      <c r="H282" s="455"/>
      <c r="I282" s="455"/>
      <c r="J282" s="455">
        <v>94127</v>
      </c>
      <c r="K282" s="455">
        <v>45594.909999999996</v>
      </c>
      <c r="L282" s="313">
        <f t="shared" ref="L281:L286" si="0">E282/D282</f>
        <v>0.48439778172044151</v>
      </c>
      <c r="M282" t="str">
        <f>IF(B282="","",VLOOKUP(A282,'AZ WIP'!$A$8:$C$253,3,0)-B282)</f>
        <v/>
      </c>
      <c r="N282">
        <f>IF(D282="","",VLOOKUP(A282,'FL WIP'!$A$8:$C$262,3,0)-D282)</f>
        <v>0</v>
      </c>
      <c r="P282" s="1"/>
      <c r="Q282" s="1"/>
      <c r="R282" s="1"/>
      <c r="S282" s="2"/>
      <c r="T282" s="18"/>
      <c r="U282" s="18"/>
    </row>
    <row r="283" spans="1:21">
      <c r="A283" s="457" t="s">
        <v>436</v>
      </c>
      <c r="B283" s="455"/>
      <c r="C283" s="455"/>
      <c r="D283" s="455">
        <v>112287</v>
      </c>
      <c r="E283" s="455">
        <v>56041.95</v>
      </c>
      <c r="F283" s="455"/>
      <c r="G283" s="455"/>
      <c r="H283" s="455"/>
      <c r="I283" s="455"/>
      <c r="J283" s="455">
        <v>112287</v>
      </c>
      <c r="K283" s="455">
        <v>56041.95</v>
      </c>
      <c r="L283" s="313">
        <f t="shared" si="0"/>
        <v>0.4990956210425071</v>
      </c>
      <c r="M283" t="str">
        <f>IF(B283="","",VLOOKUP(A283,'AZ WIP'!$A$8:$C$253,3,0)-B283)</f>
        <v/>
      </c>
      <c r="N283">
        <f>IF(D283="","",VLOOKUP(A283,'FL WIP'!$A$8:$C$262,3,0)-D283)</f>
        <v>0</v>
      </c>
      <c r="P283" s="1"/>
      <c r="Q283" s="1"/>
      <c r="R283" s="1"/>
      <c r="S283" s="2"/>
      <c r="T283" s="18"/>
      <c r="U283" s="18"/>
    </row>
    <row r="284" spans="1:21">
      <c r="A284" s="457" t="s">
        <v>441</v>
      </c>
      <c r="B284" s="455"/>
      <c r="C284" s="455"/>
      <c r="D284" s="455">
        <v>113179</v>
      </c>
      <c r="E284" s="455">
        <v>57330.340000000004</v>
      </c>
      <c r="F284" s="455"/>
      <c r="G284" s="455"/>
      <c r="H284" s="455"/>
      <c r="I284" s="455"/>
      <c r="J284" s="455">
        <v>113179</v>
      </c>
      <c r="K284" s="455">
        <v>57330.340000000004</v>
      </c>
      <c r="L284" s="313">
        <f t="shared" si="0"/>
        <v>0.50654573728341834</v>
      </c>
      <c r="M284" t="str">
        <f>IF(B284="","",VLOOKUP(A284,'AZ WIP'!$A$8:$C$253,3,0)-B284)</f>
        <v/>
      </c>
      <c r="N284">
        <f>IF(D284="","",VLOOKUP(A284,'FL WIP'!$A$8:$C$262,3,0)-D284)</f>
        <v>0</v>
      </c>
      <c r="O284" t="str">
        <f>IF(F284="","",VLOOKUP(A284,'TX WIP'!$A$8:$C$259,3,0)-F284)</f>
        <v/>
      </c>
      <c r="P284" s="1"/>
      <c r="Q284" s="1"/>
      <c r="R284" s="1"/>
      <c r="S284" s="2"/>
      <c r="T284" s="18"/>
      <c r="U284" s="18"/>
    </row>
    <row r="285" spans="1:21">
      <c r="A285" s="457" t="s">
        <v>480</v>
      </c>
      <c r="B285" s="455">
        <v>1084</v>
      </c>
      <c r="C285" s="455">
        <v>25863.48</v>
      </c>
      <c r="D285" s="455"/>
      <c r="E285" s="455"/>
      <c r="F285" s="455"/>
      <c r="G285" s="455"/>
      <c r="H285" s="455"/>
      <c r="I285" s="455"/>
      <c r="J285" s="455">
        <v>1084</v>
      </c>
      <c r="K285" s="455">
        <v>25863.48</v>
      </c>
      <c r="L285" s="313" t="e">
        <f t="shared" si="0"/>
        <v>#DIV/0!</v>
      </c>
      <c r="M285" t="e">
        <f>IF(B285="","",VLOOKUP(A285,'AZ WIP'!$A$8:$C$253,3,0)-B285)</f>
        <v>#N/A</v>
      </c>
      <c r="N285" t="str">
        <f>IF(D285="","",VLOOKUP(A285,'FL WIP'!$A$8:$C$262,3,0)-D285)</f>
        <v/>
      </c>
      <c r="O285" t="str">
        <f>IF(F285="","",VLOOKUP(A285,'TX WIP'!$A$8:$C$259,3,0)-F285)</f>
        <v/>
      </c>
      <c r="P285" s="1"/>
      <c r="Q285" s="1"/>
      <c r="R285" s="1"/>
      <c r="S285" s="2"/>
      <c r="T285" s="18"/>
      <c r="U285" s="18"/>
    </row>
    <row r="286" spans="1:21">
      <c r="A286" s="457" t="s">
        <v>249</v>
      </c>
      <c r="B286" s="455">
        <v>12995</v>
      </c>
      <c r="C286" s="455">
        <v>363860</v>
      </c>
      <c r="D286" s="455">
        <v>16188</v>
      </c>
      <c r="E286" s="455">
        <v>453264</v>
      </c>
      <c r="F286" s="455"/>
      <c r="G286" s="455"/>
      <c r="H286" s="455"/>
      <c r="I286" s="455"/>
      <c r="J286" s="455">
        <v>29183</v>
      </c>
      <c r="K286" s="455">
        <v>817124</v>
      </c>
      <c r="L286" s="313">
        <f t="shared" si="0"/>
        <v>28</v>
      </c>
      <c r="M286" t="e">
        <f>IF(B286="","",VLOOKUP(A286,'AZ WIP'!$A$8:$C$253,3,0)-B286)</f>
        <v>#N/A</v>
      </c>
      <c r="N286" t="e">
        <f>IF(D286="","",VLOOKUP(A286,'FL WIP'!$A$8:$C$262,3,0)-D286)</f>
        <v>#N/A</v>
      </c>
      <c r="O286" t="str">
        <f>IF(F286="","",VLOOKUP(A286,'TX WIP'!$A$8:$C$259,3,0)-F286)</f>
        <v/>
      </c>
      <c r="P286" s="1"/>
      <c r="Q286" s="1"/>
      <c r="R286" s="1"/>
      <c r="S286" s="2"/>
      <c r="T286" s="18"/>
      <c r="U286" s="18"/>
    </row>
    <row r="287" spans="1:21">
      <c r="A287" s="457" t="s">
        <v>269</v>
      </c>
      <c r="B287" s="455">
        <v>88</v>
      </c>
      <c r="C287" s="455">
        <v>2979.19</v>
      </c>
      <c r="D287" s="455">
        <v>74</v>
      </c>
      <c r="E287" s="455">
        <v>3515.74</v>
      </c>
      <c r="F287" s="455"/>
      <c r="G287" s="455"/>
      <c r="H287" s="455"/>
      <c r="I287" s="455"/>
      <c r="J287" s="455">
        <v>162</v>
      </c>
      <c r="K287" s="455">
        <v>6494.93</v>
      </c>
      <c r="L287" s="313">
        <f t="shared" ref="L287" si="1">E287/D287</f>
        <v>47.51</v>
      </c>
      <c r="M287" t="e">
        <f>IF(B287="","",VLOOKUP(A287,'AZ WIP'!$A$8:$C$253,3,0)-B287)</f>
        <v>#N/A</v>
      </c>
      <c r="N287" t="e">
        <f>IF(D287="","",VLOOKUP(A287,'FL WIP'!$A$8:$C$262,3,0)-D287)</f>
        <v>#N/A</v>
      </c>
      <c r="O287" t="str">
        <f>IF(F287="","",VLOOKUP(A287,'TX WIP'!$A$8:$C$259,3,0)-F287)</f>
        <v/>
      </c>
      <c r="P287" s="1"/>
      <c r="Q287" s="1"/>
      <c r="R287" s="1"/>
      <c r="S287" s="2"/>
      <c r="T287" s="18"/>
      <c r="U287" s="18"/>
    </row>
    <row r="288" spans="1:21">
      <c r="A288" s="457" t="s">
        <v>226</v>
      </c>
      <c r="B288" s="455">
        <v>13466</v>
      </c>
      <c r="C288" s="455">
        <v>377048</v>
      </c>
      <c r="D288" s="455">
        <v>4186</v>
      </c>
      <c r="E288" s="455">
        <v>117208</v>
      </c>
      <c r="F288" s="455"/>
      <c r="G288" s="455"/>
      <c r="H288" s="455"/>
      <c r="I288" s="455"/>
      <c r="J288" s="455">
        <v>17652</v>
      </c>
      <c r="K288" s="455">
        <v>494256</v>
      </c>
      <c r="L288" s="313">
        <f>E288/D288</f>
        <v>28</v>
      </c>
      <c r="M288" t="e">
        <f>IF(B288="","",VLOOKUP(A288,'AZ WIP'!$A$8:$C$253,3,0)-B288)</f>
        <v>#N/A</v>
      </c>
      <c r="N288" t="e">
        <f>IF(D288="","",VLOOKUP(A288,'FL WIP'!$A$8:$C$262,3,0)-D288)</f>
        <v>#N/A</v>
      </c>
      <c r="O288" t="str">
        <f>IF(F288="","",VLOOKUP(A288,'TX WIP'!$A$8:$C$259,3,0)-F288)</f>
        <v/>
      </c>
      <c r="P288" s="1"/>
      <c r="Q288" s="1"/>
      <c r="R288" s="1"/>
      <c r="S288" s="2"/>
      <c r="T288" s="18"/>
      <c r="U288" s="18"/>
    </row>
    <row r="289" spans="1:21">
      <c r="A289" s="457" t="s">
        <v>332</v>
      </c>
      <c r="B289" s="455">
        <v>430</v>
      </c>
      <c r="C289" s="455">
        <v>26474.76</v>
      </c>
      <c r="D289" s="455"/>
      <c r="E289" s="455"/>
      <c r="F289" s="455"/>
      <c r="G289" s="455"/>
      <c r="H289" s="455"/>
      <c r="I289" s="455"/>
      <c r="J289" s="455">
        <v>430</v>
      </c>
      <c r="K289" s="455">
        <v>26474.76</v>
      </c>
      <c r="L289" s="313" t="e">
        <f>E289/D289</f>
        <v>#DIV/0!</v>
      </c>
      <c r="M289" t="e">
        <f>IF(B289="","",VLOOKUP(A289,'AZ WIP'!$A$8:$C$253,3,0)-B289)</f>
        <v>#N/A</v>
      </c>
      <c r="N289" t="str">
        <f>IF(D289="","",VLOOKUP(A289,'FL WIP'!$A$8:$C$262,3,0)-D289)</f>
        <v/>
      </c>
      <c r="O289" t="str">
        <f>IF(F289="","",VLOOKUP(A289,'TX WIP'!$A$8:$C$259,3,0)-F289)</f>
        <v/>
      </c>
      <c r="P289" s="1"/>
      <c r="Q289" s="1"/>
      <c r="R289" s="1"/>
      <c r="S289" s="2"/>
      <c r="T289" s="18"/>
      <c r="U289" s="18"/>
    </row>
    <row r="290" spans="1:21">
      <c r="A290" s="457" t="s">
        <v>128</v>
      </c>
      <c r="B290" s="455">
        <v>130</v>
      </c>
      <c r="C290" s="455">
        <v>638.01</v>
      </c>
      <c r="D290" s="455">
        <v>1025</v>
      </c>
      <c r="E290" s="455">
        <v>5128.08</v>
      </c>
      <c r="F290" s="455"/>
      <c r="G290" s="455"/>
      <c r="H290" s="455"/>
      <c r="I290" s="455"/>
      <c r="J290" s="455">
        <v>1155</v>
      </c>
      <c r="K290" s="455">
        <v>5766.09</v>
      </c>
      <c r="L290" s="313">
        <f t="shared" ref="L290:L343" si="2">E290/D290</f>
        <v>5.0030048780487801</v>
      </c>
      <c r="M290">
        <f>IF(B290="","",VLOOKUP(A290,'AZ WIP'!$A$8:$C$253,3,0)-B290)</f>
        <v>0</v>
      </c>
      <c r="N290">
        <f>IF(D290="","",VLOOKUP(A290,'FL WIP'!$A$8:$C$262,3,0)-D290)</f>
        <v>0</v>
      </c>
      <c r="O290" t="str">
        <f>IF(F290="","",VLOOKUP(A290,'TX WIP'!$A$8:$C$259,3,0)-F290)</f>
        <v/>
      </c>
      <c r="P290" s="1"/>
      <c r="Q290" s="1"/>
      <c r="R290" s="1"/>
      <c r="S290" s="2"/>
      <c r="T290" s="18"/>
      <c r="U290" s="18"/>
    </row>
    <row r="291" spans="1:21">
      <c r="A291" s="457" t="s">
        <v>504</v>
      </c>
      <c r="B291" s="455"/>
      <c r="C291" s="455"/>
      <c r="D291" s="455">
        <v>4537</v>
      </c>
      <c r="E291" s="455">
        <v>10025.44</v>
      </c>
      <c r="F291" s="455"/>
      <c r="G291" s="455"/>
      <c r="H291" s="455"/>
      <c r="I291" s="455"/>
      <c r="J291" s="455">
        <v>4537</v>
      </c>
      <c r="K291" s="455">
        <v>10025.44</v>
      </c>
      <c r="L291" s="313">
        <f t="shared" si="2"/>
        <v>2.2097068547498346</v>
      </c>
      <c r="M291" t="str">
        <f>IF(B291="","",VLOOKUP(A291,'AZ WIP'!$A$8:$C$253,3,0)-B291)</f>
        <v/>
      </c>
      <c r="N291">
        <f>IF(D291="","",VLOOKUP(A291,'FL WIP'!$A$8:$C$262,3,0)-D291)</f>
        <v>0</v>
      </c>
      <c r="O291" t="str">
        <f>IF(F291="","",VLOOKUP(A291,'TX WIP'!$A$8:$C$259,3,0)-F291)</f>
        <v/>
      </c>
      <c r="P291" s="1"/>
      <c r="Q291" s="1"/>
      <c r="R291" s="1"/>
      <c r="S291" s="2"/>
      <c r="T291" s="18"/>
      <c r="U291" s="18"/>
    </row>
    <row r="292" spans="1:21">
      <c r="A292" s="457" t="s">
        <v>293</v>
      </c>
      <c r="B292" s="455"/>
      <c r="C292" s="455"/>
      <c r="D292" s="455">
        <v>18474</v>
      </c>
      <c r="E292" s="455">
        <v>32984.189999999995</v>
      </c>
      <c r="F292" s="455"/>
      <c r="G292" s="455"/>
      <c r="H292" s="455"/>
      <c r="I292" s="455"/>
      <c r="J292" s="455">
        <v>18474</v>
      </c>
      <c r="K292" s="455">
        <v>32984.189999999995</v>
      </c>
      <c r="L292" s="313">
        <f t="shared" si="2"/>
        <v>1.7854384540435204</v>
      </c>
      <c r="M292" t="str">
        <f>IF(B292="","",VLOOKUP(A292,'AZ WIP'!$A$8:$C$253,3,0)-B292)</f>
        <v/>
      </c>
      <c r="N292">
        <f>IF(D292="","",VLOOKUP(A292,'FL WIP'!$A$8:$C$262,3,0)-D292)</f>
        <v>0</v>
      </c>
      <c r="O292" t="str">
        <f>IF(F292="","",VLOOKUP(A292,'TX WIP'!$A$8:$C$259,3,0)-F292)</f>
        <v/>
      </c>
      <c r="P292" s="1"/>
      <c r="Q292" s="1"/>
      <c r="R292" s="1"/>
      <c r="S292" s="2"/>
      <c r="T292" s="18"/>
      <c r="U292" s="18"/>
    </row>
    <row r="293" spans="1:21">
      <c r="A293" s="457" t="s">
        <v>451</v>
      </c>
      <c r="B293" s="455"/>
      <c r="C293" s="455"/>
      <c r="D293" s="455">
        <v>9669.4</v>
      </c>
      <c r="E293" s="455">
        <v>54307.219999999994</v>
      </c>
      <c r="F293" s="455"/>
      <c r="G293" s="455"/>
      <c r="H293" s="455"/>
      <c r="I293" s="455"/>
      <c r="J293" s="455">
        <v>9669.4</v>
      </c>
      <c r="K293" s="455">
        <v>54307.219999999994</v>
      </c>
      <c r="L293" s="313">
        <f t="shared" si="2"/>
        <v>5.6164001902910208</v>
      </c>
      <c r="M293" t="str">
        <f>IF(B293="","",VLOOKUP(A293,'AZ WIP'!$A$8:$C$253,3,0)-B293)</f>
        <v/>
      </c>
      <c r="N293">
        <f>IF(D293="","",VLOOKUP(A293,'FL WIP'!$A$8:$C$262,3,0)-D293)</f>
        <v>0</v>
      </c>
      <c r="O293" t="str">
        <f>IF(F293="","",VLOOKUP(A293,'TX WIP'!$A$8:$C$259,3,0)-F293)</f>
        <v/>
      </c>
      <c r="P293" s="1"/>
      <c r="Q293" s="1"/>
      <c r="R293" s="1"/>
      <c r="S293" s="2"/>
      <c r="T293" s="18"/>
      <c r="U293" s="18"/>
    </row>
    <row r="294" spans="1:21">
      <c r="A294" s="457" t="s">
        <v>679</v>
      </c>
      <c r="B294" s="455">
        <v>0</v>
      </c>
      <c r="C294" s="455">
        <v>0</v>
      </c>
      <c r="D294" s="455">
        <v>254</v>
      </c>
      <c r="E294" s="455">
        <v>881.08</v>
      </c>
      <c r="F294" s="455"/>
      <c r="G294" s="455"/>
      <c r="H294" s="455"/>
      <c r="I294" s="455"/>
      <c r="J294" s="455">
        <v>254</v>
      </c>
      <c r="K294" s="455">
        <v>881.08</v>
      </c>
      <c r="L294" s="313">
        <f t="shared" si="2"/>
        <v>3.4688188976377954</v>
      </c>
      <c r="M294">
        <f>IF(B294="","",VLOOKUP(A294,'AZ WIP'!$A$8:$C$253,3,0)-B294)</f>
        <v>0</v>
      </c>
      <c r="N294">
        <f>IF(D294="","",VLOOKUP(A294,'FL WIP'!$A$8:$C$262,3,0)-D294)</f>
        <v>0</v>
      </c>
      <c r="O294" t="str">
        <f>IF(F294="","",VLOOKUP(A294,'TX WIP'!$A$8:$C$259,3,0)-F294)</f>
        <v/>
      </c>
      <c r="P294" s="1"/>
      <c r="Q294" s="1"/>
      <c r="R294" s="1"/>
      <c r="S294" s="2"/>
      <c r="T294" s="18"/>
      <c r="U294" s="18"/>
    </row>
    <row r="295" spans="1:21">
      <c r="A295" s="457" t="s">
        <v>141</v>
      </c>
      <c r="B295" s="455"/>
      <c r="C295" s="455"/>
      <c r="D295" s="455">
        <v>345280.97</v>
      </c>
      <c r="E295" s="455">
        <v>1197850.98</v>
      </c>
      <c r="F295" s="455"/>
      <c r="G295" s="455"/>
      <c r="H295" s="455"/>
      <c r="I295" s="455"/>
      <c r="J295" s="455">
        <v>345280.97</v>
      </c>
      <c r="K295" s="455">
        <v>1197850.98</v>
      </c>
      <c r="L295" s="313">
        <f>E295/D295</f>
        <v>3.4692064842148702</v>
      </c>
      <c r="M295" t="str">
        <f>IF(B295="","",VLOOKUP(A295,'AZ WIP'!$A$8:$C$253,3,0)-B295)</f>
        <v/>
      </c>
      <c r="N295">
        <f>IF(D295="","",VLOOKUP(A295,'FL WIP'!$A$8:$C$262,3,0)-D295)</f>
        <v>0</v>
      </c>
      <c r="O295" t="str">
        <f>IF(F295="","",VLOOKUP(A295,'TX WIP'!$A$8:$C$259,3,0)-F295)</f>
        <v/>
      </c>
      <c r="P295" s="1"/>
      <c r="Q295" s="1"/>
      <c r="R295" s="1"/>
      <c r="S295" s="2"/>
      <c r="T295" s="18"/>
      <c r="U295" s="18"/>
    </row>
    <row r="296" spans="1:21">
      <c r="A296" s="457" t="s">
        <v>494</v>
      </c>
      <c r="B296" s="455">
        <v>137596</v>
      </c>
      <c r="C296" s="455">
        <v>421236.39</v>
      </c>
      <c r="D296" s="455"/>
      <c r="E296" s="455"/>
      <c r="F296" s="455"/>
      <c r="G296" s="455"/>
      <c r="H296" s="455"/>
      <c r="I296" s="455"/>
      <c r="J296" s="455">
        <v>137596</v>
      </c>
      <c r="K296" s="455">
        <v>421236.39</v>
      </c>
      <c r="L296" s="313" t="e">
        <f>E296/D296</f>
        <v>#DIV/0!</v>
      </c>
      <c r="M296">
        <f>IF(B296="","",VLOOKUP(A296,'AZ WIP'!$A$8:$C$253,3,0)-B296)</f>
        <v>0</v>
      </c>
      <c r="N296" t="str">
        <f>IF(D296="","",VLOOKUP(A296,'FL WIP'!$A$8:$C$262,3,0)-D296)</f>
        <v/>
      </c>
      <c r="O296" t="str">
        <f>IF(F296="","",VLOOKUP(A296,'TX WIP'!$A$8:$C$259,3,0)-F296)</f>
        <v/>
      </c>
      <c r="P296" s="1"/>
      <c r="Q296" s="1"/>
      <c r="R296" s="1"/>
      <c r="S296" s="2"/>
      <c r="T296" s="18"/>
      <c r="U296" s="18"/>
    </row>
    <row r="297" spans="1:21">
      <c r="A297" s="457" t="s">
        <v>196</v>
      </c>
      <c r="B297" s="455">
        <v>50174</v>
      </c>
      <c r="C297" s="455">
        <v>202978.91999999998</v>
      </c>
      <c r="D297" s="455">
        <v>9855</v>
      </c>
      <c r="E297" s="455">
        <v>36747.32</v>
      </c>
      <c r="F297" s="455"/>
      <c r="G297" s="455"/>
      <c r="H297" s="455"/>
      <c r="I297" s="455"/>
      <c r="J297" s="455">
        <v>60029</v>
      </c>
      <c r="K297" s="455">
        <v>239726.24</v>
      </c>
      <c r="L297" s="313">
        <f t="shared" si="2"/>
        <v>3.7287995941146628</v>
      </c>
      <c r="M297">
        <f>IF(B297="","",VLOOKUP(A297,'AZ WIP'!$A$8:$C$253,3,0)-B297)</f>
        <v>0</v>
      </c>
      <c r="N297">
        <f>IF(D297="","",VLOOKUP(A297,'FL WIP'!$A$8:$C$262,3,0)-D297)</f>
        <v>0</v>
      </c>
      <c r="O297" t="str">
        <f>IF(F297="","",VLOOKUP(A297,'TX WIP'!$A$8:$C$259,3,0)-F297)</f>
        <v/>
      </c>
      <c r="P297" s="1"/>
      <c r="Q297" s="1"/>
      <c r="R297" s="1"/>
      <c r="S297" s="2"/>
      <c r="T297" s="18"/>
      <c r="U297" s="18"/>
    </row>
    <row r="298" spans="1:21">
      <c r="A298" s="457" t="s">
        <v>623</v>
      </c>
      <c r="B298" s="455">
        <v>65</v>
      </c>
      <c r="C298" s="455">
        <v>225.88</v>
      </c>
      <c r="D298" s="455"/>
      <c r="E298" s="455"/>
      <c r="F298" s="455"/>
      <c r="G298" s="455"/>
      <c r="H298" s="455"/>
      <c r="I298" s="455"/>
      <c r="J298" s="455">
        <v>65</v>
      </c>
      <c r="K298" s="455">
        <v>225.88</v>
      </c>
      <c r="L298" s="313" t="e">
        <f t="shared" si="2"/>
        <v>#DIV/0!</v>
      </c>
      <c r="M298">
        <f>IF(B298="","",VLOOKUP(A298,'AZ WIP'!$A$8:$C$253,3,0)-B298)</f>
        <v>0</v>
      </c>
      <c r="N298" t="str">
        <f>IF(D298="","",VLOOKUP(A298,'FL WIP'!$A$8:$C$262,3,0)-D298)</f>
        <v/>
      </c>
      <c r="O298" t="str">
        <f>IF(F298="","",VLOOKUP(A298,'TX WIP'!$A$8:$C$259,3,0)-F298)</f>
        <v/>
      </c>
      <c r="P298" s="1"/>
      <c r="Q298" s="1"/>
      <c r="R298" s="1"/>
      <c r="S298" s="2"/>
      <c r="T298" s="18"/>
      <c r="U298" s="18"/>
    </row>
    <row r="299" spans="1:21">
      <c r="A299" s="457" t="s">
        <v>339</v>
      </c>
      <c r="B299" s="455">
        <v>4815</v>
      </c>
      <c r="C299" s="455">
        <v>23816.92</v>
      </c>
      <c r="D299" s="455"/>
      <c r="E299" s="455"/>
      <c r="F299" s="455"/>
      <c r="G299" s="455"/>
      <c r="H299" s="455"/>
      <c r="I299" s="455"/>
      <c r="J299" s="455">
        <v>4815</v>
      </c>
      <c r="K299" s="455">
        <v>23816.92</v>
      </c>
      <c r="L299" s="313" t="e">
        <f>E299/D299</f>
        <v>#DIV/0!</v>
      </c>
      <c r="M299">
        <f>IF(B299="","",VLOOKUP(A299,'AZ WIP'!$A$8:$C$253,3,0)-B299)</f>
        <v>0</v>
      </c>
      <c r="N299" t="str">
        <f>IF(D299="","",VLOOKUP(A299,'FL WIP'!$A$8:$C$262,3,0)-D299)</f>
        <v/>
      </c>
      <c r="O299" t="str">
        <f>IF(F299="","",VLOOKUP(A299,'TX WIP'!$A$8:$C$259,3,0)-F299)</f>
        <v/>
      </c>
      <c r="P299" s="1"/>
      <c r="Q299" s="1"/>
      <c r="R299" s="1"/>
      <c r="S299" s="2"/>
      <c r="T299" s="18"/>
      <c r="U299" s="18"/>
    </row>
    <row r="300" spans="1:21">
      <c r="A300" s="227" t="s">
        <v>300</v>
      </c>
      <c r="B300" s="81">
        <v>360</v>
      </c>
      <c r="C300" s="81">
        <v>1230.77</v>
      </c>
      <c r="D300" s="81"/>
      <c r="E300" s="81"/>
      <c r="F300" s="81"/>
      <c r="G300" s="81"/>
      <c r="H300" s="81"/>
      <c r="I300" s="81"/>
      <c r="J300" s="81">
        <v>360</v>
      </c>
      <c r="K300" s="81">
        <v>1230.77</v>
      </c>
      <c r="L300" s="313" t="e">
        <f>E300/D300</f>
        <v>#DIV/0!</v>
      </c>
      <c r="M300">
        <f>IF(B300="","",VLOOKUP(A300,'AZ WIP'!$A$8:$C$253,3,0)-B300)</f>
        <v>0</v>
      </c>
      <c r="N300" t="str">
        <f>IF(D300="","",VLOOKUP(A300,'FL WIP'!$A$8:$C$262,3,0)-D300)</f>
        <v/>
      </c>
      <c r="O300" t="str">
        <f>IF(F300="","",VLOOKUP(A300,'TX WIP'!$A$8:$C$259,3,0)-F300)</f>
        <v/>
      </c>
      <c r="P300" s="1"/>
      <c r="Q300" s="1"/>
      <c r="R300" s="1"/>
      <c r="S300" s="2"/>
      <c r="T300" s="18"/>
      <c r="U300" s="18"/>
    </row>
    <row r="301" spans="1:21">
      <c r="A301" s="457" t="s">
        <v>663</v>
      </c>
      <c r="B301" s="455">
        <v>392</v>
      </c>
      <c r="C301" s="455">
        <v>1346.51</v>
      </c>
      <c r="D301" s="455">
        <v>90</v>
      </c>
      <c r="E301" s="455">
        <v>261.42</v>
      </c>
      <c r="F301" s="455"/>
      <c r="G301" s="455"/>
      <c r="H301" s="455"/>
      <c r="I301" s="455"/>
      <c r="J301" s="455">
        <v>482</v>
      </c>
      <c r="K301" s="455">
        <v>1607.93</v>
      </c>
      <c r="L301" s="313">
        <f>E301/D301</f>
        <v>2.904666666666667</v>
      </c>
      <c r="M301">
        <f>IF(B301="","",VLOOKUP(A301,'AZ WIP'!$A$8:$C$253,3,0)-B301)</f>
        <v>0</v>
      </c>
      <c r="N301">
        <f>IF(D301="","",VLOOKUP(A301,'FL WIP'!$A$8:$C$262,3,0)-D301)</f>
        <v>0</v>
      </c>
      <c r="O301" t="str">
        <f>IF(F301="","",VLOOKUP(A301,'TX WIP'!$A$8:$C$259,3,0)-F301)</f>
        <v/>
      </c>
      <c r="P301" s="1"/>
      <c r="Q301" s="1"/>
      <c r="R301" s="1"/>
      <c r="S301" s="2"/>
      <c r="T301" s="18"/>
      <c r="U301" s="18"/>
    </row>
    <row r="302" spans="1:21">
      <c r="A302" s="457" t="s">
        <v>173</v>
      </c>
      <c r="B302" s="455">
        <v>10640</v>
      </c>
      <c r="C302" s="455">
        <v>36069.599999999999</v>
      </c>
      <c r="D302" s="455">
        <v>97837.440000000002</v>
      </c>
      <c r="E302" s="455">
        <v>338681.57</v>
      </c>
      <c r="F302" s="455"/>
      <c r="G302" s="455"/>
      <c r="H302" s="455"/>
      <c r="I302" s="455"/>
      <c r="J302" s="455">
        <v>108477.44</v>
      </c>
      <c r="K302" s="455">
        <v>374751.17</v>
      </c>
      <c r="L302" s="313">
        <f t="shared" si="2"/>
        <v>3.4616765320106495</v>
      </c>
      <c r="M302">
        <f>IF(B302="","",VLOOKUP(A302,'AZ WIP'!$A$8:$C$253,3,0)-B302)</f>
        <v>0</v>
      </c>
      <c r="N302">
        <f>IF(D302="","",VLOOKUP(A302,'FL WIP'!$A$8:$C$262,3,0)-D302)</f>
        <v>0</v>
      </c>
      <c r="O302" t="str">
        <f>IF(F302="","",VLOOKUP(A302,'TX WIP'!$A$8:$C$259,3,0)-F302)</f>
        <v/>
      </c>
      <c r="P302" s="1"/>
      <c r="Q302" s="1"/>
      <c r="R302" s="1"/>
      <c r="S302" s="2"/>
      <c r="T302" s="18"/>
      <c r="U302" s="18"/>
    </row>
    <row r="303" spans="1:21">
      <c r="A303" s="457" t="s">
        <v>307</v>
      </c>
      <c r="B303" s="455">
        <v>12015</v>
      </c>
      <c r="C303" s="455">
        <v>34566.54</v>
      </c>
      <c r="D303" s="455">
        <v>9855</v>
      </c>
      <c r="E303" s="455">
        <v>40537.56</v>
      </c>
      <c r="F303" s="455"/>
      <c r="G303" s="455"/>
      <c r="H303" s="455"/>
      <c r="I303" s="455"/>
      <c r="J303" s="455">
        <v>21870</v>
      </c>
      <c r="K303" s="455">
        <v>75104.100000000006</v>
      </c>
      <c r="L303" s="313">
        <f t="shared" si="2"/>
        <v>4.1134003044140028</v>
      </c>
      <c r="M303">
        <f>IF(B303="","",VLOOKUP(A303,'AZ WIP'!$A$8:$C$253,3,0)-B303)</f>
        <v>0</v>
      </c>
      <c r="N303">
        <f>IF(D303="","",VLOOKUP(A303,'FL WIP'!$A$8:$C$262,3,0)-D303)</f>
        <v>0</v>
      </c>
      <c r="O303" t="str">
        <f>IF(F303="","",VLOOKUP(A303,'TX WIP'!$A$8:$C$259,3,0)-F303)</f>
        <v/>
      </c>
      <c r="P303" s="1"/>
      <c r="Q303" s="1"/>
      <c r="R303" s="1"/>
      <c r="S303" s="2"/>
      <c r="T303" s="18"/>
      <c r="U303" s="18"/>
    </row>
    <row r="304" spans="1:21">
      <c r="A304" s="457" t="s">
        <v>648</v>
      </c>
      <c r="B304" s="81">
        <v>2115</v>
      </c>
      <c r="C304" s="81">
        <v>7905.02</v>
      </c>
      <c r="D304" s="81"/>
      <c r="E304" s="81"/>
      <c r="F304" s="81"/>
      <c r="G304" s="81"/>
      <c r="H304" s="81"/>
      <c r="I304" s="81"/>
      <c r="J304" s="81">
        <v>2115</v>
      </c>
      <c r="K304" s="81">
        <v>7905.02</v>
      </c>
      <c r="L304" s="313" t="e">
        <f>E304/D304</f>
        <v>#DIV/0!</v>
      </c>
      <c r="M304">
        <f>IF(B304="","",VLOOKUP(A304,'AZ WIP'!$A$8:$C$253,3,0)-B304)</f>
        <v>0</v>
      </c>
      <c r="N304" t="str">
        <f>IF(D304="","",VLOOKUP(A304,'FL WIP'!$A$8:$C$262,3,0)-D304)</f>
        <v/>
      </c>
      <c r="O304" t="str">
        <f>IF(F304="","",VLOOKUP(A304,'TX WIP'!$A$8:$C$259,3,0)-F304)</f>
        <v/>
      </c>
      <c r="P304" s="1"/>
      <c r="Q304" s="1"/>
      <c r="R304" s="1"/>
      <c r="S304" s="2"/>
      <c r="T304" s="18"/>
      <c r="U304" s="18"/>
    </row>
    <row r="305" spans="1:21">
      <c r="A305" s="457" t="s">
        <v>316</v>
      </c>
      <c r="B305" s="455">
        <v>18620</v>
      </c>
      <c r="C305" s="455">
        <v>107809.8</v>
      </c>
      <c r="D305" s="455">
        <v>69957.56</v>
      </c>
      <c r="E305" s="455">
        <v>406736.23</v>
      </c>
      <c r="F305" s="455"/>
      <c r="G305" s="455"/>
      <c r="H305" s="455"/>
      <c r="I305" s="455"/>
      <c r="J305" s="455">
        <v>88577.56</v>
      </c>
      <c r="K305" s="455">
        <v>514546.02999999997</v>
      </c>
      <c r="L305" s="313">
        <f t="shared" si="2"/>
        <v>5.8140425423642563</v>
      </c>
      <c r="M305">
        <f>IF(B305="","",VLOOKUP(A305,'AZ WIP'!$A$8:$C$253,3,0)-B305)</f>
        <v>0</v>
      </c>
      <c r="N305">
        <f>IF(D305="","",VLOOKUP(A305,'FL WIP'!$A$8:$C$262,3,0)-D305)</f>
        <v>0</v>
      </c>
      <c r="O305" t="str">
        <f>IF(F305="","",VLOOKUP(A305,'TX WIP'!$A$8:$C$259,3,0)-F305)</f>
        <v/>
      </c>
      <c r="P305" s="1"/>
      <c r="Q305" s="1"/>
      <c r="R305" s="1"/>
      <c r="S305" s="2"/>
      <c r="T305" s="18"/>
      <c r="U305" s="18"/>
    </row>
    <row r="306" spans="1:21">
      <c r="A306" s="457" t="s">
        <v>366</v>
      </c>
      <c r="B306" s="455"/>
      <c r="C306" s="455"/>
      <c r="D306" s="455">
        <v>147928.32000000001</v>
      </c>
      <c r="E306" s="455">
        <v>698384.39999999991</v>
      </c>
      <c r="F306" s="455"/>
      <c r="G306" s="455"/>
      <c r="H306" s="455"/>
      <c r="I306" s="455"/>
      <c r="J306" s="455">
        <v>147928.32000000001</v>
      </c>
      <c r="K306" s="455">
        <v>698384.39999999991</v>
      </c>
      <c r="L306" s="313">
        <f t="shared" si="2"/>
        <v>4.7211000571087398</v>
      </c>
      <c r="M306" t="str">
        <f>IF(B306="","",VLOOKUP(A306,'AZ WIP'!$A$8:$C$253,3,0)-B306)</f>
        <v/>
      </c>
      <c r="N306">
        <f>IF(D306="","",VLOOKUP(A306,'FL WIP'!$A$8:$C$262,3,0)-D306)</f>
        <v>0</v>
      </c>
      <c r="O306" t="str">
        <f>IF(F306="","",VLOOKUP(A306,'TX WIP'!$A$8:$C$259,3,0)-F306)</f>
        <v/>
      </c>
      <c r="P306" s="1"/>
      <c r="Q306" s="1"/>
      <c r="R306" s="1"/>
      <c r="S306" s="2"/>
      <c r="T306" s="18"/>
      <c r="U306" s="18"/>
    </row>
    <row r="307" spans="1:21">
      <c r="A307" s="457" t="s">
        <v>166</v>
      </c>
      <c r="B307" s="455">
        <v>32360</v>
      </c>
      <c r="C307" s="455">
        <v>128106.77</v>
      </c>
      <c r="D307" s="455">
        <v>5400</v>
      </c>
      <c r="E307" s="455">
        <v>17939.34</v>
      </c>
      <c r="F307" s="455"/>
      <c r="G307" s="455"/>
      <c r="H307" s="455"/>
      <c r="I307" s="455"/>
      <c r="J307" s="455">
        <v>37760</v>
      </c>
      <c r="K307" s="455">
        <v>146046.11000000002</v>
      </c>
      <c r="L307" s="313">
        <f t="shared" si="2"/>
        <v>3.3220999999999998</v>
      </c>
      <c r="M307">
        <f>IF(B307="","",VLOOKUP(A307,'AZ WIP'!$A$8:$C$253,3,0)-B307)</f>
        <v>0</v>
      </c>
      <c r="N307">
        <f>IF(D307="","",VLOOKUP(A307,'FL WIP'!$A$8:$C$262,3,0)-D307)</f>
        <v>0</v>
      </c>
      <c r="O307" t="str">
        <f>IF(F307="","",VLOOKUP(A307,'TX WIP'!$A$8:$C$259,3,0)-F307)</f>
        <v/>
      </c>
      <c r="P307" s="1"/>
      <c r="Q307" s="1"/>
      <c r="R307" s="1"/>
      <c r="S307" s="2"/>
      <c r="T307" s="18"/>
      <c r="U307" s="18"/>
    </row>
    <row r="308" spans="1:21">
      <c r="A308" s="457" t="s">
        <v>112</v>
      </c>
      <c r="B308" s="455">
        <v>66511</v>
      </c>
      <c r="C308" s="455">
        <v>259539.72</v>
      </c>
      <c r="D308" s="455">
        <v>5220</v>
      </c>
      <c r="E308" s="455">
        <v>20609.080000000002</v>
      </c>
      <c r="F308" s="455"/>
      <c r="G308" s="455"/>
      <c r="H308" s="455"/>
      <c r="I308" s="455"/>
      <c r="J308" s="455">
        <v>71731</v>
      </c>
      <c r="K308" s="455">
        <v>280148.8</v>
      </c>
      <c r="L308" s="313">
        <f t="shared" si="2"/>
        <v>3.9480996168582378</v>
      </c>
      <c r="M308">
        <f>IF(B308="","",VLOOKUP(A308,'AZ WIP'!$A$8:$C$253,3,0)-B308)</f>
        <v>0</v>
      </c>
      <c r="N308">
        <f>IF(D308="","",VLOOKUP(A308,'FL WIP'!$A$8:$C$262,3,0)-D308)</f>
        <v>0</v>
      </c>
      <c r="O308" t="str">
        <f>IF(F308="","",VLOOKUP(A308,'TX WIP'!$A$8:$C$259,3,0)-F308)</f>
        <v/>
      </c>
      <c r="P308" s="1"/>
      <c r="Q308" s="1"/>
      <c r="R308" s="1"/>
      <c r="S308" s="2"/>
      <c r="T308" s="18"/>
      <c r="U308" s="18"/>
    </row>
    <row r="309" spans="1:21">
      <c r="A309" s="457" t="s">
        <v>144</v>
      </c>
      <c r="B309" s="455">
        <v>4166</v>
      </c>
      <c r="C309" s="455">
        <v>18717.009999999998</v>
      </c>
      <c r="D309" s="455">
        <v>16653</v>
      </c>
      <c r="E309" s="455">
        <v>76744.740000000005</v>
      </c>
      <c r="F309" s="455"/>
      <c r="G309" s="455"/>
      <c r="H309" s="455"/>
      <c r="I309" s="455"/>
      <c r="J309" s="455">
        <v>20819</v>
      </c>
      <c r="K309" s="455">
        <v>95461.75</v>
      </c>
      <c r="L309" s="313">
        <f t="shared" si="2"/>
        <v>4.6084633399387505</v>
      </c>
      <c r="M309">
        <f>IF(B309="","",VLOOKUP(A309,'AZ WIP'!$A$8:$C$253,3,0)-B309)</f>
        <v>0</v>
      </c>
      <c r="N309">
        <f>IF(D309="","",VLOOKUP(A309,'FL WIP'!$A$8:$C$262,3,0)-D309)</f>
        <v>0</v>
      </c>
      <c r="O309" t="str">
        <f>IF(F309="","",VLOOKUP(A309,'TX WIP'!$A$8:$C$259,3,0)-F309)</f>
        <v/>
      </c>
      <c r="P309" s="1"/>
      <c r="Q309" s="1"/>
      <c r="R309" s="1"/>
      <c r="S309" s="2"/>
      <c r="T309" s="18"/>
      <c r="U309" s="18"/>
    </row>
    <row r="310" spans="1:21">
      <c r="A310" s="457" t="s">
        <v>537</v>
      </c>
      <c r="B310" s="455">
        <v>183463</v>
      </c>
      <c r="C310" s="455">
        <v>772442.93</v>
      </c>
      <c r="D310" s="455">
        <v>5820</v>
      </c>
      <c r="E310" s="455">
        <v>22866.79</v>
      </c>
      <c r="F310" s="455"/>
      <c r="G310" s="455"/>
      <c r="H310" s="455"/>
      <c r="I310" s="455"/>
      <c r="J310" s="455">
        <v>189283</v>
      </c>
      <c r="K310" s="455">
        <v>795309.72000000009</v>
      </c>
      <c r="L310" s="313">
        <f t="shared" si="2"/>
        <v>3.9290017182130588</v>
      </c>
      <c r="M310">
        <f>IF(B310="","",VLOOKUP(A310,'AZ WIP'!$A$8:$C$253,3,0)-B310)</f>
        <v>0</v>
      </c>
      <c r="N310">
        <f>IF(D310="","",VLOOKUP(A310,'FL WIP'!$A$8:$C$262,3,0)-D310)</f>
        <v>0</v>
      </c>
      <c r="O310" t="str">
        <f>IF(F310="","",VLOOKUP(A310,'TX WIP'!$A$8:$C$259,3,0)-F310)</f>
        <v/>
      </c>
      <c r="P310" s="1"/>
      <c r="Q310" s="1"/>
      <c r="R310" s="1"/>
      <c r="S310" s="2"/>
      <c r="T310" s="18"/>
      <c r="U310" s="18"/>
    </row>
    <row r="311" spans="1:21">
      <c r="A311" s="457" t="s">
        <v>177</v>
      </c>
      <c r="B311" s="455"/>
      <c r="C311" s="455"/>
      <c r="D311" s="455">
        <v>2352</v>
      </c>
      <c r="E311" s="455">
        <v>6866.66</v>
      </c>
      <c r="F311" s="455"/>
      <c r="G311" s="455"/>
      <c r="H311" s="455"/>
      <c r="I311" s="455"/>
      <c r="J311" s="455">
        <v>2352</v>
      </c>
      <c r="K311" s="455">
        <v>6866.66</v>
      </c>
      <c r="L311" s="313">
        <f t="shared" si="2"/>
        <v>2.919498299319728</v>
      </c>
      <c r="M311" t="str">
        <f>IF(B311="","",VLOOKUP(A311,'AZ WIP'!$A$8:$C$253,3,0)-B311)</f>
        <v/>
      </c>
      <c r="N311">
        <f>IF(D311="","",VLOOKUP(A311,'FL WIP'!$A$8:$C$262,3,0)-D311)</f>
        <v>0</v>
      </c>
      <c r="O311" t="str">
        <f>IF(F311="","",VLOOKUP(A311,'TX WIP'!$A$8:$C$259,3,0)-F311)</f>
        <v/>
      </c>
      <c r="P311" s="1"/>
      <c r="Q311" s="1"/>
      <c r="R311" s="1"/>
      <c r="S311" s="2"/>
      <c r="T311" s="18"/>
      <c r="U311" s="18"/>
    </row>
    <row r="312" spans="1:21">
      <c r="A312" s="457" t="s">
        <v>73</v>
      </c>
      <c r="B312" s="455">
        <v>50760</v>
      </c>
      <c r="C312" s="455">
        <v>168467.36</v>
      </c>
      <c r="D312" s="455">
        <v>22938</v>
      </c>
      <c r="E312" s="455">
        <v>77739.180000000008</v>
      </c>
      <c r="F312" s="455"/>
      <c r="G312" s="455"/>
      <c r="H312" s="455"/>
      <c r="I312" s="455"/>
      <c r="J312" s="455">
        <v>73698</v>
      </c>
      <c r="K312" s="455">
        <v>246206.53999999998</v>
      </c>
      <c r="L312" s="313">
        <f t="shared" si="2"/>
        <v>3.389100183102276</v>
      </c>
      <c r="M312">
        <f>IF(B312="","",VLOOKUP(A312,'AZ WIP'!$A$8:$C$253,3,0)-B312)</f>
        <v>0</v>
      </c>
      <c r="N312">
        <f>IF(D312="","",VLOOKUP(A312,'FL WIP'!$A$8:$C$262,3,0)-D312)</f>
        <v>0</v>
      </c>
      <c r="O312" t="str">
        <f>IF(F312="","",VLOOKUP(A312,'TX WIP'!$A$8:$C$259,3,0)-F312)</f>
        <v/>
      </c>
      <c r="P312" s="1"/>
      <c r="Q312" s="1"/>
      <c r="R312" s="1"/>
      <c r="S312" s="2"/>
      <c r="T312" s="18"/>
      <c r="U312" s="18"/>
    </row>
    <row r="313" spans="1:21">
      <c r="A313" s="457" t="s">
        <v>665</v>
      </c>
      <c r="B313" s="455">
        <v>4560</v>
      </c>
      <c r="C313" s="455">
        <v>5207.97</v>
      </c>
      <c r="D313" s="455"/>
      <c r="E313" s="455"/>
      <c r="F313" s="455"/>
      <c r="G313" s="455"/>
      <c r="H313" s="455"/>
      <c r="I313" s="455"/>
      <c r="J313" s="455">
        <v>4560</v>
      </c>
      <c r="K313" s="455">
        <v>5207.97</v>
      </c>
      <c r="L313" s="313" t="e">
        <f t="shared" si="2"/>
        <v>#DIV/0!</v>
      </c>
      <c r="M313">
        <f>IF(B313="","",VLOOKUP(A313,'AZ WIP'!$A$8:$C$253,3,0)-B313)</f>
        <v>0</v>
      </c>
      <c r="N313" t="str">
        <f>IF(D313="","",VLOOKUP(A313,'FL WIP'!$A$8:$C$262,3,0)-D313)</f>
        <v/>
      </c>
      <c r="O313" t="str">
        <f>IF(F313="","",VLOOKUP(A313,'TX WIP'!$A$8:$C$259,3,0)-F313)</f>
        <v/>
      </c>
      <c r="P313" s="1"/>
      <c r="Q313" s="1"/>
      <c r="R313" s="1"/>
      <c r="S313" s="2"/>
      <c r="T313" s="18"/>
      <c r="U313" s="18"/>
    </row>
    <row r="314" spans="1:21">
      <c r="A314" s="457" t="s">
        <v>512</v>
      </c>
      <c r="B314" s="455">
        <v>589</v>
      </c>
      <c r="C314" s="455">
        <v>2838.04</v>
      </c>
      <c r="D314" s="455"/>
      <c r="E314" s="455"/>
      <c r="F314" s="455"/>
      <c r="G314" s="455"/>
      <c r="H314" s="455"/>
      <c r="I314" s="455"/>
      <c r="J314" s="455">
        <v>589</v>
      </c>
      <c r="K314" s="455">
        <v>2838.04</v>
      </c>
      <c r="L314" s="313" t="e">
        <f t="shared" si="2"/>
        <v>#DIV/0!</v>
      </c>
      <c r="M314">
        <f>IF(B314="","",VLOOKUP(A314,'AZ WIP'!$A$8:$C$253,3,0)-B314)</f>
        <v>0</v>
      </c>
      <c r="N314" t="str">
        <f>IF(D314="","",VLOOKUP(A314,'FL WIP'!$A$8:$C$262,3,0)-D314)</f>
        <v/>
      </c>
      <c r="O314" t="str">
        <f>IF(F314="","",VLOOKUP(A314,'TX WIP'!$A$8:$C$259,3,0)-F314)</f>
        <v/>
      </c>
      <c r="P314" s="1"/>
      <c r="Q314" s="1"/>
      <c r="R314" s="1"/>
      <c r="S314" s="2"/>
      <c r="T314" s="18"/>
      <c r="U314" s="18"/>
    </row>
    <row r="315" spans="1:21">
      <c r="A315" s="227" t="s">
        <v>1022</v>
      </c>
      <c r="B315" s="81">
        <v>0</v>
      </c>
      <c r="C315" s="81">
        <v>0</v>
      </c>
      <c r="D315" s="81"/>
      <c r="E315" s="81"/>
      <c r="F315" s="81"/>
      <c r="G315" s="81"/>
      <c r="H315" s="81"/>
      <c r="I315" s="81"/>
      <c r="J315" s="81">
        <v>0</v>
      </c>
      <c r="K315" s="81">
        <v>0</v>
      </c>
      <c r="L315" s="313" t="e">
        <f t="shared" si="2"/>
        <v>#DIV/0!</v>
      </c>
      <c r="M315">
        <f>IF(B315="","",VLOOKUP(A315,'AZ WIP'!$A$8:$C$253,3,0)-B315)</f>
        <v>0</v>
      </c>
      <c r="N315" t="str">
        <f>IF(D315="","",VLOOKUP(A315,'FL WIP'!$A$8:$C$262,3,0)-D315)</f>
        <v/>
      </c>
      <c r="O315" t="str">
        <f>IF(F315="","",VLOOKUP(A315,'TX WIP'!$A$8:$C$259,3,0)-F315)</f>
        <v/>
      </c>
      <c r="P315" s="1"/>
      <c r="Q315" s="1"/>
      <c r="R315" s="1"/>
      <c r="S315" s="2"/>
      <c r="T315" s="18"/>
      <c r="U315" s="18"/>
    </row>
    <row r="316" spans="1:21">
      <c r="A316" s="227" t="s">
        <v>2763</v>
      </c>
      <c r="B316" s="81"/>
      <c r="C316" s="81"/>
      <c r="D316" s="81"/>
      <c r="E316" s="81"/>
      <c r="F316" s="81">
        <v>1525</v>
      </c>
      <c r="G316" s="81">
        <v>7484.55</v>
      </c>
      <c r="H316" s="81"/>
      <c r="I316" s="81"/>
      <c r="J316" s="81">
        <v>1525</v>
      </c>
      <c r="K316" s="81">
        <v>7484.55</v>
      </c>
      <c r="L316" s="313" t="e">
        <f t="shared" si="2"/>
        <v>#DIV/0!</v>
      </c>
      <c r="M316" t="str">
        <f>IF(B316="","",VLOOKUP(A316,'AZ WIP'!$A$8:$C$253,3,0)-B316)</f>
        <v/>
      </c>
      <c r="N316" t="str">
        <f>IF(D316="","",VLOOKUP(A316,'FL WIP'!$A$8:$C$262,3,0)-D316)</f>
        <v/>
      </c>
      <c r="O316">
        <f>IF(F316="","",VLOOKUP(A316,'TX WIP'!$A$8:$C$259,3,0)-F316)</f>
        <v>0</v>
      </c>
      <c r="P316" s="1"/>
      <c r="Q316" s="1"/>
      <c r="R316" s="1"/>
      <c r="S316" s="2"/>
      <c r="T316" s="18"/>
      <c r="U316" s="18"/>
    </row>
    <row r="317" spans="1:21">
      <c r="A317" s="227" t="s">
        <v>1147</v>
      </c>
      <c r="B317" s="81"/>
      <c r="C317" s="81"/>
      <c r="D317" s="81">
        <v>35000</v>
      </c>
      <c r="E317" s="81">
        <v>122213</v>
      </c>
      <c r="F317" s="81"/>
      <c r="G317" s="81"/>
      <c r="H317" s="81"/>
      <c r="I317" s="81"/>
      <c r="J317" s="81">
        <v>35000</v>
      </c>
      <c r="K317" s="81">
        <v>122213</v>
      </c>
      <c r="L317" s="313">
        <f t="shared" si="2"/>
        <v>3.4918</v>
      </c>
      <c r="M317" t="str">
        <f>IF(B317="","",VLOOKUP(A317,'AZ WIP'!$A$8:$C$253,3,0)-B317)</f>
        <v/>
      </c>
      <c r="O317" t="str">
        <f>IF(F317="","",VLOOKUP(A317,'TX WIP'!$A$8:$C$259,3,0)-F317)</f>
        <v/>
      </c>
      <c r="P317" s="1"/>
      <c r="Q317" s="1"/>
      <c r="R317" s="1"/>
      <c r="S317" s="2"/>
      <c r="T317" s="18"/>
      <c r="U317" s="18"/>
    </row>
    <row r="318" spans="1:21">
      <c r="A318" s="227" t="s">
        <v>549</v>
      </c>
      <c r="B318" s="81">
        <v>14028</v>
      </c>
      <c r="C318" s="81">
        <v>72381.67</v>
      </c>
      <c r="D318" s="81"/>
      <c r="E318" s="81"/>
      <c r="F318" s="81"/>
      <c r="G318" s="81"/>
      <c r="H318" s="81"/>
      <c r="I318" s="81"/>
      <c r="J318" s="81">
        <v>14028</v>
      </c>
      <c r="K318" s="81">
        <v>72381.67</v>
      </c>
      <c r="L318" s="313" t="e">
        <f t="shared" si="2"/>
        <v>#DIV/0!</v>
      </c>
      <c r="M318">
        <f>IF(B318="","",VLOOKUP(A318,'AZ WIP'!$A$8:$C$253,3,0)-B318)</f>
        <v>0</v>
      </c>
      <c r="N318" t="str">
        <f>IF(D318="","",VLOOKUP(A318,'FL WIP'!$A$8:$C$262,3,0)-D318)</f>
        <v/>
      </c>
      <c r="O318" t="str">
        <f>IF(F318="","",VLOOKUP(A318,'TX WIP'!$A$8:$C$259,3,0)-F318)</f>
        <v/>
      </c>
      <c r="P318" s="1"/>
      <c r="Q318" s="1"/>
      <c r="R318" s="1"/>
      <c r="S318" s="2"/>
      <c r="T318" s="18"/>
      <c r="U318" s="18"/>
    </row>
    <row r="319" spans="1:21">
      <c r="A319" s="227" t="s">
        <v>1304</v>
      </c>
      <c r="B319" s="81"/>
      <c r="C319" s="81"/>
      <c r="D319" s="81">
        <v>312</v>
      </c>
      <c r="E319" s="81">
        <v>904.80000000000007</v>
      </c>
      <c r="F319" s="81"/>
      <c r="G319" s="81"/>
      <c r="H319" s="81"/>
      <c r="I319" s="81"/>
      <c r="J319" s="81">
        <v>312</v>
      </c>
      <c r="K319" s="81">
        <v>904.80000000000007</v>
      </c>
      <c r="L319" s="313">
        <f t="shared" si="2"/>
        <v>2.9000000000000004</v>
      </c>
      <c r="M319" t="str">
        <f>IF(B319="","",VLOOKUP(A319,'AZ WIP'!$A$8:$C$253,3,0)-B319)</f>
        <v/>
      </c>
      <c r="N319">
        <f>IF(D319="","",VLOOKUP(A319,'FL WIP'!$A$8:$C$262,3,0)-D319)</f>
        <v>0</v>
      </c>
      <c r="O319" t="str">
        <f>IF(F319="","",VLOOKUP(A319,'TX WIP'!$A$8:$C$259,3,0)-F319)</f>
        <v/>
      </c>
      <c r="P319" s="1"/>
      <c r="Q319" s="1"/>
      <c r="R319" s="1"/>
      <c r="S319" s="2"/>
      <c r="T319" s="18"/>
      <c r="U319" s="18"/>
    </row>
    <row r="320" spans="1:21">
      <c r="A320" s="227" t="s">
        <v>2820</v>
      </c>
      <c r="B320" s="81">
        <v>98234</v>
      </c>
      <c r="C320" s="81">
        <v>475243.63</v>
      </c>
      <c r="D320" s="81"/>
      <c r="E320" s="81"/>
      <c r="F320" s="81"/>
      <c r="G320" s="81"/>
      <c r="H320" s="81"/>
      <c r="I320" s="81"/>
      <c r="J320" s="81">
        <v>98234</v>
      </c>
      <c r="K320" s="81">
        <v>475243.63</v>
      </c>
      <c r="L320" s="313" t="e">
        <f t="shared" si="2"/>
        <v>#DIV/0!</v>
      </c>
      <c r="M320">
        <f>IF(B320="","",VLOOKUP(A320,'AZ WIP'!$A$8:$C$253,3,0)-B320)</f>
        <v>0</v>
      </c>
      <c r="N320" t="str">
        <f>IF(D320="","",VLOOKUP(A320,'FL WIP'!$A$8:$C$262,3,0)-D320)</f>
        <v/>
      </c>
      <c r="O320" t="str">
        <f>IF(F320="","",VLOOKUP(A320,'TX WIP'!$A$8:$C$259,3,0)-F320)</f>
        <v/>
      </c>
      <c r="P320" s="1"/>
      <c r="Q320" s="1"/>
      <c r="R320" s="1"/>
      <c r="S320" s="2"/>
      <c r="T320" s="18"/>
      <c r="U320" s="18"/>
    </row>
    <row r="321" spans="1:21">
      <c r="A321" s="227" t="s">
        <v>988</v>
      </c>
      <c r="B321" s="81">
        <v>360</v>
      </c>
      <c r="C321" s="81">
        <v>2225.48</v>
      </c>
      <c r="D321" s="81"/>
      <c r="E321" s="81"/>
      <c r="F321" s="81"/>
      <c r="G321" s="81"/>
      <c r="H321" s="81"/>
      <c r="I321" s="81"/>
      <c r="J321" s="81">
        <v>360</v>
      </c>
      <c r="K321" s="81">
        <v>2225.48</v>
      </c>
      <c r="L321" s="313" t="e">
        <f t="shared" si="2"/>
        <v>#DIV/0!</v>
      </c>
      <c r="M321">
        <f>IF(B321="","",VLOOKUP(A321,'AZ WIP'!$A$8:$C$253,3,0)-B321)</f>
        <v>0</v>
      </c>
      <c r="N321" t="str">
        <f>IF(D321="","",VLOOKUP(A321,'FL WIP'!$A$8:$C$262,3,0)-D321)</f>
        <v/>
      </c>
      <c r="O321" t="str">
        <f>IF(F321="","",VLOOKUP(A321,'TX WIP'!$A$8:$C$259,3,0)-F321)</f>
        <v/>
      </c>
      <c r="P321" s="1"/>
      <c r="Q321" s="1"/>
      <c r="R321" s="1"/>
      <c r="S321" s="2"/>
      <c r="T321" s="18"/>
      <c r="U321" s="18"/>
    </row>
    <row r="322" spans="1:21">
      <c r="A322" s="227" t="s">
        <v>421</v>
      </c>
      <c r="B322" s="81">
        <v>123</v>
      </c>
      <c r="C322" s="81">
        <v>394.45999999999913</v>
      </c>
      <c r="D322" s="81">
        <v>653</v>
      </c>
      <c r="E322" s="81">
        <v>1895.46</v>
      </c>
      <c r="F322" s="81"/>
      <c r="G322" s="81"/>
      <c r="H322" s="81"/>
      <c r="I322" s="81"/>
      <c r="J322" s="81">
        <v>776</v>
      </c>
      <c r="K322" s="81">
        <v>2289.9199999999992</v>
      </c>
      <c r="L322" s="313">
        <f t="shared" si="2"/>
        <v>2.9026952526799388</v>
      </c>
      <c r="M322">
        <f>IF(B322="","",VLOOKUP(A322,'AZ WIP'!$A$8:$C$253,3,0)-B322)</f>
        <v>0</v>
      </c>
      <c r="N322">
        <f>IF(D322="","",VLOOKUP(A322,'FL WIP'!$A$8:$C$262,3,0)-D322)</f>
        <v>0</v>
      </c>
      <c r="O322" t="str">
        <f>IF(F322="","",VLOOKUP(A322,'TX WIP'!$A$8:$C$259,3,0)-F322)</f>
        <v/>
      </c>
      <c r="P322" s="1"/>
      <c r="Q322" s="1"/>
      <c r="R322" s="1"/>
      <c r="S322" s="2"/>
      <c r="T322" s="18"/>
      <c r="U322" s="18"/>
    </row>
    <row r="323" spans="1:21">
      <c r="A323" s="227" t="s">
        <v>349</v>
      </c>
      <c r="B323" s="81">
        <v>40170</v>
      </c>
      <c r="C323" s="81">
        <v>136578</v>
      </c>
      <c r="D323" s="81"/>
      <c r="E323" s="81"/>
      <c r="F323" s="81"/>
      <c r="G323" s="81"/>
      <c r="H323" s="81"/>
      <c r="I323" s="81"/>
      <c r="J323" s="81">
        <v>40170</v>
      </c>
      <c r="K323" s="81">
        <v>136578</v>
      </c>
      <c r="L323" s="313" t="e">
        <f t="shared" si="2"/>
        <v>#DIV/0!</v>
      </c>
      <c r="M323">
        <f>IF(B323="","",VLOOKUP(A323,'AZ WIP'!$A$8:$C$253,3,0)-B323)</f>
        <v>0</v>
      </c>
      <c r="N323" t="str">
        <f>IF(D323="","",VLOOKUP(A323,'FL WIP'!$A$8:$C$262,3,0)-D323)</f>
        <v/>
      </c>
      <c r="O323" t="str">
        <f>IF(F323="","",VLOOKUP(A323,'TX WIP'!$A$8:$C$259,3,0)-F323)</f>
        <v/>
      </c>
      <c r="P323" s="1"/>
      <c r="Q323" s="1"/>
      <c r="R323" s="1"/>
      <c r="S323" s="2"/>
      <c r="T323" s="18"/>
      <c r="U323" s="18"/>
    </row>
    <row r="324" spans="1:21">
      <c r="A324" s="227" t="s">
        <v>33</v>
      </c>
      <c r="B324" s="81">
        <v>14798</v>
      </c>
      <c r="C324" s="81">
        <v>46712.85</v>
      </c>
      <c r="D324" s="81"/>
      <c r="E324" s="81"/>
      <c r="F324" s="81"/>
      <c r="G324" s="81"/>
      <c r="H324" s="81"/>
      <c r="I324" s="81"/>
      <c r="J324" s="81">
        <v>14798</v>
      </c>
      <c r="K324" s="81">
        <v>46712.85</v>
      </c>
      <c r="L324" s="313" t="e">
        <f t="shared" si="2"/>
        <v>#DIV/0!</v>
      </c>
      <c r="M324">
        <f>IF(B324="","",VLOOKUP(A324,'AZ WIP'!$A$8:$C$253,3,0)-B324)</f>
        <v>0</v>
      </c>
      <c r="N324" t="str">
        <f>IF(D324="","",VLOOKUP(A324,'FL WIP'!$A$8:$C$262,3,0)-D324)</f>
        <v/>
      </c>
      <c r="O324" t="str">
        <f>IF(F324="","",VLOOKUP(A324,'TX WIP'!$A$8:$C$259,3,0)-F324)</f>
        <v/>
      </c>
      <c r="P324" s="1"/>
      <c r="Q324" s="1"/>
      <c r="R324" s="1"/>
      <c r="S324" s="2"/>
      <c r="T324" s="18"/>
      <c r="U324" s="18"/>
    </row>
    <row r="325" spans="1:21">
      <c r="A325" s="227" t="s">
        <v>1084</v>
      </c>
      <c r="B325" s="81">
        <v>685</v>
      </c>
      <c r="C325" s="81">
        <v>2452.3000000000002</v>
      </c>
      <c r="D325" s="81"/>
      <c r="E325" s="81"/>
      <c r="F325" s="81"/>
      <c r="G325" s="81"/>
      <c r="H325" s="81"/>
      <c r="I325" s="81"/>
      <c r="J325" s="81">
        <v>685</v>
      </c>
      <c r="K325" s="81">
        <v>2452.3000000000002</v>
      </c>
      <c r="L325" s="313" t="e">
        <f t="shared" si="2"/>
        <v>#DIV/0!</v>
      </c>
      <c r="M325">
        <f>IF(B325="","",VLOOKUP(A325,'AZ WIP'!$A$8:$C$253,3,0)-B325)</f>
        <v>0</v>
      </c>
      <c r="N325" t="str">
        <f>IF(D325="","",VLOOKUP(A325,'FL WIP'!$A$8:$C$262,3,0)-D325)</f>
        <v/>
      </c>
      <c r="O325" t="str">
        <f>IF(F325="","",VLOOKUP(A325,'TX WIP'!$A$8:$C$259,3,0)-F325)</f>
        <v/>
      </c>
      <c r="P325" s="1"/>
      <c r="Q325" s="1"/>
      <c r="R325" s="1"/>
      <c r="S325" s="2"/>
      <c r="T325" s="18"/>
      <c r="U325" s="18"/>
    </row>
    <row r="326" spans="1:21">
      <c r="A326" s="227" t="s">
        <v>244</v>
      </c>
      <c r="B326" s="81">
        <v>7255</v>
      </c>
      <c r="C326" s="81">
        <v>25938.199999999997</v>
      </c>
      <c r="D326" s="81"/>
      <c r="E326" s="81"/>
      <c r="F326" s="81"/>
      <c r="G326" s="81"/>
      <c r="H326" s="81"/>
      <c r="I326" s="81"/>
      <c r="J326" s="81">
        <v>7255</v>
      </c>
      <c r="K326" s="81">
        <v>25938.199999999997</v>
      </c>
      <c r="L326" s="313" t="e">
        <f t="shared" si="2"/>
        <v>#DIV/0!</v>
      </c>
      <c r="M326">
        <f>IF(B326="","",VLOOKUP(A326,'AZ WIP'!$A$8:$C$253,3,0)-B326)</f>
        <v>0</v>
      </c>
      <c r="N326" t="str">
        <f>IF(D326="","",VLOOKUP(A326,'FL WIP'!$A$8:$C$262,3,0)-D326)</f>
        <v/>
      </c>
      <c r="O326" t="str">
        <f>IF(F326="","",VLOOKUP(A326,'TX WIP'!$A$8:$C$259,3,0)-F326)</f>
        <v/>
      </c>
      <c r="P326" s="1"/>
      <c r="Q326" s="1"/>
      <c r="R326" s="1"/>
      <c r="S326" s="2"/>
      <c r="T326" s="18"/>
      <c r="U326" s="18"/>
    </row>
    <row r="327" spans="1:21">
      <c r="A327" s="227" t="s">
        <v>251</v>
      </c>
      <c r="B327" s="81">
        <v>5563</v>
      </c>
      <c r="C327" s="81">
        <v>35603.199999999997</v>
      </c>
      <c r="D327" s="81"/>
      <c r="E327" s="81"/>
      <c r="F327" s="81"/>
      <c r="G327" s="81"/>
      <c r="H327" s="81"/>
      <c r="I327" s="81"/>
      <c r="J327" s="81">
        <v>5563</v>
      </c>
      <c r="K327" s="81">
        <v>35603.199999999997</v>
      </c>
      <c r="L327" s="313" t="e">
        <f t="shared" si="2"/>
        <v>#DIV/0!</v>
      </c>
      <c r="M327">
        <f>IF(B327="","",VLOOKUP(A327,'AZ WIP'!$A$8:$C$253,3,0)-B327)</f>
        <v>0</v>
      </c>
      <c r="N327" t="str">
        <f>IF(D327="","",VLOOKUP(A327,'FL WIP'!$A$8:$C$262,3,0)-D327)</f>
        <v/>
      </c>
      <c r="O327" t="str">
        <f>IF(F327="","",VLOOKUP(A327,'TX WIP'!$A$8:$C$259,3,0)-F327)</f>
        <v/>
      </c>
      <c r="P327" s="1"/>
      <c r="Q327" s="1"/>
      <c r="R327" s="1"/>
      <c r="S327" s="2"/>
      <c r="T327" s="18"/>
      <c r="U327" s="18"/>
    </row>
    <row r="328" spans="1:21">
      <c r="A328" s="227" t="s">
        <v>364</v>
      </c>
      <c r="B328" s="81"/>
      <c r="C328" s="81"/>
      <c r="D328" s="81">
        <v>155</v>
      </c>
      <c r="E328" s="81">
        <v>745.7</v>
      </c>
      <c r="F328" s="81"/>
      <c r="G328" s="81"/>
      <c r="H328" s="81"/>
      <c r="I328" s="81"/>
      <c r="J328" s="81">
        <v>155</v>
      </c>
      <c r="K328" s="81">
        <v>745.7</v>
      </c>
      <c r="L328" s="313">
        <f t="shared" si="2"/>
        <v>4.8109677419354844</v>
      </c>
      <c r="M328" t="str">
        <f>IF(B328="","",VLOOKUP(A328,'AZ WIP'!$A$8:$C$253,3,0)-B328)</f>
        <v/>
      </c>
      <c r="N328">
        <f>IF(D328="","",VLOOKUP(A328,'FL WIP'!$A$8:$C$262,3,0)-D328)</f>
        <v>0</v>
      </c>
      <c r="O328" t="str">
        <f>IF(F328="","",VLOOKUP(A328,'TX WIP'!$A$8:$C$259,3,0)-F328)</f>
        <v/>
      </c>
      <c r="P328" s="1"/>
      <c r="Q328" s="1"/>
      <c r="R328" s="1"/>
      <c r="S328" s="2"/>
      <c r="T328" s="18"/>
      <c r="U328" s="18"/>
    </row>
    <row r="329" spans="1:21">
      <c r="A329" s="227" t="s">
        <v>322</v>
      </c>
      <c r="B329" s="81">
        <v>4997</v>
      </c>
      <c r="C329" s="81">
        <v>22028.28</v>
      </c>
      <c r="D329" s="81"/>
      <c r="E329" s="81"/>
      <c r="F329" s="81"/>
      <c r="G329" s="81"/>
      <c r="H329" s="81"/>
      <c r="I329" s="81"/>
      <c r="J329" s="81">
        <v>4997</v>
      </c>
      <c r="K329" s="81">
        <v>22028.28</v>
      </c>
      <c r="L329" s="313" t="e">
        <f t="shared" si="2"/>
        <v>#DIV/0!</v>
      </c>
      <c r="M329">
        <f>IF(B329="","",VLOOKUP(A329,'AZ WIP'!$A$8:$C$253,3,0)-B329)</f>
        <v>0</v>
      </c>
      <c r="N329" t="str">
        <f>IF(D329="","",VLOOKUP(A329,'FL WIP'!$A$8:$C$262,3,0)-D329)</f>
        <v/>
      </c>
      <c r="O329" t="str">
        <f>IF(F329="","",VLOOKUP(A329,'TX WIP'!$A$8:$C$259,3,0)-F329)</f>
        <v/>
      </c>
      <c r="P329" s="1"/>
      <c r="Q329" s="1"/>
      <c r="R329" s="1"/>
      <c r="S329" s="2"/>
      <c r="T329" s="18"/>
      <c r="U329" s="18"/>
    </row>
    <row r="330" spans="1:21">
      <c r="A330" s="227" t="s">
        <v>1062</v>
      </c>
      <c r="B330" s="81">
        <v>9904</v>
      </c>
      <c r="C330" s="81">
        <v>52030.66</v>
      </c>
      <c r="D330" s="81"/>
      <c r="E330" s="81"/>
      <c r="F330" s="81"/>
      <c r="G330" s="81"/>
      <c r="H330" s="81"/>
      <c r="I330" s="81"/>
      <c r="J330" s="81">
        <v>9904</v>
      </c>
      <c r="K330" s="81">
        <v>52030.66</v>
      </c>
      <c r="L330" s="313" t="e">
        <f t="shared" si="2"/>
        <v>#DIV/0!</v>
      </c>
      <c r="M330">
        <f>IF(B330="","",VLOOKUP(A330,'AZ WIP'!$A$8:$C$253,3,0)-B330)</f>
        <v>0</v>
      </c>
      <c r="N330" t="str">
        <f>IF(D330="","",VLOOKUP(A330,'FL WIP'!$A$8:$C$262,3,0)-D330)</f>
        <v/>
      </c>
      <c r="O330" t="str">
        <f>IF(F330="","",VLOOKUP(A330,'TX WIP'!$A$8:$C$259,3,0)-F330)</f>
        <v/>
      </c>
      <c r="P330" s="1"/>
      <c r="Q330" s="1"/>
      <c r="R330" s="1"/>
      <c r="S330" s="2"/>
      <c r="T330" s="18"/>
      <c r="U330" s="18"/>
    </row>
    <row r="331" spans="1:21">
      <c r="A331" s="227" t="s">
        <v>2754</v>
      </c>
      <c r="B331" s="81"/>
      <c r="C331" s="81"/>
      <c r="D331" s="81">
        <v>19025.02</v>
      </c>
      <c r="E331" s="81">
        <v>60689.81</v>
      </c>
      <c r="F331" s="81"/>
      <c r="G331" s="81"/>
      <c r="H331" s="81"/>
      <c r="I331" s="81"/>
      <c r="J331" s="81">
        <v>19025.02</v>
      </c>
      <c r="K331" s="81">
        <v>60689.81</v>
      </c>
      <c r="L331" s="313">
        <f t="shared" si="2"/>
        <v>3.1899998002630219</v>
      </c>
      <c r="M331" t="str">
        <f>IF(B331="","",VLOOKUP(A331,'AZ WIP'!$A$8:$C$253,3,0)-B331)</f>
        <v/>
      </c>
      <c r="N331">
        <f>IF(D331="","",VLOOKUP(A331,'FL WIP'!$A$8:$C$262,3,0)-D331)</f>
        <v>0</v>
      </c>
      <c r="O331" t="str">
        <f>IF(F331="","",VLOOKUP(A331,'TX WIP'!$A$8:$C$259,3,0)-F331)</f>
        <v/>
      </c>
      <c r="P331" s="1"/>
      <c r="Q331" s="1"/>
      <c r="R331" s="1"/>
      <c r="S331" s="2"/>
      <c r="T331" s="18"/>
      <c r="U331" s="18"/>
    </row>
    <row r="332" spans="1:21">
      <c r="A332" s="423" t="s">
        <v>2917</v>
      </c>
      <c r="B332" s="81"/>
      <c r="C332" s="81"/>
      <c r="D332" s="81">
        <v>3625</v>
      </c>
      <c r="E332" s="81">
        <v>25401.1</v>
      </c>
      <c r="F332" s="81"/>
      <c r="G332" s="81"/>
      <c r="H332" s="81"/>
      <c r="I332" s="81"/>
      <c r="J332" s="81">
        <v>3625</v>
      </c>
      <c r="K332" s="81">
        <v>25401.1</v>
      </c>
      <c r="L332" s="313">
        <f t="shared" si="2"/>
        <v>7.0071999999999992</v>
      </c>
      <c r="M332" t="str">
        <f>IF(B332="","",VLOOKUP(A332,'AZ WIP'!$A$8:$C$253,3,0)-B332)</f>
        <v/>
      </c>
      <c r="N332" s="360">
        <f>IF(D332="","",VLOOKUP(A332,'FL WIP'!$A$8:$C$262,3,0)-D332)</f>
        <v>0</v>
      </c>
      <c r="O332" t="str">
        <f>IF(F332="","",VLOOKUP(A332,'TX WIP'!$A$8:$C$259,3,0)-F332)</f>
        <v/>
      </c>
      <c r="P332" s="1"/>
      <c r="Q332" s="259" t="s">
        <v>2919</v>
      </c>
      <c r="R332" s="1"/>
      <c r="S332" s="2"/>
      <c r="T332" s="18"/>
      <c r="U332" s="18"/>
    </row>
    <row r="333" spans="1:21">
      <c r="A333" s="227" t="s">
        <v>1080</v>
      </c>
      <c r="B333" s="81">
        <v>5722</v>
      </c>
      <c r="C333" s="81">
        <v>20484.759999999998</v>
      </c>
      <c r="D333" s="81"/>
      <c r="E333" s="81"/>
      <c r="F333" s="81"/>
      <c r="G333" s="81"/>
      <c r="H333" s="81"/>
      <c r="I333" s="81"/>
      <c r="J333" s="81">
        <v>5722</v>
      </c>
      <c r="K333" s="81">
        <v>20484.759999999998</v>
      </c>
      <c r="L333" s="313" t="e">
        <f t="shared" si="2"/>
        <v>#DIV/0!</v>
      </c>
      <c r="M333">
        <f>IF(B333="","",VLOOKUP(A333,'AZ WIP'!$A$8:$C$253,3,0)-B333)</f>
        <v>0</v>
      </c>
      <c r="N333" t="str">
        <f>IF(D333="","",VLOOKUP(A333,'FL WIP'!$A$8:$C$262,3,0)-D333)</f>
        <v/>
      </c>
      <c r="O333" t="str">
        <f>IF(F333="","",VLOOKUP(A333,'TX WIP'!$A$8:$C$259,3,0)-F333)</f>
        <v/>
      </c>
      <c r="P333" s="1"/>
      <c r="Q333" s="1"/>
      <c r="R333" s="1"/>
      <c r="S333" s="2"/>
      <c r="T333" s="18"/>
      <c r="U333" s="18"/>
    </row>
    <row r="334" spans="1:21">
      <c r="A334" s="227" t="s">
        <v>930</v>
      </c>
      <c r="B334" s="81">
        <v>5185</v>
      </c>
      <c r="C334" s="81">
        <v>35846.5</v>
      </c>
      <c r="D334" s="81">
        <v>9835</v>
      </c>
      <c r="E334" s="81">
        <v>63358.05</v>
      </c>
      <c r="F334" s="81"/>
      <c r="G334" s="81"/>
      <c r="H334" s="81"/>
      <c r="I334" s="81"/>
      <c r="J334" s="81">
        <v>15020</v>
      </c>
      <c r="K334" s="81">
        <v>99204.55</v>
      </c>
      <c r="L334" s="313">
        <f t="shared" si="2"/>
        <v>6.4420996441281142</v>
      </c>
      <c r="M334">
        <f>IF(B334="","",VLOOKUP(A334,'AZ WIP'!$A$8:$C$253,3,0)-B334)</f>
        <v>0</v>
      </c>
      <c r="N334">
        <f>IF(D334="","",VLOOKUP(A334,'FL WIP'!$A$8:$C$262,3,0)-D334)</f>
        <v>0</v>
      </c>
      <c r="O334" t="str">
        <f>IF(F334="","",VLOOKUP(A334,'TX WIP'!$A$8:$C$259,3,0)-F334)</f>
        <v/>
      </c>
      <c r="P334" s="1"/>
      <c r="Q334" s="1"/>
      <c r="R334" s="1"/>
      <c r="S334" s="2"/>
      <c r="T334" s="18"/>
      <c r="U334" s="18"/>
    </row>
    <row r="335" spans="1:21">
      <c r="A335" s="227" t="s">
        <v>1117</v>
      </c>
      <c r="B335" s="81"/>
      <c r="C335" s="81"/>
      <c r="D335" s="81">
        <v>4799</v>
      </c>
      <c r="E335" s="81">
        <v>25949.15</v>
      </c>
      <c r="F335" s="81"/>
      <c r="G335" s="81"/>
      <c r="H335" s="81"/>
      <c r="I335" s="81"/>
      <c r="J335" s="81">
        <v>4799</v>
      </c>
      <c r="K335" s="81">
        <v>25949.15</v>
      </c>
      <c r="L335" s="313">
        <f t="shared" si="2"/>
        <v>5.4071994165451143</v>
      </c>
      <c r="M335" t="str">
        <f>IF(B335="","",VLOOKUP(A335,'AZ WIP'!$A$8:$C$253,3,0)-B335)</f>
        <v/>
      </c>
      <c r="N335">
        <f>IF(D335="","",VLOOKUP(A335,'FL WIP'!$A$8:$C$262,3,0)-D335)</f>
        <v>0</v>
      </c>
      <c r="O335" t="str">
        <f>IF(F335="","",VLOOKUP(A335,'TX WIP'!$A$8:$C$259,3,0)-F335)</f>
        <v/>
      </c>
      <c r="P335" s="1"/>
      <c r="Q335" s="1"/>
      <c r="R335" s="1"/>
      <c r="S335" s="2"/>
      <c r="T335" s="18"/>
      <c r="U335" s="18"/>
    </row>
    <row r="336" spans="1:21">
      <c r="A336" s="456" t="s">
        <v>728</v>
      </c>
      <c r="B336" s="455">
        <v>814418</v>
      </c>
      <c r="C336" s="455">
        <v>3917289.58</v>
      </c>
      <c r="D336" s="455">
        <v>1261835.7100000002</v>
      </c>
      <c r="E336" s="455">
        <v>4113035.1599999997</v>
      </c>
      <c r="F336" s="455">
        <v>1525</v>
      </c>
      <c r="G336" s="455">
        <v>7484.55</v>
      </c>
      <c r="H336" s="455"/>
      <c r="I336" s="455"/>
      <c r="J336" s="455">
        <v>2077778.7100000002</v>
      </c>
      <c r="K336" s="455">
        <v>8037809.2899999991</v>
      </c>
      <c r="L336" s="313"/>
      <c r="P336" s="1"/>
      <c r="Q336" s="1"/>
      <c r="R336" s="1"/>
      <c r="S336" s="2"/>
      <c r="T336" s="18"/>
      <c r="U336" s="18"/>
    </row>
    <row r="337" spans="1:21">
      <c r="A337" s="456" t="s">
        <v>30</v>
      </c>
      <c r="B337" s="81"/>
      <c r="C337" s="81"/>
      <c r="D337" s="81"/>
      <c r="E337" s="81"/>
      <c r="F337" s="81"/>
      <c r="G337" s="81"/>
      <c r="H337" s="81"/>
      <c r="I337" s="81"/>
      <c r="J337" s="81"/>
      <c r="K337" s="81"/>
      <c r="L337" s="313"/>
      <c r="M337" t="str">
        <f>IF(B337="","",VLOOKUP(A337,'AZ WIP'!$A$8:$C$253,3,0)-B337)</f>
        <v/>
      </c>
      <c r="N337" t="str">
        <f>IF(D337="","",VLOOKUP(A337,'FL WIP'!$A$8:$C$262,3,0)-D337)</f>
        <v/>
      </c>
      <c r="O337" t="str">
        <f>IF(F337="","",VLOOKUP(A337,'TX DL&amp;OH FG'!$A$7:$C$261,3,0)-F337)</f>
        <v/>
      </c>
      <c r="P337" s="1"/>
      <c r="Q337" s="1"/>
      <c r="R337" s="1"/>
      <c r="S337" s="2"/>
      <c r="T337" s="18"/>
      <c r="U337" s="18"/>
    </row>
    <row r="338" spans="1:21">
      <c r="A338" s="457">
        <v>197</v>
      </c>
      <c r="B338" s="455">
        <v>156</v>
      </c>
      <c r="C338" s="455">
        <v>538.75</v>
      </c>
      <c r="D338" s="455">
        <v>223</v>
      </c>
      <c r="E338" s="455">
        <v>770.13</v>
      </c>
      <c r="F338" s="455"/>
      <c r="G338" s="455"/>
      <c r="H338" s="455"/>
      <c r="I338" s="455"/>
      <c r="J338" s="455">
        <v>379</v>
      </c>
      <c r="K338" s="455">
        <v>1308.8800000000001</v>
      </c>
      <c r="L338" s="313">
        <f t="shared" si="2"/>
        <v>3.4534977578475337</v>
      </c>
      <c r="M338">
        <f>IF(B338="","",VLOOKUP(A338,'AZ DL&amp;OH FG'!$A$7:$C$385,3,0)-B338)</f>
        <v>0</v>
      </c>
      <c r="N338">
        <f>IF(D338="","",VLOOKUP(A338&amp;"",'FL DL&amp;OH FG'!$A$7:$C$381,3,0)-D338)</f>
        <v>0</v>
      </c>
      <c r="O338" t="str">
        <f>IF(F338="","",VLOOKUP(A338,'TX DL&amp;OH FG'!$A$7:$C$261,3,0)-F338)</f>
        <v/>
      </c>
      <c r="P338" s="1"/>
      <c r="Q338" s="1"/>
      <c r="R338" s="1"/>
      <c r="S338" s="2"/>
      <c r="T338" s="18"/>
      <c r="U338" s="18"/>
    </row>
    <row r="339" spans="1:21">
      <c r="A339" s="457">
        <v>198</v>
      </c>
      <c r="B339" s="455">
        <v>116</v>
      </c>
      <c r="C339" s="455">
        <v>1076.48</v>
      </c>
      <c r="D339" s="455">
        <v>163</v>
      </c>
      <c r="E339" s="455">
        <v>1512.64</v>
      </c>
      <c r="F339" s="455"/>
      <c r="G339" s="455"/>
      <c r="H339" s="455"/>
      <c r="I339" s="455"/>
      <c r="J339" s="455">
        <v>279</v>
      </c>
      <c r="K339" s="455">
        <v>2589.12</v>
      </c>
      <c r="L339" s="313">
        <f t="shared" si="2"/>
        <v>9.2800000000000011</v>
      </c>
      <c r="M339">
        <f>IF(B339="","",VLOOKUP(A339,'AZ DL&amp;OH FG'!$A$7:$C$385,3,0)-B339)</f>
        <v>0</v>
      </c>
      <c r="N339">
        <f>IF(D339="","",VLOOKUP(A339&amp;"",'FL DL&amp;OH FG'!$A$7:$C$381,3,0)-D339)</f>
        <v>0</v>
      </c>
      <c r="O339" t="str">
        <f>IF(F339="","",VLOOKUP(A339,'TX DL&amp;OH FG'!$A$7:$C$261,3,0)-F339)</f>
        <v/>
      </c>
      <c r="P339" s="1"/>
      <c r="Q339" s="1"/>
      <c r="R339" s="1"/>
      <c r="S339" s="2"/>
      <c r="T339" s="18"/>
      <c r="U339" s="18"/>
    </row>
    <row r="340" spans="1:21">
      <c r="A340" s="457">
        <v>1335</v>
      </c>
      <c r="B340" s="455"/>
      <c r="C340" s="455"/>
      <c r="D340" s="455">
        <v>35904</v>
      </c>
      <c r="E340" s="455">
        <v>213941.7</v>
      </c>
      <c r="F340" s="455"/>
      <c r="G340" s="455"/>
      <c r="H340" s="455"/>
      <c r="I340" s="455"/>
      <c r="J340" s="455">
        <v>35904</v>
      </c>
      <c r="K340" s="455">
        <v>213941.7</v>
      </c>
      <c r="L340" s="313">
        <f t="shared" si="2"/>
        <v>5.9587149064171125</v>
      </c>
      <c r="M340" t="str">
        <f>IF(B340="","",VLOOKUP(A340,'AZ DL&amp;OH FG'!$A$7:$C$385,3,0)-B340)</f>
        <v/>
      </c>
      <c r="N340">
        <f>IF(D340="","",VLOOKUP(A340&amp;"",'FL DL&amp;OH FG'!$A$7:$C$381,3,0)-D340)</f>
        <v>0</v>
      </c>
      <c r="O340" t="str">
        <f>IF(F340="","",VLOOKUP(A340,'TX DL&amp;OH FG'!$A$7:$C$261,3,0)-F340)</f>
        <v/>
      </c>
      <c r="P340" s="1"/>
      <c r="Q340" s="259"/>
      <c r="R340" s="1"/>
      <c r="S340" s="2"/>
      <c r="T340" s="18"/>
      <c r="U340" s="18"/>
    </row>
    <row r="341" spans="1:21">
      <c r="A341" s="457">
        <v>1701</v>
      </c>
      <c r="B341" s="455">
        <v>1589</v>
      </c>
      <c r="C341" s="455">
        <v>29377.75</v>
      </c>
      <c r="D341" s="455">
        <v>3635</v>
      </c>
      <c r="E341" s="455">
        <v>67874.180000000008</v>
      </c>
      <c r="F341" s="455"/>
      <c r="G341" s="455"/>
      <c r="H341" s="455"/>
      <c r="I341" s="455"/>
      <c r="J341" s="455">
        <v>5224</v>
      </c>
      <c r="K341" s="455">
        <v>97251.930000000008</v>
      </c>
      <c r="L341" s="313">
        <f t="shared" si="2"/>
        <v>18.672401650618983</v>
      </c>
      <c r="M341">
        <f>IF(B341="","",VLOOKUP(A341,'AZ DL&amp;OH FG'!$A$7:$C$385,3,0)-B341)</f>
        <v>0</v>
      </c>
      <c r="N341">
        <f>IF(D341="","",VLOOKUP(A341&amp;"",'FL DL&amp;OH FG'!$A$7:$C$381,3,0)-D341)</f>
        <v>0</v>
      </c>
      <c r="O341" t="str">
        <f>IF(F341="","",VLOOKUP(A341,'TX DL&amp;OH FG'!$A$7:$C$261,3,0)-F341)</f>
        <v/>
      </c>
      <c r="P341" s="259"/>
      <c r="Q341" s="259"/>
      <c r="R341" s="1"/>
      <c r="S341" s="2"/>
      <c r="T341" s="18"/>
      <c r="U341" s="18"/>
    </row>
    <row r="342" spans="1:21">
      <c r="A342" s="457">
        <v>2520</v>
      </c>
      <c r="B342" s="455">
        <v>45</v>
      </c>
      <c r="C342" s="455">
        <v>1261.2</v>
      </c>
      <c r="D342" s="455">
        <v>237</v>
      </c>
      <c r="E342" s="455">
        <v>5474.53</v>
      </c>
      <c r="F342" s="455"/>
      <c r="G342" s="455"/>
      <c r="H342" s="455"/>
      <c r="I342" s="455"/>
      <c r="J342" s="455">
        <v>282</v>
      </c>
      <c r="K342" s="455">
        <v>6735.73</v>
      </c>
      <c r="L342" s="313">
        <f t="shared" si="2"/>
        <v>23.099282700421941</v>
      </c>
      <c r="M342">
        <f>IF(B342="","",VLOOKUP(A342,'AZ DL&amp;OH FG'!$A$7:$C$385,3,0)-B342)</f>
        <v>0</v>
      </c>
      <c r="N342">
        <f>IF(D342="","",VLOOKUP(A342&amp;"",'FL DL&amp;OH FG'!$A$7:$C$381,3,0)-D342)</f>
        <v>0</v>
      </c>
      <c r="O342" t="str">
        <f>IF(F342="","",VLOOKUP(A342,'TX DL&amp;OH FG'!$A$7:$C$261,3,0)-F342)</f>
        <v/>
      </c>
      <c r="P342" s="1"/>
      <c r="Q342" s="1"/>
      <c r="R342" s="1"/>
      <c r="S342" s="2"/>
      <c r="T342" s="18"/>
      <c r="U342" s="18"/>
    </row>
    <row r="343" spans="1:21">
      <c r="A343" s="457">
        <v>2752</v>
      </c>
      <c r="B343" s="455">
        <v>844</v>
      </c>
      <c r="C343" s="455">
        <v>13548.9</v>
      </c>
      <c r="D343" s="455">
        <v>5294</v>
      </c>
      <c r="E343" s="455">
        <v>85224.4</v>
      </c>
      <c r="F343" s="455"/>
      <c r="G343" s="455"/>
      <c r="H343" s="455"/>
      <c r="I343" s="455"/>
      <c r="J343" s="455">
        <v>6138</v>
      </c>
      <c r="K343" s="455">
        <v>98773.299999999988</v>
      </c>
      <c r="L343" s="313">
        <f t="shared" si="2"/>
        <v>16.098299962221382</v>
      </c>
      <c r="M343">
        <f>IF(B343="","",VLOOKUP(A343,'AZ DL&amp;OH FG'!$A$7:$C$385,3,0)-B343)</f>
        <v>0</v>
      </c>
      <c r="N343">
        <f>IF(D343="","",VLOOKUP(A343&amp;"",'FL DL&amp;OH FG'!$A$7:$C$381,3,0)-D343)</f>
        <v>0</v>
      </c>
      <c r="O343" t="str">
        <f>IF(F343="","",VLOOKUP(A343,'TX DL&amp;OH FG'!$A$7:$C$261,3,0)-F343)</f>
        <v/>
      </c>
      <c r="P343" s="1"/>
      <c r="Q343" s="1"/>
      <c r="R343" s="1"/>
      <c r="S343" s="2"/>
      <c r="T343" s="18"/>
      <c r="U343" s="18"/>
    </row>
    <row r="344" spans="1:21">
      <c r="A344" s="457">
        <v>2753</v>
      </c>
      <c r="B344" s="455">
        <v>900</v>
      </c>
      <c r="C344" s="455">
        <v>19291.379999999997</v>
      </c>
      <c r="D344" s="455">
        <v>600</v>
      </c>
      <c r="E344" s="455">
        <v>12293.41</v>
      </c>
      <c r="F344" s="455"/>
      <c r="G344" s="455"/>
      <c r="H344" s="455"/>
      <c r="I344" s="455"/>
      <c r="J344" s="455">
        <v>1500</v>
      </c>
      <c r="K344" s="455">
        <v>31584.789999999997</v>
      </c>
      <c r="L344" s="313"/>
      <c r="M344">
        <f>IF(B344="","",VLOOKUP(A344,'AZ DL&amp;OH FG'!$A$7:$C$385,3,0)-B344)</f>
        <v>0</v>
      </c>
      <c r="N344">
        <f>IF(D344="","",VLOOKUP(A344&amp;"",'FL DL&amp;OH FG'!$A$7:$C$381,3,0)-D344)</f>
        <v>0</v>
      </c>
      <c r="O344" t="str">
        <f>IF(F344="","",VLOOKUP(A344,'TX DL&amp;OH FG'!$A$7:$C$261,3,0)-F344)</f>
        <v/>
      </c>
      <c r="P344" s="1"/>
      <c r="Q344" s="1"/>
      <c r="R344" s="1"/>
      <c r="S344" s="2"/>
      <c r="T344" s="18"/>
      <c r="U344" s="18"/>
    </row>
    <row r="345" spans="1:21">
      <c r="A345" s="457">
        <v>4101</v>
      </c>
      <c r="B345" s="455"/>
      <c r="C345" s="455"/>
      <c r="D345" s="455"/>
      <c r="E345" s="455"/>
      <c r="F345" s="455">
        <v>639</v>
      </c>
      <c r="G345" s="455">
        <v>23003.97</v>
      </c>
      <c r="H345" s="455"/>
      <c r="I345" s="455"/>
      <c r="J345" s="455">
        <v>639</v>
      </c>
      <c r="K345" s="455">
        <v>23003.97</v>
      </c>
      <c r="L345" s="313"/>
      <c r="M345" t="str">
        <f>IF(B345="","",VLOOKUP(A345,'AZ DL&amp;OH FG'!$A$7:$C$385,3,0)-B345)</f>
        <v/>
      </c>
      <c r="N345" t="str">
        <f>IF(D345="","",VLOOKUP(A345&amp;"",'FL DL&amp;OH FG'!$A$7:$C$381,3,0)-D345)</f>
        <v/>
      </c>
      <c r="O345">
        <f>IF(F345="","",VLOOKUP(A345,'TX DL&amp;OH FG'!$A$7:$C$261,3,0)-F345)</f>
        <v>0</v>
      </c>
      <c r="P345" s="1"/>
      <c r="Q345" s="1"/>
      <c r="R345" s="1"/>
      <c r="S345" s="2"/>
      <c r="T345" s="18"/>
      <c r="U345" s="18"/>
    </row>
    <row r="346" spans="1:21">
      <c r="A346" s="457">
        <v>4104</v>
      </c>
      <c r="B346" s="455"/>
      <c r="C346" s="455"/>
      <c r="D346" s="455"/>
      <c r="E346" s="455"/>
      <c r="F346" s="455">
        <v>41</v>
      </c>
      <c r="G346" s="455">
        <v>959.4</v>
      </c>
      <c r="H346" s="455"/>
      <c r="I346" s="455"/>
      <c r="J346" s="455">
        <v>41</v>
      </c>
      <c r="K346" s="455">
        <v>959.4</v>
      </c>
      <c r="L346" s="313"/>
      <c r="M346" t="str">
        <f>IF(B346="","",VLOOKUP(A346,'AZ DL&amp;OH FG'!$A$7:$C$385,3,0)-B346)</f>
        <v/>
      </c>
      <c r="N346" t="str">
        <f>IF(D346="","",VLOOKUP(A346&amp;"",'FL DL&amp;OH FG'!$A$7:$C$381,3,0)-D346)</f>
        <v/>
      </c>
      <c r="O346">
        <f>IF(F346="","",VLOOKUP(A346,'TX DL&amp;OH FG'!$A$7:$C$261,3,0)-F346)</f>
        <v>0</v>
      </c>
      <c r="P346" s="1"/>
      <c r="Q346" s="1"/>
      <c r="R346" s="1"/>
      <c r="S346" s="2"/>
      <c r="T346" s="18"/>
      <c r="U346" s="18"/>
    </row>
    <row r="347" spans="1:21">
      <c r="A347" s="457">
        <v>4113</v>
      </c>
      <c r="B347" s="455"/>
      <c r="C347" s="455"/>
      <c r="D347" s="455"/>
      <c r="E347" s="455"/>
      <c r="F347" s="455">
        <v>120</v>
      </c>
      <c r="G347" s="455">
        <v>3571.2000000000003</v>
      </c>
      <c r="H347" s="455"/>
      <c r="I347" s="455"/>
      <c r="J347" s="455">
        <v>120</v>
      </c>
      <c r="K347" s="455">
        <v>3571.2000000000003</v>
      </c>
      <c r="L347" s="313" t="e">
        <f t="shared" ref="L347:L410" si="3">E347/D347</f>
        <v>#DIV/0!</v>
      </c>
      <c r="M347" t="str">
        <f>IF(B347="","",VLOOKUP(A347,'AZ DL&amp;OH FG'!$A$7:$C$385,3,0)-B347)</f>
        <v/>
      </c>
      <c r="N347" t="str">
        <f>IF(D347="","",VLOOKUP(A347&amp;"",'FL DL&amp;OH FG'!$A$7:$C$381,3,0)-D347)</f>
        <v/>
      </c>
      <c r="O347">
        <f>IF(F347="","",VLOOKUP(A347,'TX DL&amp;OH FG'!$A$7:$C$261,3,0)-F347)</f>
        <v>0</v>
      </c>
      <c r="P347" s="1"/>
      <c r="Q347" s="1"/>
      <c r="R347" s="1"/>
      <c r="S347" s="2"/>
      <c r="T347" s="18"/>
      <c r="U347" s="18"/>
    </row>
    <row r="348" spans="1:21">
      <c r="A348" s="457">
        <v>4114</v>
      </c>
      <c r="B348" s="455"/>
      <c r="C348" s="455"/>
      <c r="D348" s="455"/>
      <c r="E348" s="455"/>
      <c r="F348" s="455">
        <v>1</v>
      </c>
      <c r="G348" s="455">
        <v>22.2</v>
      </c>
      <c r="H348" s="455"/>
      <c r="I348" s="455"/>
      <c r="J348" s="455">
        <v>1</v>
      </c>
      <c r="K348" s="455">
        <v>22.2</v>
      </c>
      <c r="L348" s="313" t="e">
        <f t="shared" si="3"/>
        <v>#DIV/0!</v>
      </c>
      <c r="M348" t="str">
        <f>IF(B348="","",VLOOKUP(A348,'AZ DL&amp;OH FG'!$A$7:$C$385,3,0)-B348)</f>
        <v/>
      </c>
      <c r="N348" t="str">
        <f>IF(D348="","",VLOOKUP(A348&amp;"",'FL DL&amp;OH FG'!$A$7:$C$381,3,0)-D348)</f>
        <v/>
      </c>
      <c r="O348">
        <f>IF(F348="","",VLOOKUP(A348,'TX DL&amp;OH FG'!$A$7:$C$261,3,0)-F348)</f>
        <v>0</v>
      </c>
      <c r="P348" s="1"/>
      <c r="Q348" s="1"/>
      <c r="R348" s="1"/>
      <c r="S348" s="2"/>
      <c r="T348" s="18"/>
      <c r="U348" s="18"/>
    </row>
    <row r="349" spans="1:21">
      <c r="A349" s="457">
        <v>4121</v>
      </c>
      <c r="B349" s="455"/>
      <c r="C349" s="455"/>
      <c r="D349" s="455"/>
      <c r="E349" s="455"/>
      <c r="F349" s="455">
        <v>1187</v>
      </c>
      <c r="G349" s="455">
        <v>27245.239999999998</v>
      </c>
      <c r="H349" s="455"/>
      <c r="I349" s="455"/>
      <c r="J349" s="455">
        <v>1187</v>
      </c>
      <c r="K349" s="455">
        <v>27245.239999999998</v>
      </c>
      <c r="L349" s="313" t="e">
        <f t="shared" si="3"/>
        <v>#DIV/0!</v>
      </c>
      <c r="M349" t="str">
        <f>IF(B349="","",VLOOKUP(A349,'AZ DL&amp;OH FG'!$A$7:$C$385,3,0)-B349)</f>
        <v/>
      </c>
      <c r="N349" t="str">
        <f>IF(D349="","",VLOOKUP(A349&amp;"",'FL DL&amp;OH FG'!$A$7:$C$381,3,0)-D349)</f>
        <v/>
      </c>
      <c r="O349">
        <f>IF(F349="","",VLOOKUP(A349,'TX DL&amp;OH FG'!$A$7:$C$261,3,0)-F349)</f>
        <v>0</v>
      </c>
      <c r="P349" s="259"/>
      <c r="Q349" s="1"/>
      <c r="R349" s="1"/>
      <c r="S349" s="2"/>
      <c r="T349" s="18"/>
      <c r="U349" s="18"/>
    </row>
    <row r="350" spans="1:21">
      <c r="A350" s="457">
        <v>4132</v>
      </c>
      <c r="B350" s="455"/>
      <c r="C350" s="455"/>
      <c r="D350" s="455"/>
      <c r="E350" s="455"/>
      <c r="F350" s="455">
        <v>63</v>
      </c>
      <c r="G350" s="455">
        <v>1417.5</v>
      </c>
      <c r="H350" s="455"/>
      <c r="I350" s="455"/>
      <c r="J350" s="455">
        <v>63</v>
      </c>
      <c r="K350" s="455">
        <v>1417.5</v>
      </c>
      <c r="L350" s="313" t="e">
        <f t="shared" si="3"/>
        <v>#DIV/0!</v>
      </c>
      <c r="M350" t="str">
        <f>IF(B350="","",VLOOKUP(A350,'AZ DL&amp;OH FG'!$A$7:$C$385,3,0)-B350)</f>
        <v/>
      </c>
      <c r="N350" t="str">
        <f>IF(D350="","",VLOOKUP(A350&amp;"",'FL DL&amp;OH FG'!$A$7:$C$381,3,0)-D350)</f>
        <v/>
      </c>
      <c r="O350">
        <f>IF(F350="","",VLOOKUP(A350,'TX DL&amp;OH FG'!$A$7:$C$261,3,0)-F350)</f>
        <v>0</v>
      </c>
      <c r="P350" s="259"/>
      <c r="Q350" s="1"/>
      <c r="R350" s="1"/>
      <c r="S350" s="2"/>
      <c r="T350" s="18"/>
      <c r="U350" s="18"/>
    </row>
    <row r="351" spans="1:21">
      <c r="A351" s="457">
        <v>4141</v>
      </c>
      <c r="B351" s="455"/>
      <c r="C351" s="455"/>
      <c r="D351" s="455"/>
      <c r="E351" s="455"/>
      <c r="F351" s="455">
        <v>918</v>
      </c>
      <c r="G351" s="455">
        <v>14786.41</v>
      </c>
      <c r="H351" s="455"/>
      <c r="I351" s="455"/>
      <c r="J351" s="455">
        <v>918</v>
      </c>
      <c r="K351" s="455">
        <v>14786.41</v>
      </c>
      <c r="L351" s="313" t="e">
        <f t="shared" si="3"/>
        <v>#DIV/0!</v>
      </c>
      <c r="M351" t="str">
        <f>IF(B351="","",VLOOKUP(A351,'AZ DL&amp;OH FG'!$A$7:$C$385,3,0)-B351)</f>
        <v/>
      </c>
      <c r="N351" t="str">
        <f>IF(D351="","",VLOOKUP(A351&amp;"",'FL DL&amp;OH FG'!$A$7:$C$381,3,0)-D351)</f>
        <v/>
      </c>
      <c r="O351">
        <f>IF(F351="","",VLOOKUP(A351,'TX DL&amp;OH FG'!$A$7:$C$261,3,0)-F351)</f>
        <v>0</v>
      </c>
      <c r="P351" s="259"/>
      <c r="Q351" s="1"/>
      <c r="R351" s="1"/>
      <c r="S351" s="2"/>
      <c r="T351" s="18"/>
      <c r="U351" s="18"/>
    </row>
    <row r="352" spans="1:21">
      <c r="A352" s="457">
        <v>4142</v>
      </c>
      <c r="B352" s="455"/>
      <c r="C352" s="455"/>
      <c r="D352" s="455"/>
      <c r="E352" s="455"/>
      <c r="F352" s="455">
        <v>2171</v>
      </c>
      <c r="G352" s="455">
        <v>39306.82</v>
      </c>
      <c r="H352" s="455"/>
      <c r="I352" s="455"/>
      <c r="J352" s="455">
        <v>2171</v>
      </c>
      <c r="K352" s="455">
        <v>39306.82</v>
      </c>
      <c r="L352" s="313" t="e">
        <f t="shared" si="3"/>
        <v>#DIV/0!</v>
      </c>
      <c r="M352" t="str">
        <f>IF(B352="","",VLOOKUP(A352,'AZ DL&amp;OH FG'!$A$7:$C$385,3,0)-B352)</f>
        <v/>
      </c>
      <c r="N352" t="str">
        <f>IF(D352="","",VLOOKUP(A352&amp;"",'FL DL&amp;OH FG'!$A$7:$C$381,3,0)-D352)</f>
        <v/>
      </c>
      <c r="O352">
        <f>IF(F352="","",VLOOKUP(A352,'TX DL&amp;OH FG'!$A$7:$C$261,3,0)-F352)</f>
        <v>0</v>
      </c>
      <c r="P352" s="1"/>
      <c r="Q352" s="1"/>
      <c r="R352" s="1"/>
      <c r="S352" s="2"/>
      <c r="T352" s="18"/>
      <c r="U352" s="18"/>
    </row>
    <row r="353" spans="1:21">
      <c r="A353" s="457">
        <v>4143</v>
      </c>
      <c r="B353" s="455"/>
      <c r="C353" s="455"/>
      <c r="D353" s="455"/>
      <c r="E353" s="455"/>
      <c r="F353" s="455">
        <v>1126</v>
      </c>
      <c r="G353" s="455">
        <v>15786.460000000001</v>
      </c>
      <c r="H353" s="455"/>
      <c r="I353" s="455"/>
      <c r="J353" s="455">
        <v>1126</v>
      </c>
      <c r="K353" s="455">
        <v>15786.460000000001</v>
      </c>
      <c r="L353" s="313" t="e">
        <f t="shared" si="3"/>
        <v>#DIV/0!</v>
      </c>
      <c r="M353" t="str">
        <f>IF(B353="","",VLOOKUP(A353,'AZ DL&amp;OH FG'!$A$7:$C$385,3,0)-B353)</f>
        <v/>
      </c>
      <c r="N353" t="str">
        <f>IF(D353="","",VLOOKUP(A353&amp;"",'FL DL&amp;OH FG'!$A$7:$C$381,3,0)-D353)</f>
        <v/>
      </c>
      <c r="O353">
        <f>IF(F353="","",VLOOKUP(A353,'TX DL&amp;OH FG'!$A$7:$C$261,3,0)-F353)</f>
        <v>0</v>
      </c>
      <c r="P353" s="1"/>
      <c r="Q353" s="1"/>
      <c r="R353" s="1"/>
      <c r="S353" s="2"/>
      <c r="T353" s="18"/>
      <c r="U353" s="18"/>
    </row>
    <row r="354" spans="1:21">
      <c r="A354" s="457">
        <v>4147</v>
      </c>
      <c r="B354" s="455"/>
      <c r="C354" s="455"/>
      <c r="D354" s="455"/>
      <c r="E354" s="455"/>
      <c r="F354" s="455">
        <v>191</v>
      </c>
      <c r="G354" s="455">
        <v>1353.18</v>
      </c>
      <c r="H354" s="455"/>
      <c r="I354" s="455"/>
      <c r="J354" s="455">
        <v>191</v>
      </c>
      <c r="K354" s="455">
        <v>1353.18</v>
      </c>
      <c r="L354" s="313" t="e">
        <f t="shared" si="3"/>
        <v>#DIV/0!</v>
      </c>
      <c r="M354" t="str">
        <f>IF(B354="","",VLOOKUP(A354,'AZ DL&amp;OH FG'!$A$7:$C$385,3,0)-B354)</f>
        <v/>
      </c>
      <c r="N354" t="str">
        <f>IF(D354="","",VLOOKUP(A354&amp;"",'FL DL&amp;OH FG'!$A$7:$C$381,3,0)-D354)</f>
        <v/>
      </c>
      <c r="O354">
        <f>IF(F354="","",VLOOKUP(A354,'TX DL&amp;OH FG'!$A$7:$C$261,3,0)-F354)</f>
        <v>0</v>
      </c>
      <c r="P354" s="1"/>
      <c r="Q354" s="1"/>
      <c r="R354" s="1"/>
      <c r="S354" s="2"/>
      <c r="T354" s="18"/>
      <c r="U354" s="18"/>
    </row>
    <row r="355" spans="1:21">
      <c r="A355" s="457">
        <v>4151</v>
      </c>
      <c r="B355" s="455"/>
      <c r="C355" s="455"/>
      <c r="D355" s="455"/>
      <c r="E355" s="455"/>
      <c r="F355" s="455">
        <v>560</v>
      </c>
      <c r="G355" s="455">
        <v>7721.12</v>
      </c>
      <c r="H355" s="455"/>
      <c r="I355" s="455"/>
      <c r="J355" s="455">
        <v>560</v>
      </c>
      <c r="K355" s="455">
        <v>7721.12</v>
      </c>
      <c r="L355" s="313" t="e">
        <f t="shared" si="3"/>
        <v>#DIV/0!</v>
      </c>
      <c r="M355" t="str">
        <f>IF(B355="","",VLOOKUP(A355,'AZ DL&amp;OH FG'!$A$7:$C$385,3,0)-B355)</f>
        <v/>
      </c>
      <c r="N355" t="str">
        <f>IF(D355="","",VLOOKUP(A355&amp;"",'FL DL&amp;OH FG'!$A$7:$C$381,3,0)-D355)</f>
        <v/>
      </c>
      <c r="O355">
        <f>IF(F355="","",VLOOKUP(A355,'TX DL&amp;OH FG'!$A$7:$C$261,3,0)-F355)</f>
        <v>0</v>
      </c>
      <c r="P355" s="1"/>
      <c r="Q355" s="1"/>
      <c r="R355" s="1"/>
      <c r="S355" s="2"/>
      <c r="T355" s="18"/>
      <c r="U355" s="18"/>
    </row>
    <row r="356" spans="1:21">
      <c r="A356" s="457">
        <v>4152</v>
      </c>
      <c r="B356" s="455"/>
      <c r="C356" s="455"/>
      <c r="D356" s="455"/>
      <c r="E356" s="455"/>
      <c r="F356" s="455">
        <v>6184</v>
      </c>
      <c r="G356" s="455">
        <v>111003.31</v>
      </c>
      <c r="H356" s="455"/>
      <c r="I356" s="455"/>
      <c r="J356" s="455">
        <v>6184</v>
      </c>
      <c r="K356" s="455">
        <v>111003.31</v>
      </c>
      <c r="L356" s="313" t="e">
        <f t="shared" si="3"/>
        <v>#DIV/0!</v>
      </c>
      <c r="M356" t="str">
        <f>IF(B356="","",VLOOKUP(A356,'AZ DL&amp;OH FG'!$A$7:$C$385,3,0)-B356)</f>
        <v/>
      </c>
      <c r="N356" t="str">
        <f>IF(D356="","",VLOOKUP(A356&amp;"",'FL DL&amp;OH FG'!$A$7:$C$381,3,0)-D356)</f>
        <v/>
      </c>
      <c r="O356">
        <f>IF(F356="","",VLOOKUP(A356,'TX DL&amp;OH FG'!$A$7:$C$261,3,0)-F356)</f>
        <v>0</v>
      </c>
      <c r="P356" s="1"/>
      <c r="Q356" s="1"/>
      <c r="R356" s="1"/>
      <c r="S356" s="2"/>
      <c r="T356" s="18"/>
      <c r="U356" s="18"/>
    </row>
    <row r="357" spans="1:21">
      <c r="A357" s="457">
        <v>4153</v>
      </c>
      <c r="B357" s="455"/>
      <c r="C357" s="455"/>
      <c r="D357" s="455"/>
      <c r="E357" s="455"/>
      <c r="F357" s="455">
        <v>2646</v>
      </c>
      <c r="G357" s="455">
        <v>32402.409999999996</v>
      </c>
      <c r="H357" s="455"/>
      <c r="I357" s="455"/>
      <c r="J357" s="455">
        <v>2646</v>
      </c>
      <c r="K357" s="455">
        <v>32402.409999999996</v>
      </c>
      <c r="L357" s="313" t="e">
        <f t="shared" si="3"/>
        <v>#DIV/0!</v>
      </c>
      <c r="M357" t="str">
        <f>IF(B357="","",VLOOKUP(A357,'AZ DL&amp;OH FG'!$A$7:$C$385,3,0)-B357)</f>
        <v/>
      </c>
      <c r="N357" t="str">
        <f>IF(D357="","",VLOOKUP(A357&amp;"",'FL DL&amp;OH FG'!$A$7:$C$381,3,0)-D357)</f>
        <v/>
      </c>
      <c r="O357">
        <f>IF(F357="","",VLOOKUP(A357,'TX DL&amp;OH FG'!$A$7:$C$261,3,0)-F357)</f>
        <v>0</v>
      </c>
      <c r="P357" s="1"/>
      <c r="Q357" s="1"/>
      <c r="R357" s="1"/>
      <c r="S357" s="2"/>
      <c r="T357" s="18"/>
      <c r="U357" s="18"/>
    </row>
    <row r="358" spans="1:21">
      <c r="A358" s="457">
        <v>4157</v>
      </c>
      <c r="B358" s="455"/>
      <c r="C358" s="455"/>
      <c r="D358" s="455"/>
      <c r="E358" s="455"/>
      <c r="F358" s="455">
        <v>283</v>
      </c>
      <c r="G358" s="455">
        <v>1758.36</v>
      </c>
      <c r="H358" s="455"/>
      <c r="I358" s="455"/>
      <c r="J358" s="455">
        <v>283</v>
      </c>
      <c r="K358" s="455">
        <v>1758.36</v>
      </c>
      <c r="L358" s="313" t="e">
        <f t="shared" si="3"/>
        <v>#DIV/0!</v>
      </c>
      <c r="M358" t="str">
        <f>IF(B358="","",VLOOKUP(A358,'AZ DL&amp;OH FG'!$A$7:$C$385,3,0)-B358)</f>
        <v/>
      </c>
      <c r="N358" t="str">
        <f>IF(D358="","",VLOOKUP(A358&amp;"",'FL DL&amp;OH FG'!$A$7:$C$381,3,0)-D358)</f>
        <v/>
      </c>
      <c r="O358">
        <f>IF(F358="","",VLOOKUP(A358,'TX DL&amp;OH FG'!$A$7:$C$261,3,0)-F358)</f>
        <v>0</v>
      </c>
      <c r="P358" s="1"/>
      <c r="Q358" s="1"/>
      <c r="R358" s="1"/>
      <c r="S358" s="2"/>
      <c r="T358" s="18"/>
      <c r="U358" s="18"/>
    </row>
    <row r="359" spans="1:21">
      <c r="A359" s="457">
        <v>4161</v>
      </c>
      <c r="B359" s="455"/>
      <c r="C359" s="455"/>
      <c r="D359" s="455"/>
      <c r="E359" s="455"/>
      <c r="F359" s="455">
        <v>792</v>
      </c>
      <c r="G359" s="455">
        <v>22176</v>
      </c>
      <c r="H359" s="455"/>
      <c r="I359" s="455"/>
      <c r="J359" s="455">
        <v>792</v>
      </c>
      <c r="K359" s="455">
        <v>22176</v>
      </c>
      <c r="L359" s="313" t="e">
        <f t="shared" si="3"/>
        <v>#DIV/0!</v>
      </c>
      <c r="M359" t="str">
        <f>IF(B359="","",VLOOKUP(A359,'AZ DL&amp;OH FG'!$A$7:$C$385,3,0)-B359)</f>
        <v/>
      </c>
      <c r="N359" t="str">
        <f>IF(D359="","",VLOOKUP(A359&amp;"",'FL DL&amp;OH FG'!$A$7:$C$381,3,0)-D359)</f>
        <v/>
      </c>
      <c r="O359">
        <f>IF(F359="","",VLOOKUP(A359,'TX DL&amp;OH FG'!$A$7:$C$261,3,0)-F359)</f>
        <v>0</v>
      </c>
      <c r="P359" s="1"/>
      <c r="Q359" s="1"/>
      <c r="R359" s="1"/>
      <c r="S359" s="2"/>
      <c r="T359" s="18"/>
      <c r="U359" s="18"/>
    </row>
    <row r="360" spans="1:21">
      <c r="A360" s="457">
        <v>4175</v>
      </c>
      <c r="B360" s="455"/>
      <c r="C360" s="455"/>
      <c r="D360" s="455"/>
      <c r="E360" s="455"/>
      <c r="F360" s="455">
        <v>753</v>
      </c>
      <c r="G360" s="455">
        <v>16343.689999999999</v>
      </c>
      <c r="H360" s="455"/>
      <c r="I360" s="455"/>
      <c r="J360" s="455">
        <v>753</v>
      </c>
      <c r="K360" s="455">
        <v>16343.689999999999</v>
      </c>
      <c r="L360" s="313" t="e">
        <f t="shared" si="3"/>
        <v>#DIV/0!</v>
      </c>
      <c r="M360" t="str">
        <f>IF(B360="","",VLOOKUP(A360,'AZ DL&amp;OH FG'!$A$7:$C$385,3,0)-B360)</f>
        <v/>
      </c>
      <c r="N360" t="str">
        <f>IF(D360="","",VLOOKUP(A360&amp;"",'FL DL&amp;OH FG'!$A$7:$C$381,3,0)-D360)</f>
        <v/>
      </c>
      <c r="O360">
        <f>IF(F360="","",VLOOKUP(A360,'TX DL&amp;OH FG'!$A$7:$C$261,3,0)-F360)</f>
        <v>0</v>
      </c>
      <c r="P360" s="1"/>
      <c r="Q360" s="1"/>
      <c r="R360" s="1"/>
      <c r="S360" s="2"/>
      <c r="T360" s="18"/>
      <c r="U360" s="18"/>
    </row>
    <row r="361" spans="1:21">
      <c r="A361" s="457">
        <v>4177</v>
      </c>
      <c r="B361" s="455"/>
      <c r="C361" s="455"/>
      <c r="D361" s="455"/>
      <c r="E361" s="455"/>
      <c r="F361" s="455">
        <v>2605</v>
      </c>
      <c r="G361" s="455">
        <v>50257.490000000005</v>
      </c>
      <c r="H361" s="455"/>
      <c r="I361" s="455"/>
      <c r="J361" s="455">
        <v>2605</v>
      </c>
      <c r="K361" s="455">
        <v>50257.490000000005</v>
      </c>
      <c r="L361" s="313" t="e">
        <f t="shared" si="3"/>
        <v>#DIV/0!</v>
      </c>
      <c r="M361" t="str">
        <f>IF(B361="","",VLOOKUP(A361,'AZ DL&amp;OH FG'!$A$7:$C$385,3,0)-B361)</f>
        <v/>
      </c>
      <c r="N361" t="str">
        <f>IF(D361="","",VLOOKUP(A361&amp;"",'FL DL&amp;OH FG'!$A$7:$C$381,3,0)-D361)</f>
        <v/>
      </c>
      <c r="O361">
        <f>IF(F361="","",VLOOKUP(A361,'TX DL&amp;OH FG'!$A$7:$C$261,3,0)-F361)</f>
        <v>0</v>
      </c>
      <c r="P361" s="1"/>
      <c r="Q361" s="1"/>
      <c r="R361" s="1"/>
      <c r="S361" s="2"/>
      <c r="T361" s="18"/>
      <c r="U361" s="18"/>
    </row>
    <row r="362" spans="1:21">
      <c r="A362" s="457">
        <v>4202</v>
      </c>
      <c r="B362" s="455">
        <v>411</v>
      </c>
      <c r="C362" s="455">
        <v>4406.82</v>
      </c>
      <c r="D362" s="455">
        <v>3485</v>
      </c>
      <c r="E362" s="455">
        <v>42418.37</v>
      </c>
      <c r="F362" s="455"/>
      <c r="G362" s="455"/>
      <c r="H362" s="455"/>
      <c r="I362" s="455"/>
      <c r="J362" s="455">
        <v>3896</v>
      </c>
      <c r="K362" s="455">
        <v>46825.19</v>
      </c>
      <c r="L362" s="313">
        <f t="shared" si="3"/>
        <v>12.171698708751794</v>
      </c>
      <c r="M362">
        <f>IF(B362="","",VLOOKUP(A362,'AZ DL&amp;OH FG'!$A$7:$C$385,3,0)-B362)</f>
        <v>0</v>
      </c>
      <c r="N362">
        <f>IF(D362="","",VLOOKUP(A362&amp;"",'FL DL&amp;OH FG'!$A$7:$C$381,3,0)-D362)</f>
        <v>0</v>
      </c>
      <c r="O362" t="str">
        <f>IF(F362="","",VLOOKUP(A362,'TX DL&amp;OH FG'!$A$7:$C$261,3,0)-F362)</f>
        <v/>
      </c>
      <c r="P362" s="1"/>
      <c r="Q362" s="1"/>
      <c r="R362" s="1"/>
      <c r="S362" s="2"/>
      <c r="T362" s="18"/>
      <c r="U362" s="18"/>
    </row>
    <row r="363" spans="1:21">
      <c r="A363" s="457">
        <v>4225</v>
      </c>
      <c r="B363" s="455">
        <v>245</v>
      </c>
      <c r="C363" s="455">
        <v>1538.21</v>
      </c>
      <c r="D363" s="455">
        <v>1689</v>
      </c>
      <c r="E363" s="455">
        <v>11433.73</v>
      </c>
      <c r="F363" s="455"/>
      <c r="G363" s="455"/>
      <c r="H363" s="455"/>
      <c r="I363" s="455"/>
      <c r="J363" s="455">
        <v>1934</v>
      </c>
      <c r="K363" s="455">
        <v>12971.939999999999</v>
      </c>
      <c r="L363" s="313">
        <f t="shared" si="3"/>
        <v>6.7695263469508582</v>
      </c>
      <c r="M363">
        <f>IF(B363="","",VLOOKUP(A363,'AZ DL&amp;OH FG'!$A$7:$C$385,3,0)-B363)</f>
        <v>0</v>
      </c>
      <c r="N363">
        <f>IF(D363="","",VLOOKUP(A363&amp;"",'FL DL&amp;OH FG'!$A$7:$C$381,3,0)-D363)</f>
        <v>0</v>
      </c>
      <c r="O363" t="str">
        <f>IF(F363="","",VLOOKUP(A363,'TX DL&amp;OH FG'!$A$7:$C$261,3,0)-F363)</f>
        <v/>
      </c>
      <c r="P363" s="1"/>
      <c r="Q363" s="1"/>
      <c r="R363" s="1"/>
      <c r="S363" s="2"/>
      <c r="T363" s="18"/>
      <c r="U363" s="18"/>
    </row>
    <row r="364" spans="1:21">
      <c r="A364" s="457">
        <v>4227</v>
      </c>
      <c r="B364" s="455"/>
      <c r="C364" s="455"/>
      <c r="D364" s="455">
        <v>994</v>
      </c>
      <c r="E364" s="455">
        <v>17701.84</v>
      </c>
      <c r="F364" s="455"/>
      <c r="G364" s="455"/>
      <c r="H364" s="455"/>
      <c r="I364" s="455"/>
      <c r="J364" s="455">
        <v>994</v>
      </c>
      <c r="K364" s="455">
        <v>17701.84</v>
      </c>
      <c r="L364" s="313">
        <f t="shared" si="3"/>
        <v>17.808692152917505</v>
      </c>
      <c r="M364" t="str">
        <f>IF(B364="","",VLOOKUP(A364,'AZ DL&amp;OH FG'!$A$7:$C$385,3,0)-B364)</f>
        <v/>
      </c>
      <c r="N364">
        <f>IF(D364="","",VLOOKUP(A364&amp;"",'FL DL&amp;OH FG'!$A$7:$C$381,3,0)-D364)</f>
        <v>0</v>
      </c>
      <c r="O364" t="str">
        <f>IF(F364="","",VLOOKUP(A364,'TX DL&amp;OH FG'!$A$7:$C$261,3,0)-F364)</f>
        <v/>
      </c>
      <c r="P364" s="1"/>
      <c r="Q364" s="1"/>
      <c r="R364" s="1"/>
      <c r="S364" s="2"/>
      <c r="T364" s="18"/>
      <c r="U364" s="18"/>
    </row>
    <row r="365" spans="1:21">
      <c r="A365" s="457">
        <v>4502</v>
      </c>
      <c r="B365" s="455">
        <v>2780</v>
      </c>
      <c r="C365" s="455">
        <v>42696.77</v>
      </c>
      <c r="D365" s="455">
        <v>2746</v>
      </c>
      <c r="E365" s="455">
        <v>43947.66</v>
      </c>
      <c r="F365" s="455"/>
      <c r="G365" s="455"/>
      <c r="H365" s="455"/>
      <c r="I365" s="455"/>
      <c r="J365" s="455">
        <v>5526</v>
      </c>
      <c r="K365" s="455">
        <v>86644.43</v>
      </c>
      <c r="L365" s="313">
        <f t="shared" si="3"/>
        <v>16.004246176256373</v>
      </c>
      <c r="M365">
        <f>IF(B365="","",VLOOKUP(A365,'AZ DL&amp;OH FG'!$A$7:$C$385,3,0)-B365)</f>
        <v>0</v>
      </c>
      <c r="N365">
        <f>IF(D365="","",VLOOKUP(A365&amp;"",'FL DL&amp;OH FG'!$A$7:$C$381,3,0)-D365)</f>
        <v>0</v>
      </c>
      <c r="O365" t="str">
        <f>IF(F365="","",VLOOKUP(A365,'TX DL&amp;OH FG'!$A$7:$C$261,3,0)-F365)</f>
        <v/>
      </c>
      <c r="P365" s="1"/>
      <c r="Q365" s="1"/>
      <c r="R365" s="1"/>
      <c r="S365" s="2"/>
      <c r="T365" s="18"/>
      <c r="U365" s="18"/>
    </row>
    <row r="366" spans="1:21">
      <c r="A366" s="457">
        <v>4506</v>
      </c>
      <c r="B366" s="455">
        <v>1863</v>
      </c>
      <c r="C366" s="455">
        <v>22632.35</v>
      </c>
      <c r="D366" s="455">
        <v>952</v>
      </c>
      <c r="E366" s="455">
        <v>12027.18</v>
      </c>
      <c r="F366" s="455"/>
      <c r="G366" s="455"/>
      <c r="H366" s="455"/>
      <c r="I366" s="455"/>
      <c r="J366" s="455">
        <v>2815</v>
      </c>
      <c r="K366" s="455">
        <v>34659.53</v>
      </c>
      <c r="L366" s="313">
        <f t="shared" si="3"/>
        <v>12.633592436974791</v>
      </c>
      <c r="M366">
        <f>IF(B366="","",VLOOKUP(A366,'AZ DL&amp;OH FG'!$A$7:$C$385,3,0)-B366)</f>
        <v>0</v>
      </c>
      <c r="N366">
        <f>IF(D366="","",VLOOKUP(A366&amp;"",'FL DL&amp;OH FG'!$A$7:$C$381,3,0)-D366)</f>
        <v>0</v>
      </c>
      <c r="O366" t="str">
        <f>IF(F366="","",VLOOKUP(A366,'TX DL&amp;OH FG'!$A$7:$C$261,3,0)-F366)</f>
        <v/>
      </c>
      <c r="P366" s="1"/>
      <c r="Q366" s="1"/>
      <c r="R366" s="1"/>
      <c r="S366" s="2"/>
      <c r="T366" s="18"/>
      <c r="U366" s="18"/>
    </row>
    <row r="367" spans="1:21">
      <c r="A367" s="457">
        <v>4508</v>
      </c>
      <c r="B367" s="455">
        <v>1197</v>
      </c>
      <c r="C367" s="455">
        <v>18212.349999999999</v>
      </c>
      <c r="D367" s="455"/>
      <c r="E367" s="455"/>
      <c r="F367" s="455"/>
      <c r="G367" s="455"/>
      <c r="H367" s="455"/>
      <c r="I367" s="455"/>
      <c r="J367" s="455">
        <v>1197</v>
      </c>
      <c r="K367" s="455">
        <v>18212.349999999999</v>
      </c>
      <c r="L367" s="313" t="e">
        <f t="shared" si="3"/>
        <v>#DIV/0!</v>
      </c>
      <c r="M367">
        <f>IF(B367="","",VLOOKUP(A367,'AZ DL&amp;OH FG'!$A$7:$C$385,3,0)-B367)</f>
        <v>0</v>
      </c>
      <c r="N367" t="str">
        <f>IF(D367="","",VLOOKUP(A367&amp;"",'FL DL&amp;OH FG'!$A$7:$C$381,3,0)-D367)</f>
        <v/>
      </c>
      <c r="O367" t="str">
        <f>IF(F367="","",VLOOKUP(A367,'TX DL&amp;OH FG'!$A$7:$C$261,3,0)-F367)</f>
        <v/>
      </c>
      <c r="P367" s="1"/>
      <c r="Q367" s="1"/>
      <c r="R367" s="1"/>
      <c r="S367" s="2"/>
      <c r="T367" s="18"/>
      <c r="U367" s="18"/>
    </row>
    <row r="368" spans="1:21">
      <c r="A368" s="457">
        <v>4513</v>
      </c>
      <c r="B368" s="455">
        <v>1277</v>
      </c>
      <c r="C368" s="455">
        <v>15196.929999999998</v>
      </c>
      <c r="D368" s="455">
        <v>234</v>
      </c>
      <c r="E368" s="455">
        <v>2931.34</v>
      </c>
      <c r="F368" s="455"/>
      <c r="G368" s="455"/>
      <c r="H368" s="455"/>
      <c r="I368" s="455"/>
      <c r="J368" s="455">
        <v>1511</v>
      </c>
      <c r="K368" s="455">
        <v>18128.269999999997</v>
      </c>
      <c r="L368" s="313">
        <f t="shared" si="3"/>
        <v>12.527094017094019</v>
      </c>
      <c r="M368">
        <f>IF(B368="","",VLOOKUP(A368,'AZ DL&amp;OH FG'!$A$7:$C$385,3,0)-B368)</f>
        <v>0</v>
      </c>
      <c r="N368">
        <f>IF(D368="","",VLOOKUP(A368&amp;"",'FL DL&amp;OH FG'!$A$7:$C$381,3,0)-D368)</f>
        <v>0</v>
      </c>
      <c r="O368" t="str">
        <f>IF(F368="","",VLOOKUP(A368,'TX DL&amp;OH FG'!$A$7:$C$261,3,0)-F368)</f>
        <v/>
      </c>
      <c r="P368" s="1"/>
      <c r="Q368" s="1"/>
      <c r="R368" s="1"/>
      <c r="S368" s="2"/>
      <c r="T368" s="18"/>
      <c r="U368" s="18"/>
    </row>
    <row r="369" spans="1:21">
      <c r="A369" s="457">
        <v>4514</v>
      </c>
      <c r="B369" s="455">
        <v>1015</v>
      </c>
      <c r="C369" s="455">
        <v>12250.939999999999</v>
      </c>
      <c r="D369" s="455"/>
      <c r="E369" s="455"/>
      <c r="F369" s="455"/>
      <c r="G369" s="455"/>
      <c r="H369" s="455"/>
      <c r="I369" s="455"/>
      <c r="J369" s="455">
        <v>1015</v>
      </c>
      <c r="K369" s="455">
        <v>12250.939999999999</v>
      </c>
      <c r="L369" s="313" t="e">
        <f t="shared" si="3"/>
        <v>#DIV/0!</v>
      </c>
      <c r="M369">
        <f>IF(B369="","",VLOOKUP(A369,'AZ DL&amp;OH FG'!$A$7:$C$385,3,0)-B369)</f>
        <v>0</v>
      </c>
      <c r="N369" t="str">
        <f>IF(D369="","",VLOOKUP(A369&amp;"",'FL DL&amp;OH FG'!$A$7:$C$381,3,0)-D369)</f>
        <v/>
      </c>
      <c r="O369" t="str">
        <f>IF(F369="","",VLOOKUP(A369,'TX DL&amp;OH FG'!$A$7:$C$261,3,0)-F369)</f>
        <v/>
      </c>
      <c r="P369" s="1"/>
      <c r="Q369" s="1"/>
      <c r="R369" s="1"/>
      <c r="S369" s="2"/>
      <c r="T369" s="18"/>
      <c r="U369" s="18"/>
    </row>
    <row r="370" spans="1:21">
      <c r="A370" s="457">
        <v>4516</v>
      </c>
      <c r="B370" s="455">
        <v>2173</v>
      </c>
      <c r="C370" s="455">
        <v>14263.79</v>
      </c>
      <c r="D370" s="455">
        <v>1315</v>
      </c>
      <c r="E370" s="455">
        <v>9240.36</v>
      </c>
      <c r="F370" s="455"/>
      <c r="G370" s="455"/>
      <c r="H370" s="455"/>
      <c r="I370" s="455"/>
      <c r="J370" s="455">
        <v>3488</v>
      </c>
      <c r="K370" s="455">
        <v>23504.15</v>
      </c>
      <c r="L370" s="313">
        <f t="shared" si="3"/>
        <v>7.0268897338403047</v>
      </c>
      <c r="M370">
        <f>IF(B370="","",VLOOKUP(A370,'AZ DL&amp;OH FG'!$A$7:$C$385,3,0)-B370)</f>
        <v>0</v>
      </c>
      <c r="N370">
        <f>IF(D370="","",VLOOKUP(A370&amp;"",'FL DL&amp;OH FG'!$A$7:$C$381,3,0)-D370)</f>
        <v>0</v>
      </c>
      <c r="O370" t="str">
        <f>IF(F370="","",VLOOKUP(A370,'TX DL&amp;OH FG'!$A$7:$C$261,3,0)-F370)</f>
        <v/>
      </c>
      <c r="P370" s="1"/>
      <c r="Q370" s="1"/>
      <c r="R370" s="1"/>
      <c r="S370" s="2"/>
      <c r="T370" s="18"/>
      <c r="U370" s="18"/>
    </row>
    <row r="371" spans="1:21">
      <c r="A371" s="457">
        <v>4591</v>
      </c>
      <c r="B371" s="455">
        <v>1440</v>
      </c>
      <c r="C371" s="455">
        <v>22009.94</v>
      </c>
      <c r="D371" s="455">
        <v>1999</v>
      </c>
      <c r="E371" s="455">
        <v>32163.989999999998</v>
      </c>
      <c r="F371" s="455"/>
      <c r="G371" s="455"/>
      <c r="H371" s="455"/>
      <c r="I371" s="455"/>
      <c r="J371" s="455">
        <v>3439</v>
      </c>
      <c r="K371" s="455">
        <v>54173.929999999993</v>
      </c>
      <c r="L371" s="313">
        <f t="shared" si="3"/>
        <v>16.090040020010004</v>
      </c>
      <c r="M371">
        <f>IF(B371="","",VLOOKUP(A371,'AZ DL&amp;OH FG'!$A$7:$C$385,3,0)-B371)</f>
        <v>0</v>
      </c>
      <c r="N371">
        <f>IF(D371="","",VLOOKUP(A371&amp;"",'FL DL&amp;OH FG'!$A$7:$C$381,3,0)-D371)</f>
        <v>0</v>
      </c>
      <c r="O371" t="str">
        <f>IF(F371="","",VLOOKUP(A371,'TX DL&amp;OH FG'!$A$7:$C$261,3,0)-F371)</f>
        <v/>
      </c>
      <c r="P371" s="1"/>
      <c r="Q371" s="1"/>
      <c r="R371" s="1"/>
      <c r="S371" s="2"/>
      <c r="T371" s="18"/>
      <c r="U371" s="18"/>
    </row>
    <row r="372" spans="1:21">
      <c r="A372" s="457">
        <v>4593</v>
      </c>
      <c r="B372" s="455"/>
      <c r="C372" s="455"/>
      <c r="D372" s="455">
        <v>3770</v>
      </c>
      <c r="E372" s="455">
        <v>26363.98</v>
      </c>
      <c r="F372" s="455"/>
      <c r="G372" s="455"/>
      <c r="H372" s="455"/>
      <c r="I372" s="455"/>
      <c r="J372" s="455">
        <v>3770</v>
      </c>
      <c r="K372" s="455">
        <v>26363.98</v>
      </c>
      <c r="L372" s="313">
        <f t="shared" si="3"/>
        <v>6.9930981432360744</v>
      </c>
      <c r="M372" t="str">
        <f>IF(B372="","",VLOOKUP(A372,'AZ DL&amp;OH FG'!$A$7:$C$385,3,0)-B372)</f>
        <v/>
      </c>
      <c r="N372">
        <f>IF(D372="","",VLOOKUP(A372&amp;"",'FL DL&amp;OH FG'!$A$7:$C$381,3,0)-D372)</f>
        <v>0</v>
      </c>
      <c r="O372" t="str">
        <f>IF(F372="","",VLOOKUP(A372,'TX DL&amp;OH FG'!$A$7:$C$261,3,0)-F372)</f>
        <v/>
      </c>
      <c r="P372" s="1"/>
      <c r="Q372" s="1"/>
      <c r="R372" s="1"/>
      <c r="S372" s="2"/>
      <c r="T372" s="18"/>
      <c r="U372" s="18"/>
    </row>
    <row r="373" spans="1:21">
      <c r="A373" s="457">
        <v>4617</v>
      </c>
      <c r="B373" s="455">
        <v>368</v>
      </c>
      <c r="C373" s="455">
        <v>5502.85</v>
      </c>
      <c r="D373" s="455">
        <v>1380</v>
      </c>
      <c r="E373" s="455">
        <v>20087.009999999998</v>
      </c>
      <c r="F373" s="455"/>
      <c r="G373" s="455"/>
      <c r="H373" s="455"/>
      <c r="I373" s="455"/>
      <c r="J373" s="455">
        <v>1748</v>
      </c>
      <c r="K373" s="455">
        <v>25589.86</v>
      </c>
      <c r="L373" s="313">
        <f t="shared" si="3"/>
        <v>14.555804347826086</v>
      </c>
      <c r="M373">
        <f>IF(B373="","",VLOOKUP(A373,'AZ DL&amp;OH FG'!$A$7:$C$385,3,0)-B373)</f>
        <v>0</v>
      </c>
      <c r="N373">
        <f>IF(D373="","",VLOOKUP(A373&amp;"",'FL DL&amp;OH FG'!$A$7:$C$381,3,0)-D373)</f>
        <v>0</v>
      </c>
      <c r="O373" t="str">
        <f>IF(F373="","",VLOOKUP(A373,'TX DL&amp;OH FG'!$A$7:$C$261,3,0)-F373)</f>
        <v/>
      </c>
      <c r="P373" s="1"/>
      <c r="Q373" s="1"/>
      <c r="R373" s="1"/>
      <c r="S373" s="2"/>
      <c r="T373" s="18"/>
      <c r="U373" s="18"/>
    </row>
    <row r="374" spans="1:21">
      <c r="A374" s="457">
        <v>4800</v>
      </c>
      <c r="B374" s="455">
        <v>29941.37</v>
      </c>
      <c r="C374" s="455">
        <v>5721.74</v>
      </c>
      <c r="D374" s="455">
        <v>1855.63</v>
      </c>
      <c r="E374" s="455">
        <v>357.25</v>
      </c>
      <c r="F374" s="455"/>
      <c r="G374" s="455"/>
      <c r="H374" s="455"/>
      <c r="I374" s="455"/>
      <c r="J374" s="455">
        <v>31797</v>
      </c>
      <c r="K374" s="455">
        <v>6078.99</v>
      </c>
      <c r="L374" s="313">
        <f t="shared" si="3"/>
        <v>0.19252221617456064</v>
      </c>
      <c r="M374">
        <f>IF(B374="","",VLOOKUP(A374,'AZ DL&amp;OH FG'!$A$7:$C$385,3,0)-B374)</f>
        <v>0</v>
      </c>
      <c r="N374">
        <f>IF(D374="","",VLOOKUP(A374&amp;"",'FL DL&amp;OH FG'!$A$7:$C$381,3,0)-D374)</f>
        <v>0</v>
      </c>
      <c r="O374" t="str">
        <f>IF(F374="","",VLOOKUP(A374,'TX DL&amp;OH FG'!$A$7:$C$261,3,0)-F374)</f>
        <v/>
      </c>
      <c r="P374" s="1"/>
      <c r="Q374" s="1"/>
      <c r="R374" s="1"/>
      <c r="S374" s="2"/>
      <c r="T374" s="18"/>
      <c r="U374" s="18"/>
    </row>
    <row r="375" spans="1:21">
      <c r="A375" s="457">
        <v>4845</v>
      </c>
      <c r="B375" s="455">
        <v>1003.4</v>
      </c>
      <c r="C375" s="455">
        <v>313.36</v>
      </c>
      <c r="D375" s="455"/>
      <c r="E375" s="455"/>
      <c r="F375" s="455"/>
      <c r="G375" s="455"/>
      <c r="H375" s="455"/>
      <c r="I375" s="455"/>
      <c r="J375" s="455">
        <v>1003.4</v>
      </c>
      <c r="K375" s="455">
        <v>313.36</v>
      </c>
      <c r="L375" s="313" t="e">
        <f t="shared" si="3"/>
        <v>#DIV/0!</v>
      </c>
      <c r="M375">
        <f>IF(B375="","",VLOOKUP(A375,'AZ DL&amp;OH FG'!$A$7:$C$385,3,0)-B375)</f>
        <v>0</v>
      </c>
      <c r="N375" t="str">
        <f>IF(D375="","",VLOOKUP(A375&amp;"",'FL DL&amp;OH FG'!$A$7:$C$381,3,0)-D375)</f>
        <v/>
      </c>
      <c r="O375" t="str">
        <f>IF(F375="","",VLOOKUP(A375,'TX DL&amp;OH FG'!$A$7:$C$261,3,0)-F375)</f>
        <v/>
      </c>
      <c r="P375" s="1"/>
      <c r="Q375" s="1"/>
      <c r="R375" s="1"/>
      <c r="S375" s="2"/>
      <c r="T375" s="18"/>
      <c r="U375" s="18"/>
    </row>
    <row r="376" spans="1:21">
      <c r="A376" s="457">
        <v>5002</v>
      </c>
      <c r="B376" s="455">
        <v>230</v>
      </c>
      <c r="C376" s="455">
        <v>2234.25</v>
      </c>
      <c r="D376" s="455">
        <v>576</v>
      </c>
      <c r="E376" s="455">
        <v>5675.94</v>
      </c>
      <c r="F376" s="455"/>
      <c r="G376" s="455"/>
      <c r="H376" s="455"/>
      <c r="I376" s="455"/>
      <c r="J376" s="455">
        <v>806</v>
      </c>
      <c r="K376" s="455">
        <v>7910.19</v>
      </c>
      <c r="L376" s="313">
        <f t="shared" si="3"/>
        <v>9.8540624999999995</v>
      </c>
      <c r="M376">
        <f>IF(B376="","",VLOOKUP(A376,'AZ DL&amp;OH FG'!$A$7:$C$385,3,0)-B376)</f>
        <v>0</v>
      </c>
      <c r="N376">
        <f>IF(D376="","",VLOOKUP(A376&amp;"",'FL DL&amp;OH FG'!$A$7:$C$381,3,0)-D376)</f>
        <v>0</v>
      </c>
      <c r="O376" t="str">
        <f>IF(F376="","",VLOOKUP(A376,'TX DL&amp;OH FG'!$A$7:$C$261,3,0)-F376)</f>
        <v/>
      </c>
      <c r="P376" s="1"/>
      <c r="Q376" s="1"/>
      <c r="R376" s="1"/>
      <c r="S376" s="2"/>
      <c r="T376" s="18"/>
      <c r="U376" s="18"/>
    </row>
    <row r="377" spans="1:21">
      <c r="A377" s="457">
        <v>5006</v>
      </c>
      <c r="B377" s="455">
        <v>677</v>
      </c>
      <c r="C377" s="455">
        <v>6615.91</v>
      </c>
      <c r="D377" s="455"/>
      <c r="E377" s="455"/>
      <c r="F377" s="455"/>
      <c r="G377" s="455"/>
      <c r="H377" s="455"/>
      <c r="I377" s="455"/>
      <c r="J377" s="455">
        <v>677</v>
      </c>
      <c r="K377" s="455">
        <v>6615.91</v>
      </c>
      <c r="L377" s="313" t="e">
        <f t="shared" si="3"/>
        <v>#DIV/0!</v>
      </c>
      <c r="M377">
        <f>IF(B377="","",VLOOKUP(A377,'AZ DL&amp;OH FG'!$A$7:$C$385,3,0)-B377)</f>
        <v>0</v>
      </c>
      <c r="N377" t="str">
        <f>IF(D377="","",VLOOKUP(A377&amp;"",'FL DL&amp;OH FG'!$A$7:$C$381,3,0)-D377)</f>
        <v/>
      </c>
      <c r="O377" t="str">
        <f>IF(F377="","",VLOOKUP(A377,'TX DL&amp;OH FG'!$A$7:$C$261,3,0)-F377)</f>
        <v/>
      </c>
      <c r="P377" s="1"/>
      <c r="Q377" s="1"/>
      <c r="R377" s="1"/>
      <c r="S377" s="2"/>
      <c r="T377" s="18"/>
      <c r="U377" s="18"/>
    </row>
    <row r="378" spans="1:21">
      <c r="A378" s="457">
        <v>5014</v>
      </c>
      <c r="B378" s="455">
        <v>779</v>
      </c>
      <c r="C378" s="455">
        <v>8070.6</v>
      </c>
      <c r="D378" s="455">
        <v>898</v>
      </c>
      <c r="E378" s="455">
        <v>9384.01</v>
      </c>
      <c r="F378" s="455"/>
      <c r="G378" s="455"/>
      <c r="H378" s="455"/>
      <c r="I378" s="455"/>
      <c r="J378" s="455">
        <v>1677</v>
      </c>
      <c r="K378" s="455">
        <v>17454.61</v>
      </c>
      <c r="L378" s="313">
        <f t="shared" si="3"/>
        <v>10.449899777282852</v>
      </c>
      <c r="M378">
        <f>IF(B378="","",VLOOKUP(A378,'AZ DL&amp;OH FG'!$A$7:$C$385,3,0)-B378)</f>
        <v>0</v>
      </c>
      <c r="N378">
        <f>IF(D378="","",VLOOKUP(A378&amp;"",'FL DL&amp;OH FG'!$A$7:$C$381,3,0)-D378)</f>
        <v>0</v>
      </c>
      <c r="O378" t="str">
        <f>IF(F378="","",VLOOKUP(A378,'TX DL&amp;OH FG'!$A$7:$C$261,3,0)-F378)</f>
        <v/>
      </c>
      <c r="P378" s="1"/>
      <c r="Q378" s="1"/>
      <c r="R378" s="1"/>
      <c r="S378" s="2"/>
      <c r="T378" s="18"/>
      <c r="U378" s="18"/>
    </row>
    <row r="379" spans="1:21">
      <c r="A379" s="457">
        <v>5016</v>
      </c>
      <c r="B379" s="455"/>
      <c r="C379" s="455"/>
      <c r="D379" s="455">
        <v>648</v>
      </c>
      <c r="E379" s="455">
        <v>6373.66</v>
      </c>
      <c r="F379" s="455"/>
      <c r="G379" s="455"/>
      <c r="H379" s="455"/>
      <c r="I379" s="455"/>
      <c r="J379" s="455">
        <v>648</v>
      </c>
      <c r="K379" s="455">
        <v>6373.66</v>
      </c>
      <c r="L379" s="313">
        <f t="shared" si="3"/>
        <v>9.8358950617283956</v>
      </c>
      <c r="M379" t="str">
        <f>IF(B379="","",VLOOKUP(A379,'AZ DL&amp;OH FG'!$A$7:$C$385,3,0)-B379)</f>
        <v/>
      </c>
      <c r="N379">
        <f>IF(D379="","",VLOOKUP(A379&amp;"",'FL DL&amp;OH FG'!$A$7:$C$381,3,0)-D379)</f>
        <v>0</v>
      </c>
      <c r="O379" t="str">
        <f>IF(F379="","",VLOOKUP(A379,'TX DL&amp;OH FG'!$A$7:$C$261,3,0)-F379)</f>
        <v/>
      </c>
      <c r="P379" s="1"/>
      <c r="Q379" s="1"/>
      <c r="R379" s="1"/>
      <c r="S379" s="2"/>
      <c r="T379" s="18"/>
      <c r="U379" s="18"/>
    </row>
    <row r="380" spans="1:21">
      <c r="A380" s="457">
        <v>5142</v>
      </c>
      <c r="B380" s="455">
        <v>226</v>
      </c>
      <c r="C380" s="455">
        <v>6559.1100000000006</v>
      </c>
      <c r="D380" s="455">
        <v>251</v>
      </c>
      <c r="E380" s="455">
        <v>7652.71</v>
      </c>
      <c r="F380" s="455"/>
      <c r="G380" s="455"/>
      <c r="H380" s="455"/>
      <c r="I380" s="455"/>
      <c r="J380" s="455">
        <v>477</v>
      </c>
      <c r="K380" s="455">
        <v>14211.82</v>
      </c>
      <c r="L380" s="313">
        <f t="shared" si="3"/>
        <v>30.488884462151393</v>
      </c>
      <c r="M380">
        <f>IF(B380="","",VLOOKUP(A380,'AZ DL&amp;OH FG'!$A$7:$C$385,3,0)-B380)</f>
        <v>0</v>
      </c>
      <c r="N380" s="276">
        <f>IF(D380="","",VLOOKUP(A380,'FL DL&amp;OH FG'!$A$7:$C$381,3,0)-D380)</f>
        <v>0</v>
      </c>
      <c r="O380" t="str">
        <f>IF(F380="","",VLOOKUP(A380,'TX DL&amp;OH FG'!$A$7:$C$261,3,0)-F380)</f>
        <v/>
      </c>
      <c r="P380" s="1"/>
      <c r="Q380" s="276" t="s">
        <v>2886</v>
      </c>
      <c r="R380" s="1"/>
      <c r="S380" s="2"/>
      <c r="T380" s="18"/>
      <c r="U380" s="18"/>
    </row>
    <row r="381" spans="1:21">
      <c r="A381" s="457">
        <v>5170</v>
      </c>
      <c r="B381" s="455"/>
      <c r="C381" s="455"/>
      <c r="D381" s="455"/>
      <c r="E381" s="455"/>
      <c r="F381" s="455">
        <v>4062</v>
      </c>
      <c r="G381" s="455">
        <v>85219.02</v>
      </c>
      <c r="H381" s="455"/>
      <c r="I381" s="455"/>
      <c r="J381" s="455">
        <v>4062</v>
      </c>
      <c r="K381" s="455">
        <v>85219.02</v>
      </c>
      <c r="L381" s="313" t="e">
        <f t="shared" si="3"/>
        <v>#DIV/0!</v>
      </c>
      <c r="M381" t="str">
        <f>IF(B381="","",VLOOKUP(A381,'AZ DL&amp;OH FG'!$A$7:$C$385,3,0)-B381)</f>
        <v/>
      </c>
      <c r="N381" t="str">
        <f>IF(D381="","",VLOOKUP(A381&amp;"",'FL DL&amp;OH FG'!$A$7:$C$381,3,0)-D381)</f>
        <v/>
      </c>
      <c r="O381">
        <f>IF(F381="","",VLOOKUP(A381,'TX DL&amp;OH FG'!$A$7:$C$261,3,0)-F381)</f>
        <v>0</v>
      </c>
      <c r="P381" s="1"/>
      <c r="Q381" s="1"/>
      <c r="R381" s="1"/>
      <c r="S381" s="2"/>
      <c r="T381" s="18"/>
      <c r="U381" s="18"/>
    </row>
    <row r="382" spans="1:21">
      <c r="A382" s="457">
        <v>5204</v>
      </c>
      <c r="B382" s="455">
        <v>90</v>
      </c>
      <c r="C382" s="455">
        <v>1672.8400000000001</v>
      </c>
      <c r="D382" s="455">
        <v>972</v>
      </c>
      <c r="E382" s="455">
        <v>17895.490000000002</v>
      </c>
      <c r="F382" s="455"/>
      <c r="G382" s="455"/>
      <c r="H382" s="455"/>
      <c r="I382" s="455"/>
      <c r="J382" s="455">
        <v>1062</v>
      </c>
      <c r="K382" s="455">
        <v>19568.330000000002</v>
      </c>
      <c r="L382" s="313">
        <f t="shared" si="3"/>
        <v>18.410997942386832</v>
      </c>
      <c r="M382">
        <f>IF(B382="","",VLOOKUP(A382,'AZ DL&amp;OH FG'!$A$7:$C$385,3,0)-B382)</f>
        <v>0</v>
      </c>
      <c r="N382">
        <f>IF(D382="","",VLOOKUP(A382&amp;"",'FL DL&amp;OH FG'!$A$7:$C$381,3,0)-D382)</f>
        <v>0</v>
      </c>
      <c r="O382" t="str">
        <f>IF(F382="","",VLOOKUP(A382,'TX DL&amp;OH FG'!$A$7:$C$261,3,0)-F382)</f>
        <v/>
      </c>
      <c r="P382" s="1"/>
      <c r="Q382" s="1"/>
      <c r="R382" s="1"/>
      <c r="S382" s="2"/>
      <c r="T382" s="18"/>
      <c r="U382" s="18"/>
    </row>
    <row r="383" spans="1:21">
      <c r="A383" s="457">
        <v>5314</v>
      </c>
      <c r="B383" s="455">
        <v>627</v>
      </c>
      <c r="C383" s="455">
        <v>5823.58</v>
      </c>
      <c r="D383" s="455">
        <v>526</v>
      </c>
      <c r="E383" s="455">
        <v>4654.25</v>
      </c>
      <c r="F383" s="455"/>
      <c r="G383" s="455"/>
      <c r="H383" s="455"/>
      <c r="I383" s="455"/>
      <c r="J383" s="455">
        <v>1153</v>
      </c>
      <c r="K383" s="455">
        <v>10477.83</v>
      </c>
      <c r="L383" s="313">
        <f t="shared" si="3"/>
        <v>8.8483840304182504</v>
      </c>
      <c r="M383">
        <f>IF(B383="","",VLOOKUP(A383,'AZ DL&amp;OH FG'!$A$7:$C$385,3,0)-B383)</f>
        <v>0</v>
      </c>
      <c r="N383">
        <f>IF(D383="","",VLOOKUP(A383&amp;"",'FL DL&amp;OH FG'!$A$7:$C$381,3,0)-D383)</f>
        <v>0</v>
      </c>
      <c r="O383" t="str">
        <f>IF(F383="","",VLOOKUP(A383,'TX DL&amp;OH FG'!$A$7:$C$261,3,0)-F383)</f>
        <v/>
      </c>
      <c r="P383" s="1"/>
      <c r="Q383" s="1"/>
      <c r="R383" s="1"/>
      <c r="S383" s="2"/>
      <c r="T383" s="18"/>
      <c r="U383" s="18"/>
    </row>
    <row r="384" spans="1:21">
      <c r="A384" s="457">
        <v>5315</v>
      </c>
      <c r="B384" s="455">
        <v>325</v>
      </c>
      <c r="C384" s="455">
        <v>3018.19</v>
      </c>
      <c r="D384" s="455">
        <v>193</v>
      </c>
      <c r="E384" s="455">
        <v>1693.75</v>
      </c>
      <c r="F384" s="455"/>
      <c r="G384" s="455"/>
      <c r="H384" s="455"/>
      <c r="I384" s="455"/>
      <c r="J384" s="455">
        <v>518</v>
      </c>
      <c r="K384" s="455">
        <v>4711.9400000000005</v>
      </c>
      <c r="L384" s="313">
        <f t="shared" si="3"/>
        <v>8.7759067357512954</v>
      </c>
      <c r="M384">
        <f>IF(B384="","",VLOOKUP(A384,'AZ DL&amp;OH FG'!$A$7:$C$385,3,0)-B384)</f>
        <v>0</v>
      </c>
      <c r="N384">
        <f>IF(D384="","",VLOOKUP(A384&amp;"",'FL DL&amp;OH FG'!$A$7:$C$381,3,0)-D384)</f>
        <v>0</v>
      </c>
      <c r="O384" t="str">
        <f>IF(F384="","",VLOOKUP(A384,'TX DL&amp;OH FG'!$A$7:$C$261,3,0)-F384)</f>
        <v/>
      </c>
      <c r="P384" s="1"/>
      <c r="Q384" s="1"/>
      <c r="R384" s="1"/>
      <c r="S384" s="2"/>
      <c r="T384" s="18"/>
      <c r="U384" s="18"/>
    </row>
    <row r="385" spans="1:21">
      <c r="A385" s="457">
        <v>5806</v>
      </c>
      <c r="B385" s="455">
        <v>1241</v>
      </c>
      <c r="C385" s="455">
        <v>19162.849999999999</v>
      </c>
      <c r="D385" s="455">
        <v>8598</v>
      </c>
      <c r="E385" s="455">
        <v>126322.09999999999</v>
      </c>
      <c r="F385" s="455"/>
      <c r="G385" s="455"/>
      <c r="H385" s="455"/>
      <c r="I385" s="455"/>
      <c r="J385" s="455">
        <v>9839</v>
      </c>
      <c r="K385" s="455">
        <v>145484.94999999998</v>
      </c>
      <c r="L385" s="313">
        <f t="shared" si="3"/>
        <v>14.692033030937425</v>
      </c>
      <c r="M385">
        <f>IF(B385="","",VLOOKUP(A385,'AZ DL&amp;OH FG'!$A$7:$C$385,3,0)-B385)</f>
        <v>0</v>
      </c>
      <c r="N385">
        <f>IF(D385="","",VLOOKUP(A385&amp;"",'FL DL&amp;OH FG'!$A$7:$C$381,3,0)-D385)</f>
        <v>0</v>
      </c>
      <c r="O385" t="str">
        <f>IF(F385="","",VLOOKUP(A385,'TX DL&amp;OH FG'!$A$7:$C$261,3,0)-F385)</f>
        <v/>
      </c>
      <c r="P385" s="1"/>
      <c r="Q385" s="1"/>
      <c r="R385" s="1"/>
      <c r="S385" s="2"/>
      <c r="T385" s="18"/>
      <c r="U385" s="18"/>
    </row>
    <row r="386" spans="1:21">
      <c r="A386" s="457">
        <v>5807</v>
      </c>
      <c r="B386" s="455"/>
      <c r="C386" s="455"/>
      <c r="D386" s="455">
        <v>286</v>
      </c>
      <c r="E386" s="455">
        <v>4219.53</v>
      </c>
      <c r="F386" s="455"/>
      <c r="G386" s="455"/>
      <c r="H386" s="455"/>
      <c r="I386" s="455"/>
      <c r="J386" s="455">
        <v>286</v>
      </c>
      <c r="K386" s="455">
        <v>4219.53</v>
      </c>
      <c r="L386" s="313">
        <f t="shared" si="3"/>
        <v>14.753601398601397</v>
      </c>
      <c r="M386" t="str">
        <f>IF(B386="","",VLOOKUP(A386,'AZ DL&amp;OH FG'!$A$7:$C$385,3,0)-B386)</f>
        <v/>
      </c>
      <c r="N386">
        <f>IF(D386="","",VLOOKUP(A386&amp;"",'FL DL&amp;OH FG'!$A$7:$C$381,3,0)-D386)</f>
        <v>0</v>
      </c>
      <c r="O386" t="str">
        <f>IF(F386="","",VLOOKUP(A386,'TX DL&amp;OH FG'!$A$7:$C$261,3,0)-F386)</f>
        <v/>
      </c>
      <c r="P386" s="1"/>
      <c r="Q386" s="1"/>
      <c r="R386" s="1"/>
      <c r="S386" s="2"/>
      <c r="T386" s="18"/>
      <c r="U386" s="18"/>
    </row>
    <row r="387" spans="1:21">
      <c r="A387" s="457">
        <v>5815</v>
      </c>
      <c r="B387" s="455"/>
      <c r="C387" s="455"/>
      <c r="D387" s="455">
        <v>250</v>
      </c>
      <c r="E387" s="455">
        <v>2917.43</v>
      </c>
      <c r="F387" s="455"/>
      <c r="G387" s="455"/>
      <c r="H387" s="455"/>
      <c r="I387" s="455"/>
      <c r="J387" s="455">
        <v>250</v>
      </c>
      <c r="K387" s="455">
        <v>2917.43</v>
      </c>
      <c r="L387" s="313">
        <f t="shared" si="3"/>
        <v>11.66972</v>
      </c>
      <c r="M387" t="str">
        <f>IF(B387="","",VLOOKUP(A387,'AZ DL&amp;OH FG'!$A$7:$C$385,3,0)-B387)</f>
        <v/>
      </c>
      <c r="N387" s="459">
        <f>IF(D387="","",VLOOKUP(A387&amp;"",'FL DL&amp;OH FG'!$A$7:$C$381,3,0)-D387)</f>
        <v>0</v>
      </c>
      <c r="O387" t="str">
        <f>IF(F387="","",VLOOKUP(A387,'TX DL&amp;OH FG'!$A$7:$C$261,3,0)-F387)</f>
        <v/>
      </c>
      <c r="P387" s="1"/>
      <c r="Q387" s="157"/>
      <c r="R387" s="1"/>
      <c r="S387" s="2"/>
      <c r="T387" s="18"/>
      <c r="U387" s="18"/>
    </row>
    <row r="388" spans="1:21">
      <c r="A388" s="457">
        <v>6202</v>
      </c>
      <c r="B388" s="455"/>
      <c r="C388" s="455"/>
      <c r="D388" s="455">
        <v>819</v>
      </c>
      <c r="E388" s="455">
        <v>8380.83</v>
      </c>
      <c r="F388" s="455"/>
      <c r="G388" s="455"/>
      <c r="H388" s="455"/>
      <c r="I388" s="455"/>
      <c r="J388" s="455">
        <v>819</v>
      </c>
      <c r="K388" s="455">
        <v>8380.83</v>
      </c>
      <c r="L388" s="313">
        <f t="shared" si="3"/>
        <v>10.233003663003663</v>
      </c>
      <c r="M388" t="str">
        <f>IF(B388="","",VLOOKUP(A388,'AZ DL&amp;OH FG'!$A$7:$C$385,3,0)-B388)</f>
        <v/>
      </c>
      <c r="N388">
        <f>IF(D388="","",VLOOKUP(A388&amp;"",'FL DL&amp;OH FG'!$A$7:$C$381,3,0)-D388)</f>
        <v>0</v>
      </c>
      <c r="O388" t="str">
        <f>IF(F388="","",VLOOKUP(A388,'TX DL&amp;OH FG'!$A$7:$C$261,3,0)-F388)</f>
        <v/>
      </c>
      <c r="P388" s="1"/>
      <c r="Q388" s="1"/>
      <c r="R388" s="1"/>
      <c r="S388" s="2"/>
      <c r="T388" s="18"/>
      <c r="U388" s="18"/>
    </row>
    <row r="389" spans="1:21">
      <c r="A389" s="457">
        <v>6225</v>
      </c>
      <c r="B389" s="455">
        <v>1425</v>
      </c>
      <c r="C389" s="455">
        <v>9566.4500000000007</v>
      </c>
      <c r="D389" s="455">
        <v>6073</v>
      </c>
      <c r="E389" s="455">
        <v>35849.69</v>
      </c>
      <c r="F389" s="455"/>
      <c r="G389" s="455"/>
      <c r="H389" s="455"/>
      <c r="I389" s="455"/>
      <c r="J389" s="455">
        <v>7498</v>
      </c>
      <c r="K389" s="455">
        <v>45416.14</v>
      </c>
      <c r="L389" s="313">
        <f t="shared" si="3"/>
        <v>5.9031269553762558</v>
      </c>
      <c r="M389">
        <f>IF(B389="","",VLOOKUP(A389,'AZ DL&amp;OH FG'!$A$7:$C$385,3,0)-B389)</f>
        <v>0</v>
      </c>
      <c r="N389" s="460">
        <f>IF(D389="","",VLOOKUP(A389&amp;"",'FL DL&amp;OH FG'!$A$7:$C$381,3,0)-D389)</f>
        <v>0</v>
      </c>
      <c r="O389" t="str">
        <f>IF(F389="","",VLOOKUP(A389,'TX DL&amp;OH FG'!$A$7:$C$261,3,0)-F389)</f>
        <v/>
      </c>
      <c r="P389" s="1"/>
      <c r="Q389" s="276" t="s">
        <v>2897</v>
      </c>
      <c r="R389" s="1"/>
      <c r="S389" s="2"/>
      <c r="T389" s="18"/>
      <c r="U389" s="18"/>
    </row>
    <row r="390" spans="1:21">
      <c r="A390" s="457">
        <v>6227</v>
      </c>
      <c r="B390" s="455">
        <v>296</v>
      </c>
      <c r="C390" s="455">
        <v>5474.9</v>
      </c>
      <c r="D390" s="455">
        <v>2329</v>
      </c>
      <c r="E390" s="455">
        <v>35627.490000000005</v>
      </c>
      <c r="F390" s="455"/>
      <c r="G390" s="455"/>
      <c r="H390" s="455"/>
      <c r="I390" s="455"/>
      <c r="J390" s="455">
        <v>2625</v>
      </c>
      <c r="K390" s="455">
        <v>41102.390000000007</v>
      </c>
      <c r="L390" s="313">
        <f t="shared" si="3"/>
        <v>15.29733361957922</v>
      </c>
      <c r="M390">
        <f>IF(B390="","",VLOOKUP(A390,'AZ DL&amp;OH FG'!$A$7:$C$385,3,0)-B390)</f>
        <v>0</v>
      </c>
      <c r="N390">
        <f>IF(D390="","",VLOOKUP(A390&amp;"",'FL DL&amp;OH FG'!$A$7:$C$381,3,0)-D390)</f>
        <v>0</v>
      </c>
      <c r="O390" t="str">
        <f>IF(F390="","",VLOOKUP(A390,'TX DL&amp;OH FG'!$A$7:$C$261,3,0)-F390)</f>
        <v/>
      </c>
      <c r="P390" s="1"/>
      <c r="Q390" s="157"/>
      <c r="R390" s="1"/>
      <c r="S390" s="2"/>
      <c r="T390" s="18"/>
      <c r="U390" s="18"/>
    </row>
    <row r="391" spans="1:21">
      <c r="A391" s="457">
        <v>6501</v>
      </c>
      <c r="B391" s="455">
        <v>1004</v>
      </c>
      <c r="C391" s="455">
        <v>15223.65</v>
      </c>
      <c r="D391" s="455">
        <v>1039</v>
      </c>
      <c r="E391" s="455">
        <v>14268.28</v>
      </c>
      <c r="F391" s="455"/>
      <c r="G391" s="455"/>
      <c r="H391" s="455"/>
      <c r="I391" s="455"/>
      <c r="J391" s="455">
        <v>2043</v>
      </c>
      <c r="K391" s="455">
        <v>29491.93</v>
      </c>
      <c r="L391" s="313">
        <f t="shared" si="3"/>
        <v>13.732704523580367</v>
      </c>
      <c r="M391">
        <f>IF(B391="","",VLOOKUP(A391,'AZ DL&amp;OH FG'!$A$7:$C$385,3,0)-B391)</f>
        <v>0</v>
      </c>
      <c r="N391">
        <f>IF(D391="","",VLOOKUP(A391&amp;"",'FL DL&amp;OH FG'!$A$7:$C$381,3,0)-D391)</f>
        <v>0</v>
      </c>
      <c r="O391" t="str">
        <f>IF(F391="","",VLOOKUP(A391,'TX DL&amp;OH FG'!$A$7:$C$261,3,0)-F391)</f>
        <v/>
      </c>
      <c r="P391" s="1"/>
      <c r="Q391" s="1"/>
      <c r="R391" s="1"/>
      <c r="S391" s="2"/>
      <c r="T391" s="18"/>
      <c r="U391" s="18"/>
    </row>
    <row r="392" spans="1:21">
      <c r="A392" s="457">
        <v>6502</v>
      </c>
      <c r="B392" s="455">
        <v>2921</v>
      </c>
      <c r="C392" s="455">
        <v>44604.84</v>
      </c>
      <c r="D392" s="455">
        <v>1443</v>
      </c>
      <c r="E392" s="455">
        <v>19814.900000000001</v>
      </c>
      <c r="F392" s="455"/>
      <c r="G392" s="455"/>
      <c r="H392" s="455"/>
      <c r="I392" s="455"/>
      <c r="J392" s="455">
        <v>4364</v>
      </c>
      <c r="K392" s="455">
        <v>64419.74</v>
      </c>
      <c r="L392" s="313">
        <f t="shared" si="3"/>
        <v>13.731739431739433</v>
      </c>
      <c r="M392">
        <f>IF(B392="","",VLOOKUP(A392,'AZ DL&amp;OH FG'!$A$7:$C$385,3,0)-B392)</f>
        <v>0</v>
      </c>
      <c r="N392">
        <f>IF(D392="","",VLOOKUP(A392&amp;"",'FL DL&amp;OH FG'!$A$7:$C$381,3,0)-D392)</f>
        <v>0</v>
      </c>
      <c r="O392" t="str">
        <f>IF(F392="","",VLOOKUP(A392,'TX DL&amp;OH FG'!$A$7:$C$261,3,0)-F392)</f>
        <v/>
      </c>
      <c r="P392" s="1"/>
      <c r="Q392" s="1"/>
      <c r="R392" s="1"/>
      <c r="S392" s="2"/>
      <c r="T392" s="18"/>
      <c r="U392" s="18"/>
    </row>
    <row r="393" spans="1:21">
      <c r="A393" s="457">
        <v>6506</v>
      </c>
      <c r="B393" s="455">
        <v>2344</v>
      </c>
      <c r="C393" s="455">
        <v>28528.36</v>
      </c>
      <c r="D393" s="455">
        <v>775</v>
      </c>
      <c r="E393" s="455">
        <v>8451.1899999999987</v>
      </c>
      <c r="F393" s="455"/>
      <c r="G393" s="455"/>
      <c r="H393" s="455"/>
      <c r="I393" s="455"/>
      <c r="J393" s="455">
        <v>3119</v>
      </c>
      <c r="K393" s="455">
        <v>36979.550000000003</v>
      </c>
      <c r="L393" s="313">
        <f t="shared" si="3"/>
        <v>10.904761290322579</v>
      </c>
      <c r="M393">
        <f>IF(B393="","",VLOOKUP(A393,'AZ DL&amp;OH FG'!$A$7:$C$385,3,0)-B393)</f>
        <v>0</v>
      </c>
      <c r="N393">
        <f>IF(D393="","",VLOOKUP(A393&amp;"",'FL DL&amp;OH FG'!$A$7:$C$381,3,0)-D393)</f>
        <v>0</v>
      </c>
      <c r="O393" t="str">
        <f>IF(F393="","",VLOOKUP(A393,'TX DL&amp;OH FG'!$A$7:$C$261,3,0)-F393)</f>
        <v/>
      </c>
      <c r="P393" s="1"/>
      <c r="Q393" s="1"/>
      <c r="R393" s="1"/>
      <c r="S393" s="2"/>
      <c r="T393" s="18"/>
      <c r="U393" s="18"/>
    </row>
    <row r="394" spans="1:21">
      <c r="A394" s="457">
        <v>6508</v>
      </c>
      <c r="B394" s="455">
        <v>1872</v>
      </c>
      <c r="C394" s="455">
        <v>28647.23</v>
      </c>
      <c r="D394" s="455"/>
      <c r="E394" s="455"/>
      <c r="F394" s="455"/>
      <c r="G394" s="455"/>
      <c r="H394" s="455"/>
      <c r="I394" s="455"/>
      <c r="J394" s="455">
        <v>1872</v>
      </c>
      <c r="K394" s="455">
        <v>28647.23</v>
      </c>
      <c r="L394" s="313" t="e">
        <f t="shared" si="3"/>
        <v>#DIV/0!</v>
      </c>
      <c r="M394">
        <f>IF(B394="","",VLOOKUP(A394,'AZ DL&amp;OH FG'!$A$7:$C$385,3,0)-B394)</f>
        <v>0</v>
      </c>
      <c r="N394" t="str">
        <f>IF(D394="","",VLOOKUP(A394&amp;"",'FL DL&amp;OH FG'!$A$7:$C$381,3,0)-D394)</f>
        <v/>
      </c>
      <c r="O394" t="str">
        <f>IF(F394="","",VLOOKUP(A394,'TX DL&amp;OH FG'!$A$7:$C$261,3,0)-F394)</f>
        <v/>
      </c>
      <c r="P394" s="1"/>
      <c r="Q394" s="1"/>
      <c r="R394" s="1"/>
      <c r="S394" s="2"/>
      <c r="T394" s="18"/>
      <c r="U394" s="18"/>
    </row>
    <row r="395" spans="1:21">
      <c r="A395" s="457">
        <v>6513</v>
      </c>
      <c r="B395" s="455">
        <v>608</v>
      </c>
      <c r="C395" s="455">
        <v>7289.98</v>
      </c>
      <c r="D395" s="455">
        <v>401</v>
      </c>
      <c r="E395" s="455">
        <v>4315.5600000000004</v>
      </c>
      <c r="F395" s="455"/>
      <c r="G395" s="455"/>
      <c r="H395" s="455"/>
      <c r="I395" s="455"/>
      <c r="J395" s="455">
        <v>1009</v>
      </c>
      <c r="K395" s="455">
        <v>11605.54</v>
      </c>
      <c r="L395" s="313">
        <f t="shared" si="3"/>
        <v>10.761995012468828</v>
      </c>
      <c r="M395">
        <f>IF(B395="","",VLOOKUP(A395,'AZ DL&amp;OH FG'!$A$7:$C$385,3,0)-B395)</f>
        <v>0</v>
      </c>
      <c r="N395">
        <f>IF(D395="","",VLOOKUP(A395&amp;"",'FL DL&amp;OH FG'!$A$7:$C$381,3,0)-D395)</f>
        <v>0</v>
      </c>
      <c r="O395" t="str">
        <f>IF(F395="","",VLOOKUP(A395,'TX DL&amp;OH FG'!$A$7:$C$261,3,0)-F395)</f>
        <v/>
      </c>
      <c r="P395" s="1"/>
      <c r="Q395" s="1"/>
      <c r="R395" s="1"/>
      <c r="S395" s="2"/>
      <c r="T395" s="18"/>
      <c r="U395" s="18"/>
    </row>
    <row r="396" spans="1:21">
      <c r="A396" s="457">
        <v>6516</v>
      </c>
      <c r="B396" s="455">
        <v>2837</v>
      </c>
      <c r="C396" s="455">
        <v>19396.88</v>
      </c>
      <c r="D396" s="455">
        <v>2069</v>
      </c>
      <c r="E396" s="455">
        <v>12784.96</v>
      </c>
      <c r="F396" s="455"/>
      <c r="G396" s="455"/>
      <c r="H396" s="455"/>
      <c r="I396" s="455"/>
      <c r="J396" s="455">
        <v>4906</v>
      </c>
      <c r="K396" s="455">
        <v>32181.84</v>
      </c>
      <c r="L396" s="313">
        <f t="shared" si="3"/>
        <v>6.1792943450942479</v>
      </c>
      <c r="M396">
        <f>IF(B396="","",VLOOKUP(A396,'AZ DL&amp;OH FG'!$A$7:$C$385,3,0)-B396)</f>
        <v>0</v>
      </c>
      <c r="N396">
        <f>IF(D396="","",VLOOKUP(A396&amp;"",'FL DL&amp;OH FG'!$A$7:$C$381,3,0)-D396)</f>
        <v>0</v>
      </c>
      <c r="O396" t="str">
        <f>IF(F396="","",VLOOKUP(A396,'TX DL&amp;OH FG'!$A$7:$C$261,3,0)-F396)</f>
        <v/>
      </c>
      <c r="P396" s="1"/>
      <c r="Q396" s="1"/>
      <c r="R396" s="1"/>
      <c r="S396" s="2"/>
      <c r="T396" s="18"/>
      <c r="U396" s="18"/>
    </row>
    <row r="397" spans="1:21">
      <c r="A397" s="457">
        <v>6590</v>
      </c>
      <c r="B397" s="455">
        <v>509</v>
      </c>
      <c r="C397" s="455">
        <v>8890.01</v>
      </c>
      <c r="D397" s="455">
        <v>327</v>
      </c>
      <c r="E397" s="455">
        <v>4368.82</v>
      </c>
      <c r="F397" s="455"/>
      <c r="G397" s="455"/>
      <c r="H397" s="455"/>
      <c r="I397" s="455"/>
      <c r="J397" s="455">
        <v>836</v>
      </c>
      <c r="K397" s="455">
        <v>13258.83</v>
      </c>
      <c r="L397" s="313">
        <f t="shared" si="3"/>
        <v>13.360305810397552</v>
      </c>
      <c r="M397">
        <f>IF(B397="","",VLOOKUP(A397,'AZ DL&amp;OH FG'!$A$7:$C$385,3,0)-B397)</f>
        <v>0</v>
      </c>
      <c r="N397">
        <f>IF(D397="","",VLOOKUP(A397&amp;"",'FL DL&amp;OH FG'!$A$7:$C$381,3,0)-D397)</f>
        <v>0</v>
      </c>
      <c r="O397" t="str">
        <f>IF(F397="","",VLOOKUP(A397,'TX DL&amp;OH FG'!$A$7:$C$261,3,0)-F397)</f>
        <v/>
      </c>
      <c r="P397" s="1"/>
      <c r="Q397" s="1"/>
      <c r="R397" s="1"/>
      <c r="S397" s="2"/>
      <c r="T397" s="18"/>
      <c r="U397" s="18"/>
    </row>
    <row r="398" spans="1:21">
      <c r="A398" s="457">
        <v>6591</v>
      </c>
      <c r="B398" s="455">
        <v>2054</v>
      </c>
      <c r="C398" s="455">
        <v>31177.05</v>
      </c>
      <c r="D398" s="455">
        <v>3185</v>
      </c>
      <c r="E398" s="455">
        <v>43823.509999999995</v>
      </c>
      <c r="F398" s="455"/>
      <c r="G398" s="455"/>
      <c r="H398" s="455"/>
      <c r="I398" s="455"/>
      <c r="J398" s="455">
        <v>5239</v>
      </c>
      <c r="K398" s="455">
        <v>75000.56</v>
      </c>
      <c r="L398" s="313">
        <f t="shared" si="3"/>
        <v>13.759343799058083</v>
      </c>
      <c r="M398">
        <f>IF(B398="","",VLOOKUP(A398,'AZ DL&amp;OH FG'!$A$7:$C$385,3,0)-B398)</f>
        <v>0</v>
      </c>
      <c r="N398">
        <f>IF(D398="","",VLOOKUP(A398&amp;"",'FL DL&amp;OH FG'!$A$7:$C$381,3,0)-D398)</f>
        <v>0</v>
      </c>
      <c r="O398" t="str">
        <f>IF(F398="","",VLOOKUP(A398,'TX DL&amp;OH FG'!$A$7:$C$261,3,0)-F398)</f>
        <v/>
      </c>
      <c r="P398" s="1"/>
      <c r="Q398" s="1"/>
      <c r="R398" s="1"/>
      <c r="S398" s="2"/>
      <c r="T398" s="18"/>
      <c r="U398" s="18"/>
    </row>
    <row r="399" spans="1:21">
      <c r="A399" s="457">
        <v>6593</v>
      </c>
      <c r="B399" s="455">
        <v>1722</v>
      </c>
      <c r="C399" s="455">
        <v>11692.14</v>
      </c>
      <c r="D399" s="455">
        <v>5431</v>
      </c>
      <c r="E399" s="455">
        <v>33272.579999999994</v>
      </c>
      <c r="F399" s="455"/>
      <c r="G399" s="455"/>
      <c r="H399" s="455"/>
      <c r="I399" s="455"/>
      <c r="J399" s="455">
        <v>7153</v>
      </c>
      <c r="K399" s="455">
        <v>44964.719999999994</v>
      </c>
      <c r="L399" s="313">
        <f t="shared" si="3"/>
        <v>6.1264187074203633</v>
      </c>
      <c r="M399">
        <f>IF(B399="","",VLOOKUP(A399,'AZ DL&amp;OH FG'!$A$7:$C$385,3,0)-B399)</f>
        <v>0</v>
      </c>
      <c r="N399">
        <f>IF(D399="","",VLOOKUP(A399&amp;"",'FL DL&amp;OH FG'!$A$7:$C$381,3,0)-D399)</f>
        <v>0</v>
      </c>
      <c r="O399" t="str">
        <f>IF(F399="","",VLOOKUP(A399,'TX DL&amp;OH FG'!$A$7:$C$261,3,0)-F399)</f>
        <v/>
      </c>
      <c r="P399" s="1"/>
      <c r="Q399" s="1"/>
      <c r="R399" s="1"/>
      <c r="S399" s="2"/>
      <c r="T399" s="18"/>
      <c r="U399" s="18"/>
    </row>
    <row r="400" spans="1:21">
      <c r="A400" s="457">
        <v>6617</v>
      </c>
      <c r="B400" s="455">
        <v>345</v>
      </c>
      <c r="C400" s="455">
        <v>4844.63</v>
      </c>
      <c r="D400" s="455">
        <v>724</v>
      </c>
      <c r="E400" s="455">
        <v>11255.1</v>
      </c>
      <c r="F400" s="455"/>
      <c r="G400" s="455"/>
      <c r="H400" s="455"/>
      <c r="I400" s="455"/>
      <c r="J400" s="455">
        <v>1069</v>
      </c>
      <c r="K400" s="455">
        <v>16099.73</v>
      </c>
      <c r="L400" s="313">
        <f t="shared" si="3"/>
        <v>15.5457182320442</v>
      </c>
      <c r="M400">
        <f>IF(B400="","",VLOOKUP(A400,'AZ DL&amp;OH FG'!$A$7:$C$385,3,0)-B400)</f>
        <v>0</v>
      </c>
      <c r="N400">
        <f>IF(D400="","",VLOOKUP(A400&amp;"",'FL DL&amp;OH FG'!$A$7:$C$381,3,0)-D400)</f>
        <v>0</v>
      </c>
      <c r="O400" t="str">
        <f>IF(F400="","",VLOOKUP(A400,'TX DL&amp;OH FG'!$A$7:$C$261,3,0)-F400)</f>
        <v/>
      </c>
      <c r="P400" s="1"/>
      <c r="Q400" s="1"/>
      <c r="R400" s="1"/>
      <c r="S400" s="2"/>
      <c r="T400" s="18"/>
      <c r="U400" s="18"/>
    </row>
    <row r="401" spans="1:21">
      <c r="A401" s="457">
        <v>7415</v>
      </c>
      <c r="B401" s="455"/>
      <c r="C401" s="455"/>
      <c r="D401" s="455">
        <v>286</v>
      </c>
      <c r="E401" s="455">
        <v>5575.68</v>
      </c>
      <c r="F401" s="455"/>
      <c r="G401" s="455"/>
      <c r="H401" s="455"/>
      <c r="I401" s="455"/>
      <c r="J401" s="455">
        <v>286</v>
      </c>
      <c r="K401" s="455">
        <v>5575.68</v>
      </c>
      <c r="L401" s="313">
        <f t="shared" si="3"/>
        <v>19.495384615384616</v>
      </c>
      <c r="M401" t="str">
        <f>IF(B401="","",VLOOKUP(A401,'AZ DL&amp;OH FG'!$A$7:$C$385,3,0)-B401)</f>
        <v/>
      </c>
      <c r="N401">
        <f>IF(D401="","",VLOOKUP(A401&amp;"",'FL DL&amp;OH FG'!$A$7:$C$381,3,0)-D401)</f>
        <v>0</v>
      </c>
      <c r="O401" t="str">
        <f>IF(F401="","",VLOOKUP(A401,'TX DL&amp;OH FG'!$A$7:$C$261,3,0)-F401)</f>
        <v/>
      </c>
      <c r="P401" s="1"/>
      <c r="Q401" s="1"/>
      <c r="R401" s="1"/>
      <c r="S401" s="2"/>
      <c r="T401" s="18"/>
      <c r="U401" s="18"/>
    </row>
    <row r="402" spans="1:21">
      <c r="A402" s="457">
        <v>7416</v>
      </c>
      <c r="B402" s="455">
        <v>639</v>
      </c>
      <c r="C402" s="455">
        <v>6103.51</v>
      </c>
      <c r="D402" s="455">
        <v>569</v>
      </c>
      <c r="E402" s="455">
        <v>6198.579999999999</v>
      </c>
      <c r="F402" s="455"/>
      <c r="G402" s="455"/>
      <c r="H402" s="455"/>
      <c r="I402" s="455"/>
      <c r="J402" s="455">
        <v>1208</v>
      </c>
      <c r="K402" s="455">
        <v>12302.09</v>
      </c>
      <c r="L402" s="313">
        <f t="shared" si="3"/>
        <v>10.893813708260105</v>
      </c>
      <c r="M402">
        <f>IF(B402="","",VLOOKUP(A402,'AZ DL&amp;OH FG'!$A$7:$C$385,3,0)-B402)</f>
        <v>0</v>
      </c>
      <c r="N402">
        <f>IF(D402="","",VLOOKUP(A402&amp;"",'FL DL&amp;OH FG'!$A$7:$C$381,3,0)-D402)</f>
        <v>0</v>
      </c>
      <c r="O402" t="str">
        <f>IF(F402="","",VLOOKUP(A402,'TX DL&amp;OH FG'!$A$7:$C$261,3,0)-F402)</f>
        <v/>
      </c>
      <c r="P402" s="1"/>
      <c r="Q402" s="1"/>
      <c r="R402" s="1"/>
      <c r="S402" s="2"/>
      <c r="T402" s="18"/>
      <c r="U402" s="18"/>
    </row>
    <row r="403" spans="1:21">
      <c r="A403" s="457">
        <v>7502</v>
      </c>
      <c r="B403" s="455">
        <v>4336</v>
      </c>
      <c r="C403" s="455">
        <v>105424.53</v>
      </c>
      <c r="D403" s="455">
        <v>1357</v>
      </c>
      <c r="E403" s="455">
        <v>29920.33</v>
      </c>
      <c r="F403" s="455"/>
      <c r="G403" s="455"/>
      <c r="H403" s="455"/>
      <c r="I403" s="455"/>
      <c r="J403" s="455">
        <v>5693</v>
      </c>
      <c r="K403" s="455">
        <v>135344.85999999999</v>
      </c>
      <c r="L403" s="313">
        <f t="shared" si="3"/>
        <v>22.048879882092852</v>
      </c>
      <c r="M403">
        <f>IF(B403="","",VLOOKUP(A403,'AZ DL&amp;OH FG'!$A$7:$C$385,3,0)-B403)</f>
        <v>0</v>
      </c>
      <c r="N403">
        <f>IF(D403="","",VLOOKUP(A403&amp;"",'FL DL&amp;OH FG'!$A$7:$C$381,3,0)-D403)</f>
        <v>0</v>
      </c>
      <c r="O403" t="str">
        <f>IF(F403="","",VLOOKUP(A403,'TX DL&amp;OH FG'!$A$7:$C$261,3,0)-F403)</f>
        <v/>
      </c>
      <c r="P403" s="1"/>
      <c r="Q403" s="1"/>
      <c r="R403" s="1"/>
      <c r="S403" s="2"/>
      <c r="T403" s="18"/>
      <c r="U403" s="18"/>
    </row>
    <row r="404" spans="1:21">
      <c r="A404" s="457">
        <v>7506</v>
      </c>
      <c r="B404" s="455">
        <v>2561</v>
      </c>
      <c r="C404" s="455">
        <v>62115.99</v>
      </c>
      <c r="D404" s="455">
        <v>639</v>
      </c>
      <c r="E404" s="455">
        <v>15857.25</v>
      </c>
      <c r="F404" s="455"/>
      <c r="G404" s="455"/>
      <c r="H404" s="455"/>
      <c r="I404" s="455"/>
      <c r="J404" s="455">
        <v>3200</v>
      </c>
      <c r="K404" s="455">
        <v>77973.239999999991</v>
      </c>
      <c r="L404" s="313">
        <f t="shared" si="3"/>
        <v>24.815727699530516</v>
      </c>
      <c r="M404">
        <f>IF(B404="","",VLOOKUP(A404,'AZ DL&amp;OH FG'!$A$7:$C$385,3,0)-B404)</f>
        <v>0</v>
      </c>
      <c r="N404">
        <f>IF(D404="","",VLOOKUP(A404&amp;"",'FL DL&amp;OH FG'!$A$7:$C$381,3,0)-D404)</f>
        <v>0</v>
      </c>
      <c r="O404" t="str">
        <f>IF(F404="","",VLOOKUP(A404,'TX DL&amp;OH FG'!$A$7:$C$261,3,0)-F404)</f>
        <v/>
      </c>
      <c r="P404" s="1"/>
      <c r="Q404" s="1"/>
      <c r="R404" s="1"/>
      <c r="S404" s="2"/>
      <c r="T404" s="18"/>
      <c r="U404" s="18"/>
    </row>
    <row r="405" spans="1:21" ht="13.5" customHeight="1">
      <c r="A405" s="457">
        <v>7515</v>
      </c>
      <c r="B405" s="455"/>
      <c r="C405" s="455"/>
      <c r="D405" s="455">
        <v>175</v>
      </c>
      <c r="E405" s="455">
        <v>3510.27</v>
      </c>
      <c r="F405" s="455"/>
      <c r="G405" s="455"/>
      <c r="H405" s="455"/>
      <c r="I405" s="455"/>
      <c r="J405" s="455">
        <v>175</v>
      </c>
      <c r="K405" s="455">
        <v>3510.27</v>
      </c>
      <c r="L405" s="313">
        <f t="shared" si="3"/>
        <v>20.058685714285716</v>
      </c>
      <c r="M405" t="str">
        <f>IF(B405="","",VLOOKUP(A405,'AZ DL&amp;OH FG'!$A$7:$C$385,3,0)-B405)</f>
        <v/>
      </c>
      <c r="N405">
        <f>IF(D405="","",VLOOKUP(A405&amp;"",'FL DL&amp;OH FG'!$A$7:$C$381,3,0)-D405)</f>
        <v>0</v>
      </c>
      <c r="O405" t="str">
        <f>IF(F405="","",VLOOKUP(A405,'TX DL&amp;OH FG'!$A$7:$C$261,3,0)-F405)</f>
        <v/>
      </c>
      <c r="P405" s="1"/>
      <c r="Q405" s="1"/>
      <c r="R405" s="1"/>
      <c r="S405" s="2"/>
      <c r="T405" s="18"/>
      <c r="U405" s="18"/>
    </row>
    <row r="406" spans="1:21">
      <c r="A406" s="457">
        <v>7540</v>
      </c>
      <c r="B406" s="455">
        <v>796</v>
      </c>
      <c r="C406" s="455">
        <v>19308.490000000002</v>
      </c>
      <c r="D406" s="455">
        <v>169</v>
      </c>
      <c r="E406" s="455">
        <v>4053.36</v>
      </c>
      <c r="F406" s="455"/>
      <c r="G406" s="455"/>
      <c r="H406" s="455"/>
      <c r="I406" s="455"/>
      <c r="J406" s="455">
        <v>965</v>
      </c>
      <c r="K406" s="455">
        <v>23361.850000000002</v>
      </c>
      <c r="L406" s="313">
        <f t="shared" si="3"/>
        <v>23.984378698224852</v>
      </c>
      <c r="M406">
        <f>IF(B406="","",VLOOKUP(A406,'AZ DL&amp;OH FG'!$A$7:$C$385,3,0)-B406)</f>
        <v>0</v>
      </c>
      <c r="N406">
        <f>IF(D406="","",VLOOKUP(A406&amp;"",'FL DL&amp;OH FG'!$A$7:$C$381,3,0)-D406)</f>
        <v>0</v>
      </c>
      <c r="O406" t="str">
        <f>IF(F406="","",VLOOKUP(A406,'TX DL&amp;OH FG'!$A$7:$C$261,3,0)-F406)</f>
        <v/>
      </c>
      <c r="P406" s="1"/>
      <c r="Q406" s="1"/>
      <c r="R406" s="1"/>
      <c r="S406" s="2"/>
      <c r="T406" s="18"/>
      <c r="U406" s="18"/>
    </row>
    <row r="407" spans="1:21">
      <c r="A407" s="457">
        <v>7542</v>
      </c>
      <c r="B407" s="455">
        <v>1062</v>
      </c>
      <c r="C407" s="455">
        <v>18233.900000000001</v>
      </c>
      <c r="D407" s="455">
        <v>1953</v>
      </c>
      <c r="E407" s="455">
        <v>39443.370000000003</v>
      </c>
      <c r="F407" s="455"/>
      <c r="G407" s="455"/>
      <c r="H407" s="455"/>
      <c r="I407" s="455"/>
      <c r="J407" s="455">
        <v>3015</v>
      </c>
      <c r="K407" s="455">
        <v>57677.270000000004</v>
      </c>
      <c r="L407" s="313">
        <f t="shared" si="3"/>
        <v>20.196298003072197</v>
      </c>
      <c r="M407">
        <f>IF(B407="","",VLOOKUP(A407,'AZ DL&amp;OH FG'!$A$7:$C$385,3,0)-B407)</f>
        <v>0</v>
      </c>
      <c r="N407">
        <f>IF(D407="","",VLOOKUP(A407&amp;"",'FL DL&amp;OH FG'!$A$7:$C$381,3,0)-D407)</f>
        <v>0</v>
      </c>
      <c r="O407" t="str">
        <f>IF(F407="","",VLOOKUP(A407,'TX DL&amp;OH FG'!$A$7:$C$261,3,0)-F407)</f>
        <v/>
      </c>
      <c r="P407" s="1"/>
      <c r="Q407" s="1"/>
      <c r="R407" s="1"/>
      <c r="S407" s="2"/>
      <c r="T407" s="18"/>
      <c r="U407" s="18"/>
    </row>
    <row r="408" spans="1:21">
      <c r="A408" s="457">
        <v>7554</v>
      </c>
      <c r="B408" s="455">
        <v>1973</v>
      </c>
      <c r="C408" s="455">
        <v>35944.11</v>
      </c>
      <c r="D408" s="455"/>
      <c r="E408" s="455"/>
      <c r="F408" s="455"/>
      <c r="G408" s="455"/>
      <c r="H408" s="455"/>
      <c r="I408" s="455"/>
      <c r="J408" s="455">
        <v>1973</v>
      </c>
      <c r="K408" s="455">
        <v>35944.11</v>
      </c>
      <c r="L408" s="313" t="e">
        <f t="shared" si="3"/>
        <v>#DIV/0!</v>
      </c>
      <c r="M408">
        <f>IF(B408="","",VLOOKUP(A408,'AZ DL&amp;OH FG'!$A$7:$C$385,3,0)-B408)</f>
        <v>0</v>
      </c>
      <c r="N408" t="str">
        <f>IF(D408="","",VLOOKUP(A408&amp;"",'FL DL&amp;OH FG'!$A$7:$C$381,3,0)-D408)</f>
        <v/>
      </c>
      <c r="O408" t="str">
        <f>IF(F408="","",VLOOKUP(A408,'TX DL&amp;OH FG'!$A$7:$C$261,3,0)-F408)</f>
        <v/>
      </c>
      <c r="P408" s="1"/>
      <c r="Q408" s="1"/>
      <c r="R408" s="1"/>
      <c r="S408" s="2"/>
      <c r="T408" s="18"/>
      <c r="U408" s="18"/>
    </row>
    <row r="409" spans="1:21">
      <c r="A409" s="457">
        <v>7591</v>
      </c>
      <c r="B409" s="455">
        <v>1545</v>
      </c>
      <c r="C409" s="455">
        <v>37596.17</v>
      </c>
      <c r="D409" s="455">
        <v>4023</v>
      </c>
      <c r="E409" s="455">
        <v>99896.27</v>
      </c>
      <c r="F409" s="455"/>
      <c r="G409" s="455"/>
      <c r="H409" s="455"/>
      <c r="I409" s="455"/>
      <c r="J409" s="455">
        <v>5568</v>
      </c>
      <c r="K409" s="455">
        <v>137492.44</v>
      </c>
      <c r="L409" s="313">
        <f t="shared" si="3"/>
        <v>24.831287596321154</v>
      </c>
      <c r="M409">
        <f>IF(B409="","",VLOOKUP(A409,'AZ DL&amp;OH FG'!$A$7:$C$385,3,0)-B409)</f>
        <v>0</v>
      </c>
      <c r="N409">
        <f>IF(D409="","",VLOOKUP(A409&amp;"",'FL DL&amp;OH FG'!$A$7:$C$381,3,0)-D409)</f>
        <v>0</v>
      </c>
      <c r="O409" t="str">
        <f>IF(F409="","",VLOOKUP(A409,'TX DL&amp;OH FG'!$A$7:$C$261,3,0)-F409)</f>
        <v/>
      </c>
      <c r="P409" s="1"/>
      <c r="Q409" s="1"/>
      <c r="R409" s="1"/>
      <c r="S409" s="2"/>
      <c r="T409" s="18"/>
      <c r="U409" s="18"/>
    </row>
    <row r="410" spans="1:21">
      <c r="A410" s="457">
        <v>7593</v>
      </c>
      <c r="B410" s="455">
        <v>2103</v>
      </c>
      <c r="C410" s="455">
        <v>51350.880000000005</v>
      </c>
      <c r="D410" s="455">
        <v>2899</v>
      </c>
      <c r="E410" s="455">
        <v>72053.23</v>
      </c>
      <c r="F410" s="455"/>
      <c r="G410" s="455"/>
      <c r="H410" s="455"/>
      <c r="I410" s="455"/>
      <c r="J410" s="455">
        <v>5002</v>
      </c>
      <c r="K410" s="455">
        <v>123404.11</v>
      </c>
      <c r="L410" s="313">
        <f t="shared" si="3"/>
        <v>24.854511900655396</v>
      </c>
      <c r="M410">
        <f>IF(B410="","",VLOOKUP(A410,'AZ DL&amp;OH FG'!$A$7:$C$385,3,0)-B410)</f>
        <v>0</v>
      </c>
      <c r="N410">
        <f>IF(D410="","",VLOOKUP(A410&amp;"",'FL DL&amp;OH FG'!$A$7:$C$381,3,0)-D410)</f>
        <v>0</v>
      </c>
      <c r="O410" t="str">
        <f>IF(F410="","",VLOOKUP(A410,'TX DL&amp;OH FG'!$A$7:$C$261,3,0)-F410)</f>
        <v/>
      </c>
      <c r="P410" s="1"/>
      <c r="Q410" s="1"/>
      <c r="R410" s="1"/>
      <c r="S410" s="2"/>
      <c r="T410" s="18"/>
      <c r="U410" s="18"/>
    </row>
    <row r="411" spans="1:21">
      <c r="A411" s="457">
        <v>7602</v>
      </c>
      <c r="B411" s="455">
        <v>289</v>
      </c>
      <c r="C411" s="455">
        <v>6944.87</v>
      </c>
      <c r="D411" s="455">
        <v>275</v>
      </c>
      <c r="E411" s="455">
        <v>6753.9299999999994</v>
      </c>
      <c r="F411" s="455"/>
      <c r="G411" s="455"/>
      <c r="H411" s="455"/>
      <c r="I411" s="455"/>
      <c r="J411" s="455">
        <v>564</v>
      </c>
      <c r="K411" s="455">
        <v>13698.8</v>
      </c>
      <c r="L411" s="313">
        <f t="shared" ref="L411:L455" si="4">E411/D411</f>
        <v>24.559745454545453</v>
      </c>
      <c r="M411">
        <f>IF(B411="","",VLOOKUP(A411,'AZ DL&amp;OH FG'!$A$7:$C$385,3,0)-B411)</f>
        <v>0</v>
      </c>
      <c r="N411">
        <f>IF(D411="","",VLOOKUP(A411&amp;"",'FL DL&amp;OH FG'!$A$7:$C$381,3,0)-D411)</f>
        <v>0</v>
      </c>
      <c r="O411" t="str">
        <f>IF(F411="","",VLOOKUP(A411,'TX DL&amp;OH FG'!$A$7:$C$261,3,0)-F411)</f>
        <v/>
      </c>
      <c r="P411" s="1"/>
      <c r="Q411" s="1"/>
      <c r="R411" s="1"/>
      <c r="S411" s="2"/>
      <c r="T411" s="18"/>
      <c r="U411" s="18"/>
    </row>
    <row r="412" spans="1:21">
      <c r="A412" s="457">
        <v>7900</v>
      </c>
      <c r="B412" s="455">
        <v>6441</v>
      </c>
      <c r="C412" s="455">
        <v>987.78</v>
      </c>
      <c r="D412" s="455"/>
      <c r="E412" s="455"/>
      <c r="F412" s="455"/>
      <c r="G412" s="455"/>
      <c r="H412" s="455"/>
      <c r="I412" s="455"/>
      <c r="J412" s="455">
        <v>6441</v>
      </c>
      <c r="K412" s="455">
        <v>987.78</v>
      </c>
      <c r="L412" s="313" t="e">
        <f t="shared" si="4"/>
        <v>#DIV/0!</v>
      </c>
      <c r="M412">
        <f>IF(B412="","",VLOOKUP(A412,'AZ DL&amp;OH FG'!$A$7:$C$385,3,0)-B412)</f>
        <v>0</v>
      </c>
      <c r="N412" t="str">
        <f>IF(D412="","",VLOOKUP(A412&amp;"",'FL DL&amp;OH FG'!$A$7:$C$381,3,0)-D412)</f>
        <v/>
      </c>
      <c r="O412" t="str">
        <f>IF(F412="","",VLOOKUP(A412,'TX DL&amp;OH FG'!$A$7:$C$261,3,0)-F412)</f>
        <v/>
      </c>
      <c r="P412" s="1"/>
      <c r="Q412" s="1"/>
      <c r="R412" s="1"/>
      <c r="S412" s="2"/>
      <c r="T412" s="18"/>
      <c r="U412" s="18"/>
    </row>
    <row r="413" spans="1:21">
      <c r="A413" s="457">
        <v>8225</v>
      </c>
      <c r="B413" s="455">
        <v>330</v>
      </c>
      <c r="C413" s="455">
        <v>2196.7599999999998</v>
      </c>
      <c r="D413" s="455">
        <v>132</v>
      </c>
      <c r="E413" s="455">
        <v>889.55</v>
      </c>
      <c r="F413" s="455"/>
      <c r="G413" s="455"/>
      <c r="H413" s="455"/>
      <c r="I413" s="455"/>
      <c r="J413" s="455">
        <v>462</v>
      </c>
      <c r="K413" s="455">
        <v>3086.3099999999995</v>
      </c>
      <c r="L413" s="313">
        <f t="shared" si="4"/>
        <v>6.7390151515151508</v>
      </c>
      <c r="M413">
        <f>IF(B413="","",VLOOKUP(A413,'AZ DL&amp;OH FG'!$A$7:$C$385,3,0)-B413)</f>
        <v>0</v>
      </c>
      <c r="N413">
        <f>IF(D413="","",VLOOKUP(A413&amp;"",'FL DL&amp;OH FG'!$A$7:$C$381,3,0)-D413)</f>
        <v>0</v>
      </c>
      <c r="O413" t="str">
        <f>IF(F413="","",VLOOKUP(A413,'TX DL&amp;OH FG'!$A$7:$C$261,3,0)-F413)</f>
        <v/>
      </c>
      <c r="P413" s="1"/>
      <c r="Q413" s="1"/>
      <c r="R413" s="1"/>
      <c r="S413" s="2"/>
      <c r="T413" s="18"/>
      <c r="U413" s="18"/>
    </row>
    <row r="414" spans="1:21">
      <c r="A414" s="457">
        <v>8513</v>
      </c>
      <c r="B414" s="455">
        <v>656</v>
      </c>
      <c r="C414" s="455">
        <v>8679.14</v>
      </c>
      <c r="D414" s="455">
        <v>430</v>
      </c>
      <c r="E414" s="455">
        <v>5296.4</v>
      </c>
      <c r="F414" s="455"/>
      <c r="G414" s="455"/>
      <c r="H414" s="455"/>
      <c r="I414" s="455"/>
      <c r="J414" s="455">
        <v>1086</v>
      </c>
      <c r="K414" s="455">
        <v>13975.539999999999</v>
      </c>
      <c r="L414" s="313">
        <f t="shared" si="4"/>
        <v>12.31720930232558</v>
      </c>
      <c r="M414">
        <f>IF(B414="","",VLOOKUP(A414,'AZ DL&amp;OH FG'!$A$7:$C$385,3,0)-B414)</f>
        <v>0</v>
      </c>
      <c r="N414">
        <f>IF(D414="","",VLOOKUP(A414&amp;"",'FL DL&amp;OH FG'!$A$7:$C$381,3,0)-D414)</f>
        <v>0</v>
      </c>
      <c r="O414" t="str">
        <f>IF(F414="","",VLOOKUP(A414,'TX DL&amp;OH FG'!$A$7:$C$261,3,0)-F414)</f>
        <v/>
      </c>
      <c r="P414" s="1"/>
      <c r="Q414" s="1"/>
      <c r="R414" s="1"/>
      <c r="S414" s="2"/>
      <c r="T414" s="18"/>
      <c r="U414" s="18"/>
    </row>
    <row r="415" spans="1:21">
      <c r="A415" s="457">
        <v>8554</v>
      </c>
      <c r="B415" s="455"/>
      <c r="C415" s="455"/>
      <c r="D415" s="455">
        <v>150</v>
      </c>
      <c r="E415" s="455">
        <v>1940.3899999999999</v>
      </c>
      <c r="F415" s="455"/>
      <c r="G415" s="455"/>
      <c r="H415" s="455"/>
      <c r="I415" s="455"/>
      <c r="J415" s="455">
        <v>150</v>
      </c>
      <c r="K415" s="455">
        <v>1940.3899999999999</v>
      </c>
      <c r="L415" s="313">
        <f t="shared" si="4"/>
        <v>12.935933333333333</v>
      </c>
      <c r="M415" t="str">
        <f>IF(B415="","",VLOOKUP(A415,'AZ DL&amp;OH FG'!$A$7:$C$385,3,0)-B415)</f>
        <v/>
      </c>
      <c r="N415">
        <f>IF(D415="","",VLOOKUP(A415&amp;"",'FL DL&amp;OH FG'!$A$7:$C$381,3,0)-D415)</f>
        <v>0</v>
      </c>
      <c r="O415" t="str">
        <f>IF(F415="","",VLOOKUP(A415,'TX DL&amp;OH FG'!$A$7:$C$261,3,0)-F415)</f>
        <v/>
      </c>
      <c r="P415" s="1"/>
      <c r="Q415" s="1"/>
      <c r="R415" s="1"/>
      <c r="S415" s="2"/>
      <c r="T415" s="18"/>
      <c r="U415" s="18"/>
    </row>
    <row r="416" spans="1:21">
      <c r="A416" s="457">
        <v>9002</v>
      </c>
      <c r="B416" s="455">
        <v>869</v>
      </c>
      <c r="C416" s="455">
        <v>5854.63</v>
      </c>
      <c r="D416" s="455">
        <v>414</v>
      </c>
      <c r="E416" s="455">
        <v>3170.0600000000004</v>
      </c>
      <c r="F416" s="455"/>
      <c r="G416" s="455"/>
      <c r="H416" s="455"/>
      <c r="I416" s="455"/>
      <c r="J416" s="455">
        <v>1283</v>
      </c>
      <c r="K416" s="455">
        <v>9024.69</v>
      </c>
      <c r="L416" s="313">
        <f t="shared" si="4"/>
        <v>7.6571497584541071</v>
      </c>
      <c r="M416">
        <f>IF(B416="","",VLOOKUP(A416,'AZ DL&amp;OH FG'!$A$7:$C$385,3,0)-B416)</f>
        <v>0</v>
      </c>
      <c r="N416">
        <f>IF(D416="","",VLOOKUP(A416&amp;"",'FL DL&amp;OH FG'!$A$7:$C$381,3,0)-D416)</f>
        <v>0</v>
      </c>
      <c r="O416" t="str">
        <f>IF(F416="","",VLOOKUP(A416,'TX DL&amp;OH FG'!$A$7:$C$261,3,0)-F416)</f>
        <v/>
      </c>
      <c r="P416" s="1"/>
      <c r="Q416" s="1"/>
      <c r="R416" s="1"/>
      <c r="S416" s="2"/>
      <c r="T416" s="18"/>
      <c r="U416" s="18"/>
    </row>
    <row r="417" spans="1:21">
      <c r="A417" s="457">
        <v>9006</v>
      </c>
      <c r="B417" s="455">
        <v>922</v>
      </c>
      <c r="C417" s="455">
        <v>6191.51</v>
      </c>
      <c r="D417" s="455">
        <v>370</v>
      </c>
      <c r="E417" s="455">
        <v>3167.5299999999997</v>
      </c>
      <c r="F417" s="455"/>
      <c r="G417" s="455"/>
      <c r="H417" s="455"/>
      <c r="I417" s="455"/>
      <c r="J417" s="455">
        <v>1292</v>
      </c>
      <c r="K417" s="455">
        <v>9359.0400000000009</v>
      </c>
      <c r="L417" s="313">
        <f t="shared" si="4"/>
        <v>8.5608918918918917</v>
      </c>
      <c r="M417">
        <f>IF(B417="","",VLOOKUP(A417,'AZ DL&amp;OH FG'!$A$7:$C$385,3,0)-B417)</f>
        <v>0</v>
      </c>
      <c r="N417">
        <f>IF(D417="","",VLOOKUP(A417&amp;"",'FL DL&amp;OH FG'!$A$7:$C$381,3,0)-D417)</f>
        <v>0</v>
      </c>
      <c r="O417" t="str">
        <f>IF(F417="","",VLOOKUP(A417,'TX DL&amp;OH FG'!$A$7:$C$261,3,0)-F417)</f>
        <v/>
      </c>
      <c r="P417" s="1"/>
      <c r="Q417" s="1"/>
      <c r="R417" s="1"/>
      <c r="S417" s="2"/>
      <c r="T417" s="18"/>
      <c r="U417" s="18"/>
    </row>
    <row r="418" spans="1:21">
      <c r="A418" s="457">
        <v>9091</v>
      </c>
      <c r="B418" s="455">
        <v>1243</v>
      </c>
      <c r="C418" s="455">
        <v>8297.26</v>
      </c>
      <c r="D418" s="455">
        <v>1740</v>
      </c>
      <c r="E418" s="455">
        <v>14026.88</v>
      </c>
      <c r="F418" s="455"/>
      <c r="G418" s="455"/>
      <c r="H418" s="455"/>
      <c r="I418" s="455"/>
      <c r="J418" s="455">
        <v>2983</v>
      </c>
      <c r="K418" s="455">
        <v>22324.14</v>
      </c>
      <c r="L418" s="313">
        <f>E418/D418</f>
        <v>8.0614252873563217</v>
      </c>
      <c r="M418">
        <f>IF(B418="","",VLOOKUP(A418,'AZ DL&amp;OH FG'!$A$7:$C$385,3,0)-B418)</f>
        <v>0</v>
      </c>
      <c r="N418">
        <f>IF(D418="","",VLOOKUP(A418&amp;"",'FL DL&amp;OH FG'!$A$7:$C$381,3,0)-D418)</f>
        <v>0</v>
      </c>
      <c r="O418" t="str">
        <f>IF(F418="","",VLOOKUP(A418,'TX DL&amp;OH FG'!$A$7:$C$261,3,0)-F418)</f>
        <v/>
      </c>
      <c r="P418" s="1"/>
      <c r="Q418" s="1"/>
      <c r="R418" s="1"/>
      <c r="S418" s="2"/>
      <c r="T418" s="18"/>
      <c r="U418" s="18"/>
    </row>
    <row r="419" spans="1:21">
      <c r="A419" s="457">
        <v>9102</v>
      </c>
      <c r="B419" s="455">
        <v>67</v>
      </c>
      <c r="C419" s="455">
        <v>1394.76</v>
      </c>
      <c r="D419" s="455"/>
      <c r="E419" s="455"/>
      <c r="F419" s="455"/>
      <c r="G419" s="455"/>
      <c r="H419" s="455"/>
      <c r="I419" s="455"/>
      <c r="J419" s="455">
        <v>67</v>
      </c>
      <c r="K419" s="455">
        <v>1394.76</v>
      </c>
      <c r="L419" s="313" t="e">
        <f t="shared" si="4"/>
        <v>#DIV/0!</v>
      </c>
      <c r="M419">
        <f>IF(B419="","",VLOOKUP(A419,'AZ DL&amp;OH FG'!$A$7:$C$385,3,0)-B419)</f>
        <v>0</v>
      </c>
      <c r="N419" t="str">
        <f>IF(D419="","",VLOOKUP(A419&amp;"",'FL DL&amp;OH FG'!$A$7:$C$381,3,0)-D419)</f>
        <v/>
      </c>
      <c r="O419" t="str">
        <f>IF(F419="","",VLOOKUP(A419,'TX DL&amp;OH FG'!$A$7:$C$261,3,0)-F419)</f>
        <v/>
      </c>
      <c r="P419" s="1"/>
      <c r="Q419" s="1"/>
      <c r="R419" s="1"/>
      <c r="S419" s="2"/>
      <c r="T419" s="18"/>
      <c r="U419" s="18"/>
    </row>
    <row r="420" spans="1:21">
      <c r="A420" s="457">
        <v>9123</v>
      </c>
      <c r="B420" s="455">
        <v>1847</v>
      </c>
      <c r="C420" s="455">
        <v>44805.63</v>
      </c>
      <c r="D420" s="455">
        <v>6507</v>
      </c>
      <c r="E420" s="455">
        <v>153021.45000000001</v>
      </c>
      <c r="F420" s="455"/>
      <c r="G420" s="455"/>
      <c r="H420" s="455"/>
      <c r="I420" s="455"/>
      <c r="J420" s="455">
        <v>8354</v>
      </c>
      <c r="K420" s="455">
        <v>197827.08000000002</v>
      </c>
      <c r="L420" s="313">
        <f t="shared" si="4"/>
        <v>23.516436145689259</v>
      </c>
      <c r="M420">
        <f>IF(B420="","",VLOOKUP(A420,'AZ DL&amp;OH FG'!$A$7:$C$385,3,0)-B420)</f>
        <v>0</v>
      </c>
      <c r="N420">
        <f>IF(D420="","",VLOOKUP(A420&amp;"",'FL DL&amp;OH FG'!$A$7:$C$381,3,0)-D420)</f>
        <v>0</v>
      </c>
      <c r="O420" t="str">
        <f>IF(F420="","",VLOOKUP(A420,'TX DL&amp;OH FG'!$A$7:$C$261,3,0)-F420)</f>
        <v/>
      </c>
      <c r="P420" s="1"/>
      <c r="Q420" s="1"/>
      <c r="R420" s="1"/>
      <c r="S420" s="2"/>
      <c r="T420" s="18"/>
      <c r="U420" s="18"/>
    </row>
    <row r="421" spans="1:21">
      <c r="A421" s="457">
        <v>9131</v>
      </c>
      <c r="B421" s="455">
        <v>396</v>
      </c>
      <c r="C421" s="455">
        <v>7241.14</v>
      </c>
      <c r="D421" s="455">
        <v>901</v>
      </c>
      <c r="E421" s="455">
        <v>16418.919999999998</v>
      </c>
      <c r="F421" s="455"/>
      <c r="G421" s="455"/>
      <c r="H421" s="455"/>
      <c r="I421" s="455"/>
      <c r="J421" s="455">
        <v>1297</v>
      </c>
      <c r="K421" s="455">
        <v>23660.059999999998</v>
      </c>
      <c r="L421" s="313">
        <f t="shared" si="4"/>
        <v>18.222996670366257</v>
      </c>
      <c r="M421">
        <f>IF(B421="","",VLOOKUP(A421,'AZ DL&amp;OH FG'!$A$7:$C$385,3,0)-B421)</f>
        <v>0</v>
      </c>
      <c r="N421">
        <f>IF(D421="","",VLOOKUP(A421&amp;"",'FL DL&amp;OH FG'!$A$7:$C$381,3,0)-D421)</f>
        <v>0</v>
      </c>
      <c r="O421" t="str">
        <f>IF(F421="","",VLOOKUP(A421,'TX DL&amp;OH FG'!$A$7:$C$261,3,0)-F421)</f>
        <v/>
      </c>
      <c r="P421" s="1"/>
      <c r="Q421" s="1"/>
      <c r="R421" s="1"/>
      <c r="S421" s="2"/>
      <c r="T421" s="18"/>
      <c r="U421" s="18"/>
    </row>
    <row r="422" spans="1:21">
      <c r="A422" s="457">
        <v>9166</v>
      </c>
      <c r="B422" s="455">
        <v>2956</v>
      </c>
      <c r="C422" s="455">
        <v>46252.24</v>
      </c>
      <c r="D422" s="455">
        <v>10124</v>
      </c>
      <c r="E422" s="455">
        <v>161357.9</v>
      </c>
      <c r="F422" s="455"/>
      <c r="G422" s="455"/>
      <c r="H422" s="455"/>
      <c r="I422" s="455"/>
      <c r="J422" s="455">
        <v>13080</v>
      </c>
      <c r="K422" s="455">
        <v>207610.13999999998</v>
      </c>
      <c r="L422" s="313">
        <f t="shared" si="4"/>
        <v>15.938156854998024</v>
      </c>
      <c r="M422">
        <f>IF(B422="","",VLOOKUP(A422,'AZ DL&amp;OH FG'!$A$7:$C$385,3,0)-B422)</f>
        <v>0</v>
      </c>
      <c r="N422">
        <f>IF(D422="","",VLOOKUP(A422&amp;"",'FL DL&amp;OH FG'!$A$7:$C$381,3,0)-D422)</f>
        <v>0</v>
      </c>
      <c r="O422" t="str">
        <f>IF(F422="","",VLOOKUP(A422,'TX DL&amp;OH FG'!$A$7:$C$261,3,0)-F422)</f>
        <v/>
      </c>
      <c r="P422" s="1"/>
      <c r="Q422" s="1"/>
      <c r="R422" s="1"/>
      <c r="S422" s="2"/>
      <c r="T422" s="18"/>
      <c r="U422" s="18"/>
    </row>
    <row r="423" spans="1:21">
      <c r="A423" s="457">
        <v>9314</v>
      </c>
      <c r="B423" s="455">
        <v>1137</v>
      </c>
      <c r="C423" s="455">
        <v>7494.76</v>
      </c>
      <c r="D423" s="455">
        <v>1756</v>
      </c>
      <c r="E423" s="455">
        <v>10875.21</v>
      </c>
      <c r="F423" s="455"/>
      <c r="G423" s="455"/>
      <c r="H423" s="455"/>
      <c r="I423" s="455"/>
      <c r="J423" s="455">
        <v>2893</v>
      </c>
      <c r="K423" s="455">
        <v>18369.97</v>
      </c>
      <c r="L423" s="313">
        <f t="shared" si="4"/>
        <v>6.1931719817767652</v>
      </c>
      <c r="M423">
        <f>IF(B423="","",VLOOKUP(A423,'AZ DL&amp;OH FG'!$A$7:$C$385,3,0)-B423)</f>
        <v>0</v>
      </c>
      <c r="N423">
        <f>IF(D423="","",VLOOKUP(A423&amp;"",'FL DL&amp;OH FG'!$A$7:$C$381,3,0)-D423)</f>
        <v>0</v>
      </c>
      <c r="O423" t="str">
        <f>IF(F423="","",VLOOKUP(A423,'TX DL&amp;OH FG'!$A$7:$C$261,3,0)-F423)</f>
        <v/>
      </c>
      <c r="P423" s="1"/>
      <c r="Q423" s="1"/>
      <c r="R423" s="1"/>
      <c r="S423" s="2"/>
      <c r="T423" s="18"/>
      <c r="U423" s="18"/>
    </row>
    <row r="424" spans="1:21">
      <c r="A424" s="457">
        <v>9454</v>
      </c>
      <c r="B424" s="455">
        <v>272</v>
      </c>
      <c r="C424" s="455">
        <v>5822.16</v>
      </c>
      <c r="D424" s="455"/>
      <c r="E424" s="455"/>
      <c r="F424" s="455"/>
      <c r="G424" s="455"/>
      <c r="H424" s="455"/>
      <c r="I424" s="455"/>
      <c r="J424" s="455">
        <v>272</v>
      </c>
      <c r="K424" s="455">
        <v>5822.16</v>
      </c>
      <c r="L424" s="313" t="e">
        <f t="shared" si="4"/>
        <v>#DIV/0!</v>
      </c>
      <c r="M424">
        <f>IF(B424="","",VLOOKUP(A424,'AZ DL&amp;OH FG'!$A$7:$C$385,3,0)-B424)</f>
        <v>0</v>
      </c>
      <c r="N424" t="str">
        <f>IF(D424="","",VLOOKUP(A424&amp;"",'FL DL&amp;OH FG'!$A$7:$C$381,3,0)-D424)</f>
        <v/>
      </c>
      <c r="O424" t="str">
        <f>IF(F424="","",VLOOKUP(A424,'TX DL&amp;OH FG'!$A$7:$C$261,3,0)-F424)</f>
        <v/>
      </c>
      <c r="P424" s="1"/>
      <c r="Q424" s="1"/>
      <c r="R424" s="1"/>
      <c r="S424" s="2"/>
      <c r="T424" s="18"/>
      <c r="U424" s="18"/>
    </row>
    <row r="425" spans="1:21">
      <c r="A425" s="457">
        <v>9456</v>
      </c>
      <c r="B425" s="455">
        <v>473</v>
      </c>
      <c r="C425" s="455">
        <v>12761.21</v>
      </c>
      <c r="D425" s="455">
        <v>678</v>
      </c>
      <c r="E425" s="455">
        <v>17237.07</v>
      </c>
      <c r="F425" s="455"/>
      <c r="G425" s="455"/>
      <c r="H425" s="455"/>
      <c r="I425" s="455"/>
      <c r="J425" s="455">
        <v>1151</v>
      </c>
      <c r="K425" s="455">
        <v>29998.28</v>
      </c>
      <c r="L425" s="313">
        <f t="shared" si="4"/>
        <v>25.423407079646019</v>
      </c>
      <c r="M425">
        <f>IF(B425="","",VLOOKUP(A425,'AZ DL&amp;OH FG'!$A$7:$C$385,3,0)-B425)</f>
        <v>0</v>
      </c>
      <c r="N425">
        <f>IF(D425="","",VLOOKUP(A425&amp;"",'FL DL&amp;OH FG'!$A$7:$C$381,3,0)-D425)</f>
        <v>0</v>
      </c>
      <c r="O425" t="str">
        <f>IF(F425="","",VLOOKUP(A425,'TX DL&amp;OH FG'!$A$7:$C$261,3,0)-F425)</f>
        <v/>
      </c>
      <c r="P425" s="1"/>
      <c r="Q425" s="1"/>
      <c r="R425" s="1"/>
      <c r="S425" s="2"/>
      <c r="T425" s="18"/>
      <c r="U425" s="18"/>
    </row>
    <row r="426" spans="1:21">
      <c r="A426" s="457">
        <v>9630</v>
      </c>
      <c r="B426" s="455"/>
      <c r="C426" s="455"/>
      <c r="D426" s="455">
        <v>4001</v>
      </c>
      <c r="E426" s="455">
        <v>69321.59</v>
      </c>
      <c r="F426" s="455"/>
      <c r="G426" s="455"/>
      <c r="H426" s="455"/>
      <c r="I426" s="455"/>
      <c r="J426" s="455">
        <v>4001</v>
      </c>
      <c r="K426" s="455">
        <v>69321.59</v>
      </c>
      <c r="L426" s="313">
        <f t="shared" si="4"/>
        <v>17.326065983504122</v>
      </c>
      <c r="M426" t="str">
        <f>IF(B426="","",VLOOKUP(A426,'AZ DL&amp;OH FG'!$A$7:$C$385,3,0)-B426)</f>
        <v/>
      </c>
      <c r="N426">
        <f>IF(D426="","",VLOOKUP(A426&amp;"",'FL DL&amp;OH FG'!$A$7:$C$381,3,0)-D426)</f>
        <v>0</v>
      </c>
      <c r="O426" t="str">
        <f>IF(F426="","",VLOOKUP(A426,'TX DL&amp;OH FG'!$A$7:$C$261,3,0)-F426)</f>
        <v/>
      </c>
      <c r="P426" s="1"/>
      <c r="Q426" s="1"/>
      <c r="R426" s="1"/>
      <c r="S426" s="2"/>
      <c r="T426" s="18"/>
      <c r="U426" s="18"/>
    </row>
    <row r="427" spans="1:21">
      <c r="A427" s="457">
        <v>9660</v>
      </c>
      <c r="B427" s="455">
        <v>1625</v>
      </c>
      <c r="C427" s="455">
        <v>27578.85</v>
      </c>
      <c r="D427" s="455">
        <v>1094</v>
      </c>
      <c r="E427" s="455">
        <v>17536.710000000003</v>
      </c>
      <c r="F427" s="455"/>
      <c r="G427" s="455"/>
      <c r="H427" s="455"/>
      <c r="I427" s="455"/>
      <c r="J427" s="455">
        <v>2719</v>
      </c>
      <c r="K427" s="455">
        <v>45115.56</v>
      </c>
      <c r="L427" s="313">
        <f t="shared" si="4"/>
        <v>16.029899451553934</v>
      </c>
      <c r="M427">
        <f>IF(B427="","",VLOOKUP(A427,'AZ DL&amp;OH FG'!$A$7:$C$385,3,0)-B427)</f>
        <v>0</v>
      </c>
      <c r="N427">
        <f>IF(D427="","",VLOOKUP(A427&amp;"",'FL DL&amp;OH FG'!$A$7:$C$381,3,0)-D427)</f>
        <v>0</v>
      </c>
      <c r="O427" t="str">
        <f>IF(F427="","",VLOOKUP(A427,'TX DL&amp;OH FG'!$A$7:$C$261,3,0)-F427)</f>
        <v/>
      </c>
      <c r="P427" s="1"/>
      <c r="Q427" s="1"/>
      <c r="R427" s="1"/>
      <c r="S427" s="2"/>
      <c r="T427" s="18"/>
      <c r="U427" s="18"/>
    </row>
    <row r="428" spans="1:21">
      <c r="A428" s="457">
        <v>9814</v>
      </c>
      <c r="B428" s="455">
        <v>170</v>
      </c>
      <c r="C428" s="455">
        <v>3922.31</v>
      </c>
      <c r="D428" s="455">
        <v>7078</v>
      </c>
      <c r="E428" s="455">
        <v>154488.06</v>
      </c>
      <c r="F428" s="455"/>
      <c r="G428" s="455"/>
      <c r="H428" s="455"/>
      <c r="I428" s="455"/>
      <c r="J428" s="455">
        <v>7248</v>
      </c>
      <c r="K428" s="455">
        <v>158410.37</v>
      </c>
      <c r="L428" s="313">
        <f t="shared" si="4"/>
        <v>21.82651313930489</v>
      </c>
      <c r="M428">
        <f>IF(B428="","",VLOOKUP(A428,'AZ DL&amp;OH FG'!$A$7:$C$385,3,0)-B428)</f>
        <v>0</v>
      </c>
      <c r="N428">
        <f>IF(D428="","",VLOOKUP(A428&amp;"",'FL DL&amp;OH FG'!$A$7:$C$381,3,0)-D428)</f>
        <v>0</v>
      </c>
      <c r="O428" t="str">
        <f>IF(F428="","",VLOOKUP(A428,'TX DL&amp;OH FG'!$A$7:$C$261,3,0)-F428)</f>
        <v/>
      </c>
      <c r="P428" s="1"/>
      <c r="Q428" s="1"/>
      <c r="R428" s="1"/>
      <c r="S428" s="2"/>
      <c r="T428" s="18"/>
      <c r="U428" s="18"/>
    </row>
    <row r="429" spans="1:21">
      <c r="A429" s="457">
        <v>9818</v>
      </c>
      <c r="B429" s="455">
        <v>550</v>
      </c>
      <c r="C429" s="455">
        <v>11595.1</v>
      </c>
      <c r="D429" s="455"/>
      <c r="E429" s="455"/>
      <c r="F429" s="455"/>
      <c r="G429" s="455"/>
      <c r="H429" s="455"/>
      <c r="I429" s="455"/>
      <c r="J429" s="455">
        <v>550</v>
      </c>
      <c r="K429" s="455">
        <v>11595.1</v>
      </c>
      <c r="L429" s="313" t="e">
        <f t="shared" si="4"/>
        <v>#DIV/0!</v>
      </c>
      <c r="M429">
        <f>IF(B429="","",VLOOKUP(A429,'AZ DL&amp;OH FG'!$A$7:$C$385,3,0)-B429)</f>
        <v>0</v>
      </c>
      <c r="N429" t="str">
        <f>IF(D429="","",VLOOKUP(A429&amp;"",'FL DL&amp;OH FG'!$A$7:$C$381,3,0)-D429)</f>
        <v/>
      </c>
      <c r="O429" t="str">
        <f>IF(F429="","",VLOOKUP(A429,'TX DL&amp;OH FG'!$A$7:$C$261,3,0)-F429)</f>
        <v/>
      </c>
      <c r="P429" s="1"/>
      <c r="Q429" s="1"/>
      <c r="R429" s="1"/>
      <c r="S429" s="2"/>
      <c r="T429" s="18"/>
      <c r="U429" s="18"/>
    </row>
    <row r="430" spans="1:21">
      <c r="A430" s="457">
        <v>9820</v>
      </c>
      <c r="B430" s="455">
        <v>5828</v>
      </c>
      <c r="C430" s="455">
        <v>78490.92</v>
      </c>
      <c r="D430" s="455">
        <v>1592</v>
      </c>
      <c r="E430" s="455">
        <v>21878.54</v>
      </c>
      <c r="F430" s="455"/>
      <c r="G430" s="455"/>
      <c r="H430" s="455"/>
      <c r="I430" s="455"/>
      <c r="J430" s="455">
        <v>7420</v>
      </c>
      <c r="K430" s="455">
        <v>100369.45999999999</v>
      </c>
      <c r="L430" s="313">
        <f t="shared" si="4"/>
        <v>13.742801507537688</v>
      </c>
      <c r="M430">
        <f>IF(B430="","",VLOOKUP(A430,'AZ DL&amp;OH FG'!$A$7:$C$385,3,0)-B430)</f>
        <v>0</v>
      </c>
      <c r="N430">
        <f>IF(D430="","",VLOOKUP(A430&amp;"",'FL DL&amp;OH FG'!$A$7:$C$381,3,0)-D430)</f>
        <v>0</v>
      </c>
      <c r="O430" t="str">
        <f>IF(F430="","",VLOOKUP(A430,'TX DL&amp;OH FG'!$A$7:$C$261,3,0)-F430)</f>
        <v/>
      </c>
      <c r="P430" s="1"/>
      <c r="Q430" s="1"/>
      <c r="R430" s="1"/>
      <c r="S430" s="2"/>
      <c r="T430" s="18"/>
      <c r="U430" s="18"/>
    </row>
    <row r="431" spans="1:21">
      <c r="A431" s="457">
        <v>9823</v>
      </c>
      <c r="B431" s="455"/>
      <c r="C431" s="455"/>
      <c r="D431" s="455">
        <v>1707</v>
      </c>
      <c r="E431" s="455">
        <v>27205.65</v>
      </c>
      <c r="F431" s="455"/>
      <c r="G431" s="455"/>
      <c r="H431" s="455"/>
      <c r="I431" s="455"/>
      <c r="J431" s="455">
        <v>1707</v>
      </c>
      <c r="K431" s="455">
        <v>27205.65</v>
      </c>
      <c r="L431" s="313">
        <f t="shared" si="4"/>
        <v>15.937697715289984</v>
      </c>
      <c r="M431" t="str">
        <f>IF(B431="","",VLOOKUP(A431,'AZ DL&amp;OH FG'!$A$7:$C$385,3,0)-B431)</f>
        <v/>
      </c>
      <c r="N431">
        <f>IF(D431="","",VLOOKUP(A431&amp;"",'FL DL&amp;OH FG'!$A$7:$C$381,3,0)-D431)</f>
        <v>0</v>
      </c>
      <c r="O431" t="str">
        <f>IF(F431="","",VLOOKUP(A431,'TX DL&amp;OH FG'!$A$7:$C$261,3,0)-F431)</f>
        <v/>
      </c>
      <c r="P431" s="1"/>
      <c r="Q431" s="1"/>
      <c r="R431" s="1"/>
      <c r="S431" s="2"/>
      <c r="T431" s="18"/>
      <c r="U431" s="18"/>
    </row>
    <row r="432" spans="1:21">
      <c r="A432" s="457">
        <v>9910</v>
      </c>
      <c r="B432" s="455"/>
      <c r="C432" s="455"/>
      <c r="D432" s="455">
        <v>32907</v>
      </c>
      <c r="E432" s="455">
        <v>376906.91</v>
      </c>
      <c r="F432" s="455"/>
      <c r="G432" s="455"/>
      <c r="H432" s="455"/>
      <c r="I432" s="455"/>
      <c r="J432" s="455">
        <v>32907</v>
      </c>
      <c r="K432" s="455">
        <v>376906.91</v>
      </c>
      <c r="L432" s="313">
        <f t="shared" si="4"/>
        <v>11.453700124593551</v>
      </c>
      <c r="M432" t="str">
        <f>IF(B432="","",VLOOKUP(A432,'AZ DL&amp;OH FG'!$A$7:$C$385,3,0)-B432)</f>
        <v/>
      </c>
      <c r="N432">
        <f>IF(D432="","",VLOOKUP(A432&amp;"",'FL DL&amp;OH FG'!$A$7:$C$381,3,0)-D432)</f>
        <v>0</v>
      </c>
      <c r="O432" t="str">
        <f>IF(F432="","",VLOOKUP(A432,'TX DL&amp;OH FG'!$A$7:$C$261,3,0)-F432)</f>
        <v/>
      </c>
      <c r="P432" s="1"/>
      <c r="Q432" s="1"/>
      <c r="R432" s="1"/>
      <c r="S432" s="2"/>
      <c r="T432" s="18"/>
      <c r="U432" s="18"/>
    </row>
    <row r="433" spans="1:21">
      <c r="A433" s="457" t="s">
        <v>651</v>
      </c>
      <c r="B433" s="455"/>
      <c r="C433" s="455"/>
      <c r="D433" s="455"/>
      <c r="E433" s="455"/>
      <c r="F433" s="455">
        <v>9703</v>
      </c>
      <c r="G433" s="455">
        <v>83304.66</v>
      </c>
      <c r="H433" s="455"/>
      <c r="I433" s="455"/>
      <c r="J433" s="455">
        <v>9703</v>
      </c>
      <c r="K433" s="455">
        <v>83304.66</v>
      </c>
      <c r="L433" s="313" t="e">
        <f t="shared" si="4"/>
        <v>#DIV/0!</v>
      </c>
      <c r="M433" t="str">
        <f>IF(B433="","",VLOOKUP(A433,'AZ DL&amp;OH FG'!$A$7:$C$385,3,0)-B433)</f>
        <v/>
      </c>
      <c r="N433" t="str">
        <f>IF(D433="","",VLOOKUP(A433&amp;"",'FL DL&amp;OH FG'!$A$7:$C$381,3,0)-D433)</f>
        <v/>
      </c>
      <c r="O433">
        <f>IF(F433="","",VLOOKUP(A433,'TX DL&amp;OH FG'!$A$7:$C$261,3,0)-F433)</f>
        <v>0</v>
      </c>
      <c r="P433" s="1"/>
      <c r="Q433" s="1"/>
      <c r="R433" s="1"/>
      <c r="S433" s="2"/>
      <c r="T433" s="18"/>
      <c r="U433" s="18"/>
    </row>
    <row r="434" spans="1:21">
      <c r="A434" s="457" t="s">
        <v>312</v>
      </c>
      <c r="B434" s="455">
        <v>571</v>
      </c>
      <c r="C434" s="455">
        <v>8229.31</v>
      </c>
      <c r="D434" s="455">
        <v>2482</v>
      </c>
      <c r="E434" s="455">
        <v>38542.730000000003</v>
      </c>
      <c r="F434" s="455"/>
      <c r="G434" s="455"/>
      <c r="H434" s="455"/>
      <c r="I434" s="455"/>
      <c r="J434" s="455">
        <v>3053</v>
      </c>
      <c r="K434" s="455">
        <v>46772.04</v>
      </c>
      <c r="L434" s="313">
        <f t="shared" si="4"/>
        <v>15.528900080580179</v>
      </c>
      <c r="M434">
        <f>IF(B434="","",VLOOKUP(A434,'AZ DL&amp;OH FG'!$A$7:$C$385,3,0)-B434)</f>
        <v>0</v>
      </c>
      <c r="N434">
        <f>IF(D434="","",VLOOKUP(A434&amp;"",'FL DL&amp;OH FG'!$A$7:$C$381,3,0)-D434)</f>
        <v>0</v>
      </c>
      <c r="O434" t="str">
        <f>IF(F434="","",VLOOKUP(A434,'TX DL&amp;OH FG'!$A$7:$C$261,3,0)-F434)</f>
        <v/>
      </c>
      <c r="P434" s="1"/>
      <c r="Q434" s="1"/>
      <c r="R434" s="1"/>
      <c r="S434" s="2"/>
      <c r="T434" s="18"/>
      <c r="U434" s="18"/>
    </row>
    <row r="435" spans="1:21">
      <c r="A435" s="227" t="s">
        <v>369</v>
      </c>
      <c r="B435" s="81">
        <v>144</v>
      </c>
      <c r="C435" s="81">
        <v>4249.53</v>
      </c>
      <c r="D435" s="81">
        <v>4541</v>
      </c>
      <c r="E435" s="81">
        <v>131991.61000000002</v>
      </c>
      <c r="F435" s="81"/>
      <c r="G435" s="81"/>
      <c r="H435" s="81"/>
      <c r="I435" s="81"/>
      <c r="J435" s="81">
        <v>4685</v>
      </c>
      <c r="K435" s="81">
        <v>136241.14000000001</v>
      </c>
      <c r="L435" s="313">
        <f t="shared" si="4"/>
        <v>29.066639506716587</v>
      </c>
      <c r="M435">
        <f>IF(B435="","",VLOOKUP(A435,'AZ DL&amp;OH FG'!$A$7:$C$385,3,0)-B435)</f>
        <v>0</v>
      </c>
      <c r="N435">
        <f>IF(D435="","",VLOOKUP(A435&amp;"",'FL DL&amp;OH FG'!$A$7:$C$381,3,0)-D435)</f>
        <v>0</v>
      </c>
      <c r="O435" t="str">
        <f>IF(F435="","",VLOOKUP(A435,'TX DL&amp;OH FG'!$A$7:$C$261,3,0)-F435)</f>
        <v/>
      </c>
      <c r="P435" s="1"/>
      <c r="Q435" s="1"/>
      <c r="R435" s="1"/>
      <c r="S435" s="2"/>
      <c r="T435" s="18"/>
      <c r="U435" s="18"/>
    </row>
    <row r="436" spans="1:21">
      <c r="A436" s="227">
        <v>4945</v>
      </c>
      <c r="B436" s="81">
        <v>32</v>
      </c>
      <c r="C436" s="81">
        <v>34225.03</v>
      </c>
      <c r="D436" s="81"/>
      <c r="E436" s="81"/>
      <c r="F436" s="81"/>
      <c r="G436" s="81"/>
      <c r="H436" s="81"/>
      <c r="I436" s="81"/>
      <c r="J436" s="81">
        <v>32</v>
      </c>
      <c r="K436" s="81">
        <v>34225.03</v>
      </c>
      <c r="L436" s="313" t="e">
        <f t="shared" si="4"/>
        <v>#DIV/0!</v>
      </c>
      <c r="M436">
        <f>IF(B436="","",VLOOKUP(A436,'AZ DL&amp;OH FG'!$A$7:$C$385,3,0)-B436)</f>
        <v>0</v>
      </c>
      <c r="N436" t="str">
        <f>IF(D436="","",VLOOKUP(A436&amp;"",'FL DL&amp;OH FG'!$A$7:$C$381,3,0)-D436)</f>
        <v/>
      </c>
      <c r="O436" t="str">
        <f>IF(F436="","",VLOOKUP(A436,'TX DL&amp;OH FG'!$A$7:$C$261,3,0)-F436)</f>
        <v/>
      </c>
      <c r="P436" s="1"/>
      <c r="Q436" s="1"/>
      <c r="R436" s="1"/>
      <c r="S436" s="2"/>
      <c r="T436" s="18"/>
      <c r="U436" s="18"/>
    </row>
    <row r="437" spans="1:21">
      <c r="A437" s="227">
        <v>9952</v>
      </c>
      <c r="B437" s="81">
        <v>0</v>
      </c>
      <c r="C437" s="81">
        <v>0</v>
      </c>
      <c r="D437" s="81"/>
      <c r="E437" s="81"/>
      <c r="F437" s="81"/>
      <c r="G437" s="81"/>
      <c r="H437" s="81"/>
      <c r="I437" s="81"/>
      <c r="J437" s="81">
        <v>0</v>
      </c>
      <c r="K437" s="81">
        <v>0</v>
      </c>
      <c r="L437" s="313" t="e">
        <f t="shared" si="4"/>
        <v>#DIV/0!</v>
      </c>
      <c r="M437">
        <f>IF(B437="","",VLOOKUP(A437,'AZ DL&amp;OH FG'!$A$7:$C$385,3,0)-B437)</f>
        <v>0</v>
      </c>
      <c r="N437" t="str">
        <f>IF(D437="","",VLOOKUP(A437&amp;"",'FL DL&amp;OH FG'!$A$7:$C$381,3,0)-D437)</f>
        <v/>
      </c>
      <c r="O437" t="str">
        <f>IF(F437="","",VLOOKUP(A437,'TX DL&amp;OH FG'!$A$7:$C$261,3,0)-F437)</f>
        <v/>
      </c>
      <c r="P437" s="1"/>
      <c r="Q437" s="1"/>
      <c r="R437" s="1"/>
      <c r="S437" s="2"/>
      <c r="T437" s="18"/>
      <c r="U437" s="18"/>
    </row>
    <row r="438" spans="1:21">
      <c r="A438" s="227">
        <v>4106</v>
      </c>
      <c r="B438" s="81">
        <v>665</v>
      </c>
      <c r="C438" s="81">
        <v>6063.7099999999991</v>
      </c>
      <c r="D438" s="81">
        <v>126</v>
      </c>
      <c r="E438" s="81">
        <v>1219.7600000000002</v>
      </c>
      <c r="F438" s="81"/>
      <c r="G438" s="81"/>
      <c r="H438" s="81"/>
      <c r="I438" s="81"/>
      <c r="J438" s="81">
        <v>791</v>
      </c>
      <c r="K438" s="81">
        <v>7283.4699999999993</v>
      </c>
      <c r="L438" s="313">
        <f t="shared" si="4"/>
        <v>9.6806349206349225</v>
      </c>
      <c r="M438">
        <f>IF(B438="","",VLOOKUP(A438,'AZ DL&amp;OH FG'!$A$7:$C$385,3,0)-B438)</f>
        <v>0</v>
      </c>
      <c r="N438" s="276">
        <f>IF(D438="","",VLOOKUP(A438,'FL DL&amp;OH FG'!$A$7:$C$381,3,0)-D438)</f>
        <v>0</v>
      </c>
      <c r="O438" t="str">
        <f>IF(F438="","",VLOOKUP(A438,'TX DL&amp;OH FG'!$A$7:$C$261,3,0)-F438)</f>
        <v/>
      </c>
      <c r="P438" s="1"/>
      <c r="Q438" s="276" t="s">
        <v>2886</v>
      </c>
      <c r="R438" s="1"/>
      <c r="S438" s="2"/>
      <c r="T438" s="18"/>
      <c r="U438" s="18"/>
    </row>
    <row r="439" spans="1:21">
      <c r="A439" s="227">
        <v>4116</v>
      </c>
      <c r="B439" s="81">
        <v>75</v>
      </c>
      <c r="C439" s="81">
        <v>504.93</v>
      </c>
      <c r="D439" s="81">
        <v>173</v>
      </c>
      <c r="E439" s="81">
        <v>1138.5500000000002</v>
      </c>
      <c r="F439" s="81"/>
      <c r="G439" s="81"/>
      <c r="H439" s="81"/>
      <c r="I439" s="81"/>
      <c r="J439" s="81">
        <v>248</v>
      </c>
      <c r="K439" s="81">
        <v>1643.4800000000002</v>
      </c>
      <c r="L439" s="313">
        <f t="shared" si="4"/>
        <v>6.5812138728323708</v>
      </c>
      <c r="M439">
        <f>IF(B439="","",VLOOKUP(A439,'AZ DL&amp;OH FG'!$A$7:$C$385,3,0)-B439)</f>
        <v>0</v>
      </c>
      <c r="N439" s="276">
        <f>IF(D439="","",VLOOKUP(A439,'FL DL&amp;OH FG'!$A$7:$C$381,3,0)-D439)</f>
        <v>0</v>
      </c>
      <c r="O439" t="str">
        <f>IF(F439="","",VLOOKUP(A439,'TX DL&amp;OH FG'!$A$7:$C$261,3,0)-F439)</f>
        <v/>
      </c>
      <c r="P439" s="1"/>
      <c r="Q439" s="276" t="s">
        <v>2886</v>
      </c>
      <c r="R439" s="1"/>
      <c r="S439" s="2"/>
      <c r="T439" s="18"/>
      <c r="U439" s="18"/>
    </row>
    <row r="440" spans="1:21">
      <c r="A440" s="227">
        <v>4136</v>
      </c>
      <c r="B440" s="81">
        <v>120</v>
      </c>
      <c r="C440" s="81">
        <v>465.5</v>
      </c>
      <c r="D440" s="81">
        <v>367</v>
      </c>
      <c r="E440" s="81">
        <v>1447.27</v>
      </c>
      <c r="F440" s="81"/>
      <c r="G440" s="81"/>
      <c r="H440" s="81"/>
      <c r="I440" s="81"/>
      <c r="J440" s="81">
        <v>487</v>
      </c>
      <c r="K440" s="81">
        <v>1912.77</v>
      </c>
      <c r="L440" s="313">
        <f t="shared" si="4"/>
        <v>3.9435149863760217</v>
      </c>
      <c r="M440">
        <f>IF(B440="","",VLOOKUP(A440,'AZ DL&amp;OH FG'!$A$7:$C$385,3,0)-B440)</f>
        <v>0</v>
      </c>
      <c r="N440" s="276">
        <f>IF(D440="","",VLOOKUP(A440,'FL DL&amp;OH FG'!$A$7:$C$381,3,0)-D440)</f>
        <v>0</v>
      </c>
      <c r="O440" t="str">
        <f>IF(F440="","",VLOOKUP(A440,'TX DL&amp;OH FG'!$A$7:$C$261,3,0)-F440)</f>
        <v/>
      </c>
      <c r="P440" s="1"/>
      <c r="Q440" s="276" t="s">
        <v>2886</v>
      </c>
      <c r="R440" s="1"/>
      <c r="S440" s="2"/>
      <c r="T440" s="18"/>
      <c r="U440" s="18"/>
    </row>
    <row r="441" spans="1:21">
      <c r="A441" s="227">
        <v>4138</v>
      </c>
      <c r="B441" s="81">
        <v>299</v>
      </c>
      <c r="C441" s="81">
        <v>1174.17</v>
      </c>
      <c r="D441" s="81">
        <v>491</v>
      </c>
      <c r="E441" s="81">
        <v>2081.98</v>
      </c>
      <c r="F441" s="81"/>
      <c r="G441" s="81"/>
      <c r="H441" s="81"/>
      <c r="I441" s="81"/>
      <c r="J441" s="81">
        <v>790</v>
      </c>
      <c r="K441" s="81">
        <v>3256.15</v>
      </c>
      <c r="L441" s="313">
        <f t="shared" si="4"/>
        <v>4.2402851323828923</v>
      </c>
      <c r="M441">
        <f>IF(B441="","",VLOOKUP(A441,'AZ DL&amp;OH FG'!$A$7:$C$385,3,0)-B441)</f>
        <v>0</v>
      </c>
      <c r="N441" s="276">
        <f>IF(D441="","",VLOOKUP(A441,'FL DL&amp;OH FG'!$A$7:$C$381,3,0)-D441)</f>
        <v>0</v>
      </c>
      <c r="O441" t="str">
        <f>IF(F441="","",VLOOKUP(A441,'TX DL&amp;OH FG'!$A$7:$C$261,3,0)-F441)</f>
        <v/>
      </c>
      <c r="P441" s="1"/>
      <c r="Q441" s="276" t="s">
        <v>2886</v>
      </c>
      <c r="R441" s="1"/>
      <c r="S441" s="2"/>
      <c r="T441" s="18"/>
      <c r="U441" s="18"/>
    </row>
    <row r="442" spans="1:21">
      <c r="A442" s="227">
        <v>9955</v>
      </c>
      <c r="B442" s="81">
        <v>8</v>
      </c>
      <c r="C442" s="81">
        <v>10977</v>
      </c>
      <c r="D442" s="81"/>
      <c r="E442" s="81"/>
      <c r="F442" s="81"/>
      <c r="G442" s="81"/>
      <c r="H442" s="81"/>
      <c r="I442" s="81"/>
      <c r="J442" s="81">
        <v>8</v>
      </c>
      <c r="K442" s="81">
        <v>10977</v>
      </c>
      <c r="L442" s="313" t="e">
        <f t="shared" si="4"/>
        <v>#DIV/0!</v>
      </c>
      <c r="M442">
        <f>IF(B442="","",VLOOKUP(A442,'AZ DL&amp;OH FG'!$A$7:$C$385,3,0)-B442)</f>
        <v>0</v>
      </c>
      <c r="N442" t="str">
        <f>IF(D442="","",VLOOKUP(A442&amp;"",'FL DL&amp;OH FG'!$A$7:$C$381,3,0)-D442)</f>
        <v/>
      </c>
      <c r="O442" t="str">
        <f>IF(F442="","",VLOOKUP(A442,'TX DL&amp;OH FG'!$A$7:$C$261,3,0)-F442)</f>
        <v/>
      </c>
      <c r="P442" s="1"/>
      <c r="Q442" s="1"/>
      <c r="R442" s="1"/>
      <c r="S442" s="2"/>
      <c r="T442" s="18"/>
      <c r="U442" s="18"/>
    </row>
    <row r="443" spans="1:21">
      <c r="A443" s="227">
        <v>4952</v>
      </c>
      <c r="B443" s="81"/>
      <c r="C443" s="81"/>
      <c r="D443" s="81">
        <v>0</v>
      </c>
      <c r="E443" s="81">
        <v>0</v>
      </c>
      <c r="F443" s="81"/>
      <c r="G443" s="81"/>
      <c r="H443" s="81"/>
      <c r="I443" s="81"/>
      <c r="J443" s="81">
        <v>0</v>
      </c>
      <c r="K443" s="81">
        <v>0</v>
      </c>
      <c r="L443" s="313" t="e">
        <f t="shared" si="4"/>
        <v>#DIV/0!</v>
      </c>
      <c r="M443" t="str">
        <f>IF(B443="","",VLOOKUP(A443,'AZ DL&amp;OH FG'!$A$7:$C$385,3,0)-B443)</f>
        <v/>
      </c>
      <c r="N443">
        <f>IF(D443="","",VLOOKUP(A443&amp;"",'FL DL&amp;OH FG'!$A$7:$C$381,3,0)-D443)</f>
        <v>0</v>
      </c>
      <c r="O443" t="str">
        <f>IF(F443="","",VLOOKUP(A443,'TX DL&amp;OH FG'!$A$7:$C$261,3,0)-F443)</f>
        <v/>
      </c>
      <c r="P443" s="1"/>
      <c r="Q443" s="1"/>
      <c r="R443" s="1"/>
      <c r="S443" s="2"/>
      <c r="T443" s="18"/>
      <c r="U443" s="18"/>
    </row>
    <row r="444" spans="1:21">
      <c r="A444" s="227">
        <v>4103</v>
      </c>
      <c r="B444" s="81"/>
      <c r="C444" s="81"/>
      <c r="D444" s="81"/>
      <c r="E444" s="81"/>
      <c r="F444" s="81">
        <v>1</v>
      </c>
      <c r="G444" s="81">
        <v>33.590000000000003</v>
      </c>
      <c r="H444" s="81"/>
      <c r="I444" s="81"/>
      <c r="J444" s="81">
        <v>1</v>
      </c>
      <c r="K444" s="81">
        <v>33.590000000000003</v>
      </c>
      <c r="L444" s="313" t="e">
        <f t="shared" si="4"/>
        <v>#DIV/0!</v>
      </c>
      <c r="M444" t="str">
        <f>IF(B444="","",VLOOKUP(A444,'AZ DL&amp;OH FG'!$A$7:$C$385,3,0)-B444)</f>
        <v/>
      </c>
      <c r="N444" t="str">
        <f>IF(D444="","",VLOOKUP(A444&amp;"",'FL DL&amp;OH FG'!$A$7:$C$381,3,0)-D444)</f>
        <v/>
      </c>
      <c r="O444">
        <f>IF(F444="","",VLOOKUP(A444,'TX DL&amp;OH FG'!$A$7:$C$261,3,0)-F444)</f>
        <v>0</v>
      </c>
      <c r="P444" s="1"/>
      <c r="Q444" s="1"/>
      <c r="R444" s="1"/>
      <c r="S444" s="2"/>
      <c r="T444" s="18"/>
      <c r="U444" s="18"/>
    </row>
    <row r="445" spans="1:21">
      <c r="A445" s="227">
        <v>4102</v>
      </c>
      <c r="B445" s="81"/>
      <c r="C445" s="81"/>
      <c r="D445" s="81"/>
      <c r="E445" s="81"/>
      <c r="F445" s="81">
        <v>3</v>
      </c>
      <c r="G445" s="81">
        <v>136.08000000000001</v>
      </c>
      <c r="H445" s="81"/>
      <c r="I445" s="81"/>
      <c r="J445" s="81">
        <v>3</v>
      </c>
      <c r="K445" s="81">
        <v>136.08000000000001</v>
      </c>
      <c r="L445" s="313" t="e">
        <f t="shared" si="4"/>
        <v>#DIV/0!</v>
      </c>
      <c r="M445" t="str">
        <f>IF(B445="","",VLOOKUP(A445,'AZ DL&amp;OH FG'!$A$7:$C$385,3,0)-B445)</f>
        <v/>
      </c>
      <c r="N445" t="str">
        <f>IF(D445="","",VLOOKUP(A445&amp;"",'FL DL&amp;OH FG'!$A$7:$C$381,3,0)-D445)</f>
        <v/>
      </c>
      <c r="O445">
        <f>IF(F445="","",VLOOKUP(A445,'TX DL&amp;OH FG'!$A$7:$C$261,3,0)-F445)</f>
        <v>0</v>
      </c>
      <c r="P445" s="1"/>
      <c r="Q445" s="1"/>
      <c r="R445" s="1"/>
      <c r="S445" s="2"/>
      <c r="T445" s="18"/>
      <c r="U445" s="18"/>
    </row>
    <row r="446" spans="1:21">
      <c r="A446" s="227">
        <v>4134</v>
      </c>
      <c r="B446" s="81"/>
      <c r="C446" s="81"/>
      <c r="D446" s="81"/>
      <c r="E446" s="81"/>
      <c r="F446" s="81">
        <v>8</v>
      </c>
      <c r="G446" s="81">
        <v>115.2</v>
      </c>
      <c r="H446" s="81"/>
      <c r="I446" s="81"/>
      <c r="J446" s="81">
        <v>8</v>
      </c>
      <c r="K446" s="81">
        <v>115.2</v>
      </c>
      <c r="L446" s="313" t="e">
        <f t="shared" si="4"/>
        <v>#DIV/0!</v>
      </c>
      <c r="M446" t="str">
        <f>IF(B446="","",VLOOKUP(A446,'AZ DL&amp;OH FG'!$A$7:$C$385,3,0)-B446)</f>
        <v/>
      </c>
      <c r="N446" t="str">
        <f>IF(D446="","",VLOOKUP(A446&amp;"",'FL DL&amp;OH FG'!$A$7:$C$381,3,0)-D446)</f>
        <v/>
      </c>
      <c r="O446">
        <f>IF(F446="","",VLOOKUP(A446,'TX DL&amp;OH FG'!$A$7:$C$261,3,0)-F446)</f>
        <v>0</v>
      </c>
      <c r="P446" s="1"/>
      <c r="Q446" s="157"/>
      <c r="R446" s="1"/>
      <c r="S446" s="2"/>
      <c r="T446" s="18"/>
      <c r="U446" s="18"/>
    </row>
    <row r="447" spans="1:21">
      <c r="A447" s="227">
        <v>6955</v>
      </c>
      <c r="B447" s="81">
        <v>0</v>
      </c>
      <c r="C447" s="81">
        <v>0</v>
      </c>
      <c r="D447" s="81"/>
      <c r="E447" s="81"/>
      <c r="F447" s="81"/>
      <c r="G447" s="81"/>
      <c r="H447" s="81"/>
      <c r="I447" s="81"/>
      <c r="J447" s="81">
        <v>0</v>
      </c>
      <c r="K447" s="81">
        <v>0</v>
      </c>
      <c r="L447" s="313" t="e">
        <f t="shared" si="4"/>
        <v>#DIV/0!</v>
      </c>
      <c r="M447">
        <f>IF(B447="","",VLOOKUP(A447,'AZ DL&amp;OH FG'!$A$7:$C$385,3,0)-B447)</f>
        <v>0</v>
      </c>
      <c r="N447" t="str">
        <f>IF(D447="","",VLOOKUP(A447&amp;"",'FL DL&amp;OH FG'!$A$7:$C$381,3,0)-D447)</f>
        <v/>
      </c>
      <c r="O447" t="str">
        <f>IF(F447="","",VLOOKUP(A447,'TX DL&amp;OH FG'!$A$7:$C$261,3,0)-F447)</f>
        <v/>
      </c>
      <c r="P447" s="1"/>
      <c r="Q447" s="157"/>
      <c r="R447" s="1"/>
      <c r="S447" s="2"/>
      <c r="T447" s="18"/>
      <c r="U447" s="18"/>
    </row>
    <row r="448" spans="1:21">
      <c r="A448" s="227">
        <v>9942</v>
      </c>
      <c r="B448" s="81">
        <v>0</v>
      </c>
      <c r="C448" s="81">
        <v>0</v>
      </c>
      <c r="D448" s="81"/>
      <c r="E448" s="81"/>
      <c r="F448" s="81"/>
      <c r="G448" s="81"/>
      <c r="H448" s="81"/>
      <c r="I448" s="81"/>
      <c r="J448" s="81">
        <v>0</v>
      </c>
      <c r="K448" s="81">
        <v>0</v>
      </c>
      <c r="L448" s="313" t="e">
        <f t="shared" si="4"/>
        <v>#DIV/0!</v>
      </c>
      <c r="M448">
        <f>IF(B448="","",VLOOKUP(A448,'AZ DL&amp;OH FG'!$A$7:$C$385,3,0)-B448)</f>
        <v>0</v>
      </c>
      <c r="N448" t="str">
        <f>IF(D448="","",VLOOKUP(A448&amp;"",'FL DL&amp;OH FG'!$A$7:$C$381,3,0)-D448)</f>
        <v/>
      </c>
      <c r="O448" t="str">
        <f>IF(F448="","",VLOOKUP(A448,'TX DL&amp;OH FG'!$A$7:$C$261,3,0)-F448)</f>
        <v/>
      </c>
      <c r="P448" s="1"/>
      <c r="Q448" s="157"/>
      <c r="R448" s="1"/>
      <c r="S448" s="2"/>
      <c r="T448" s="18"/>
      <c r="U448" s="18"/>
    </row>
    <row r="449" spans="1:21">
      <c r="A449" s="227" t="s">
        <v>2347</v>
      </c>
      <c r="B449" s="81"/>
      <c r="C449" s="81"/>
      <c r="D449" s="81"/>
      <c r="E449" s="81"/>
      <c r="F449" s="81">
        <v>0</v>
      </c>
      <c r="G449" s="81">
        <v>0</v>
      </c>
      <c r="H449" s="81"/>
      <c r="I449" s="81"/>
      <c r="J449" s="81">
        <v>0</v>
      </c>
      <c r="K449" s="81">
        <v>0</v>
      </c>
      <c r="L449" s="313" t="e">
        <f t="shared" si="4"/>
        <v>#DIV/0!</v>
      </c>
      <c r="M449" t="str">
        <f>IF(B449="","",VLOOKUP(A449,'AZ DL&amp;OH FG'!$A$7:$C$385,3,0)-B449)</f>
        <v/>
      </c>
      <c r="N449" t="str">
        <f>IF(D449="","",VLOOKUP(A449&amp;"",'FL DL&amp;OH FG'!$A$7:$C$381,3,0)-D449)</f>
        <v/>
      </c>
      <c r="O449">
        <f>IF(F449="","",VLOOKUP(A449,'TX DL&amp;OH FG'!$A$7:$C$261,3,0)-F449)</f>
        <v>0</v>
      </c>
      <c r="P449" s="1"/>
      <c r="Q449" s="1"/>
      <c r="R449" s="1"/>
      <c r="S449" s="2"/>
      <c r="T449" s="18"/>
      <c r="U449" s="18"/>
    </row>
    <row r="450" spans="1:21">
      <c r="A450" s="321" t="s">
        <v>729</v>
      </c>
      <c r="B450" s="455">
        <v>112495.76999999999</v>
      </c>
      <c r="C450" s="455">
        <v>1186811.75</v>
      </c>
      <c r="D450" s="455">
        <v>196394.63</v>
      </c>
      <c r="E450" s="455">
        <v>2539188.4699999993</v>
      </c>
      <c r="F450" s="455">
        <v>34057</v>
      </c>
      <c r="G450" s="455">
        <v>537923.30999999982</v>
      </c>
      <c r="H450" s="455"/>
      <c r="I450" s="455"/>
      <c r="J450" s="455">
        <v>342947.4</v>
      </c>
      <c r="K450" s="455">
        <v>4263923.53</v>
      </c>
      <c r="L450" s="313"/>
      <c r="P450" s="1"/>
      <c r="Q450" s="1"/>
      <c r="R450" s="1"/>
      <c r="S450" s="2"/>
      <c r="T450" s="18"/>
      <c r="U450" s="18"/>
    </row>
    <row r="451" spans="1:21">
      <c r="A451" s="321" t="s">
        <v>2782</v>
      </c>
      <c r="B451" s="81"/>
      <c r="C451" s="81"/>
      <c r="D451" s="81"/>
      <c r="E451" s="81"/>
      <c r="F451" s="81"/>
      <c r="G451" s="81"/>
      <c r="H451" s="81"/>
      <c r="I451" s="81"/>
      <c r="J451" s="81"/>
      <c r="K451" s="81"/>
      <c r="L451" s="313"/>
      <c r="M451" t="str">
        <f>IF(B451="","",VLOOKUP(A451,'AZ DL&amp;OH FG'!$A$7:$C$385,3,0)-B451)</f>
        <v/>
      </c>
      <c r="N451" t="str">
        <f>IF(D451="","",VLOOKUP(A451&amp;"",'FL DL&amp;OH FG'!$A$7:$C$381,3,0)-D451)</f>
        <v/>
      </c>
      <c r="O451" t="str">
        <f>IF(F451="","",VLOOKUP(A451,'TX DL&amp;OH FG'!$A$7:$C$261,3,0)-F451)</f>
        <v/>
      </c>
      <c r="P451" s="1"/>
      <c r="R451" s="1"/>
      <c r="S451" s="2"/>
      <c r="T451" s="18"/>
      <c r="U451" s="18"/>
    </row>
    <row r="452" spans="1:21">
      <c r="A452" s="227" t="s">
        <v>2814</v>
      </c>
      <c r="B452" s="81">
        <v>39928</v>
      </c>
      <c r="C452" s="81">
        <v>6033.2699999999995</v>
      </c>
      <c r="D452" s="81"/>
      <c r="E452" s="81"/>
      <c r="F452" s="81"/>
      <c r="G452" s="81"/>
      <c r="H452" s="81"/>
      <c r="I452" s="81"/>
      <c r="J452" s="81">
        <v>39928</v>
      </c>
      <c r="K452" s="81">
        <v>6033.2699999999995</v>
      </c>
      <c r="L452" s="313"/>
      <c r="M452" t="e">
        <f>IF(B452="","",VLOOKUP(A452,'AZ DL&amp;OH FG'!$A$7:$C$385,3,0)-B452)</f>
        <v>#N/A</v>
      </c>
      <c r="N452" s="459" t="str">
        <f>IF(D452="","",VLOOKUP(A452&amp;"",'FL DL&amp;OH FG'!$A$7:$C$381,3,0)-D452)</f>
        <v/>
      </c>
      <c r="O452" t="str">
        <f>IF(F452="","",VLOOKUP(A452,'TX DL&amp;OH FG'!$A$7:$C$261,3,0)-F452)</f>
        <v/>
      </c>
      <c r="P452" s="1"/>
      <c r="Q452" s="157"/>
      <c r="R452" s="1"/>
      <c r="S452" s="2"/>
      <c r="T452" s="18"/>
      <c r="U452" s="18"/>
    </row>
    <row r="453" spans="1:21">
      <c r="A453" s="321" t="s">
        <v>2787</v>
      </c>
      <c r="B453" s="81">
        <v>39928</v>
      </c>
      <c r="C453" s="81">
        <v>6033.2699999999995</v>
      </c>
      <c r="D453" s="81"/>
      <c r="E453" s="81"/>
      <c r="F453" s="81"/>
      <c r="G453" s="81"/>
      <c r="H453" s="81"/>
      <c r="I453" s="81"/>
      <c r="J453" s="81">
        <v>39928</v>
      </c>
      <c r="K453" s="81">
        <v>6033.2699999999995</v>
      </c>
      <c r="L453" s="313"/>
      <c r="N453" t="str">
        <f>IF(D453="","",VLOOKUP(A453&amp;"",'FL DL&amp;OH FG'!$A$7:$C$381,3,0)-D453)</f>
        <v/>
      </c>
      <c r="O453" t="str">
        <f>IF(F453="","",VLOOKUP(A453,'TX DL&amp;OH FG'!$A$7:$C$261,3,0)-F453)</f>
        <v/>
      </c>
      <c r="P453" s="1"/>
      <c r="Q453" s="259"/>
      <c r="R453" s="1"/>
      <c r="S453" s="2"/>
      <c r="T453" s="18"/>
      <c r="U453" s="18"/>
    </row>
    <row r="454" spans="1:21">
      <c r="A454" s="321" t="s">
        <v>717</v>
      </c>
      <c r="B454" s="81">
        <v>7944608.71</v>
      </c>
      <c r="C454" s="81">
        <v>5974371.8099999996</v>
      </c>
      <c r="D454" s="81">
        <v>16834014.600000001</v>
      </c>
      <c r="E454" s="81">
        <v>9283848.2000000067</v>
      </c>
      <c r="F454" s="81">
        <v>1651652</v>
      </c>
      <c r="G454" s="81">
        <v>569474.20999999985</v>
      </c>
      <c r="H454" s="81">
        <v>22000</v>
      </c>
      <c r="I454" s="81">
        <v>6969.6</v>
      </c>
      <c r="J454" s="81">
        <v>26452275.309999995</v>
      </c>
      <c r="K454" s="81">
        <v>15834663.819999989</v>
      </c>
      <c r="L454" s="313"/>
      <c r="P454" s="1"/>
      <c r="Q454" s="1"/>
      <c r="R454" s="1"/>
      <c r="S454" s="2"/>
      <c r="T454" s="18"/>
      <c r="U454" s="18"/>
    </row>
    <row r="455" spans="1:21">
      <c r="L455" s="313"/>
      <c r="M455" t="str">
        <f>IF(B455="","",VLOOKUP(A455,'AZ DL&amp;OH FG'!$A$7:$C$385,3,0)-B455)</f>
        <v/>
      </c>
      <c r="N455" t="str">
        <f>IF(D455="","",VLOOKUP(A455&amp;"",'FL DL&amp;OH FG'!$A$7:$C$381,3,0)-D455)</f>
        <v/>
      </c>
      <c r="O455" t="str">
        <f>IF(F455="","",VLOOKUP(A455,'TX DL&amp;OH FG'!$A$7:$C$261,3,0)-F455)</f>
        <v/>
      </c>
      <c r="P455" s="1"/>
      <c r="Q455" s="1"/>
      <c r="R455" s="1"/>
      <c r="S455" s="2"/>
      <c r="T455" s="18"/>
      <c r="U455" s="18"/>
    </row>
    <row r="456" spans="1:21">
      <c r="L456" s="313"/>
      <c r="P456" s="1"/>
      <c r="Q456" s="1"/>
      <c r="R456" s="1"/>
      <c r="S456" s="2"/>
      <c r="T456" s="18"/>
      <c r="U456" s="18"/>
    </row>
    <row r="457" spans="1:21">
      <c r="L457" s="313"/>
      <c r="P457" s="2"/>
      <c r="Q457" s="2"/>
      <c r="R457" s="218"/>
    </row>
    <row r="458" spans="1:21">
      <c r="L458" s="313"/>
      <c r="M458" t="str">
        <f>IF(B458="","",VLOOKUP(A458,'AZ DL&amp;OH FG'!$A$7:$C$385,3,0)-B458)</f>
        <v/>
      </c>
      <c r="N458" t="str">
        <f>IF(D458="","",VLOOKUP(A458&amp;"",'FL DL&amp;OH FG'!$A$7:$C$381,3,0)-D458)</f>
        <v/>
      </c>
      <c r="O458" t="str">
        <f>IF(F458="","",VLOOKUP(A458,'TX DL&amp;OH FG'!$A$7:$C$261,3,0)-F458)</f>
        <v/>
      </c>
      <c r="P458" s="2"/>
      <c r="Q458" s="2"/>
      <c r="R458" s="218"/>
    </row>
    <row r="459" spans="1:21">
      <c r="L459" s="313"/>
      <c r="M459" t="str">
        <f>IF(B459="","",VLOOKUP(A459,'AZ DL&amp;OH FG'!$A$7:$C$385,3,0)-B459)</f>
        <v/>
      </c>
      <c r="N459" t="str">
        <f>IF(D459="","",VLOOKUP(A459&amp;"",'FL DL&amp;OH FG'!$A$7:$C$381,3,0)-D459)</f>
        <v/>
      </c>
      <c r="O459" t="str">
        <f>IF(F459="","",VLOOKUP(A459,'TX DL&amp;OH FG'!$A$7:$C$261,3,0)-F459)</f>
        <v/>
      </c>
      <c r="P459" s="2"/>
      <c r="Q459" s="2"/>
      <c r="R459" s="218"/>
    </row>
    <row r="460" spans="1:21">
      <c r="L460" s="313"/>
      <c r="M460" t="str">
        <f>IF(B460="","",VLOOKUP(A460,'AZ DL&amp;OH FG'!$A$7:$C$385,3,0)-B460)</f>
        <v/>
      </c>
      <c r="N460" t="str">
        <f>IF(D460="","",VLOOKUP(A460&amp;"",'FL DL&amp;OH FG'!$A$7:$C$381,3,0)-D460)</f>
        <v/>
      </c>
      <c r="O460" t="str">
        <f>IF(F460="","",VLOOKUP(A460,'TX DL&amp;OH FG'!$A$7:$C$261,3,0)-F460)</f>
        <v/>
      </c>
      <c r="P460" s="230"/>
      <c r="Q460" s="230"/>
      <c r="R460" s="310"/>
    </row>
    <row r="461" spans="1:21">
      <c r="L461" s="313"/>
      <c r="P461" s="230"/>
      <c r="Q461" s="230"/>
    </row>
    <row r="462" spans="1:21">
      <c r="L462" s="313"/>
      <c r="P462" s="230"/>
      <c r="Q462" s="230"/>
      <c r="R462" s="310"/>
    </row>
    <row r="463" spans="1:21">
      <c r="L463" s="224"/>
      <c r="N463" s="230"/>
      <c r="O463" s="230"/>
      <c r="P463" s="310"/>
    </row>
    <row r="464" spans="1:21">
      <c r="L464" s="224"/>
      <c r="N464" s="230"/>
      <c r="O464" s="230"/>
      <c r="P464" s="310"/>
    </row>
    <row r="465" spans="9:16">
      <c r="L465" s="224"/>
      <c r="N465" s="230"/>
      <c r="O465" s="230"/>
      <c r="P465" s="310"/>
    </row>
    <row r="466" spans="9:16">
      <c r="L466" s="224"/>
      <c r="N466" s="230"/>
      <c r="O466" s="230"/>
      <c r="P466" s="310"/>
    </row>
    <row r="467" spans="9:16">
      <c r="L467" s="224"/>
      <c r="N467" s="230"/>
      <c r="O467" s="230"/>
      <c r="P467" s="310"/>
    </row>
    <row r="468" spans="9:16">
      <c r="I468" t="str">
        <f>IF(B468="","",VLOOKUP(A468&amp;"",'AZ DL&amp;OH FG'!$A$7:$C$385,3,0)-B468)</f>
        <v/>
      </c>
      <c r="L468" s="224"/>
      <c r="N468" s="230"/>
      <c r="O468" s="230"/>
      <c r="P468" s="310"/>
    </row>
    <row r="469" spans="9:16">
      <c r="I469" t="str">
        <f>IF(B469="","",VLOOKUP(A469&amp;"",'AZ DL&amp;OH FG'!$A$7:$C$385,3,0)-B469)</f>
        <v/>
      </c>
      <c r="J469" t="str">
        <f>IF(D469="","",VLOOKUP(A469&amp;"",'FL DL&amp;OH FG'!$A$7:$C$381,3,0)-D469)</f>
        <v/>
      </c>
      <c r="L469" s="224"/>
      <c r="M469" t="str">
        <f>IF(F469="","",VLOOKUP(A469,'TX WIP'!$A$8:$C$259,3,0)-F469)</f>
        <v/>
      </c>
      <c r="N469" s="230"/>
      <c r="O469" s="230"/>
      <c r="P469" s="310"/>
    </row>
    <row r="470" spans="9:16">
      <c r="I470" t="str">
        <f>IF(B470="","",VLOOKUP(A470&amp;"",'AZ DL&amp;OH FG'!$A$7:$C$385,3,0)-B470)</f>
        <v/>
      </c>
      <c r="J470" t="str">
        <f>IF(D470="","",VLOOKUP(A470&amp;"",'FL DL&amp;OH FG'!$A$7:$C$381,3,0)-D470)</f>
        <v/>
      </c>
      <c r="L470" s="224"/>
      <c r="M470" t="str">
        <f>IF(F470="","",VLOOKUP(A470,'TX WIP'!$A$8:$C$259,3,0)-F470)</f>
        <v/>
      </c>
      <c r="N470" s="230"/>
      <c r="O470" s="230"/>
      <c r="P470" s="310"/>
    </row>
    <row r="471" spans="9:16">
      <c r="I471" t="str">
        <f>IF(B471="","",VLOOKUP(A471&amp;"",'AZ DL&amp;OH FG'!$A$7:$C$385,3,0)-B471)</f>
        <v/>
      </c>
      <c r="J471" t="str">
        <f>IF(D471="","",VLOOKUP(A471&amp;"",'FL DL&amp;OH FG'!$A$7:$C$381,3,0)-D471)</f>
        <v/>
      </c>
      <c r="L471" s="224"/>
      <c r="M471" t="str">
        <f>IF(F471="","",VLOOKUP(A471,'TX WIP'!$A$8:$C$259,3,0)-F471)</f>
        <v/>
      </c>
      <c r="N471" s="230"/>
      <c r="O471" s="230"/>
      <c r="P471" s="310"/>
    </row>
    <row r="472" spans="9:16">
      <c r="I472" t="str">
        <f>IF(B472="","",VLOOKUP(A472&amp;"",'AZ DL&amp;OH FG'!$A$7:$C$385,3,0)-B472)</f>
        <v/>
      </c>
      <c r="J472" t="str">
        <f>IF(D472="","",VLOOKUP(A472&amp;"",'FL DL&amp;OH FG'!$A$7:$C$381,3,0)-D472)</f>
        <v/>
      </c>
      <c r="L472" s="224"/>
      <c r="M472" t="str">
        <f>IF(F472="","",VLOOKUP(A472,'TX WIP'!$A$8:$C$259,3,0)-F472)</f>
        <v/>
      </c>
      <c r="N472" s="230"/>
      <c r="O472" s="230"/>
      <c r="P472" s="310"/>
    </row>
    <row r="473" spans="9:16">
      <c r="I473" t="str">
        <f>IF(B473="","",VLOOKUP(A473&amp;"",'AZ DL&amp;OH FG'!$A$7:$C$385,3,0)-B473)</f>
        <v/>
      </c>
      <c r="J473" t="str">
        <f>IF(D473="","",VLOOKUP(A473&amp;"",'FL DL&amp;OH FG'!$A$7:$C$381,3,0)-D473)</f>
        <v/>
      </c>
      <c r="L473" s="224"/>
      <c r="M473" t="str">
        <f>IF(F473="","",VLOOKUP(A473,'TX WIP'!$A$8:$C$259,3,0)-F473)</f>
        <v/>
      </c>
      <c r="N473" s="230"/>
      <c r="O473" s="230"/>
      <c r="P473" s="310"/>
    </row>
    <row r="474" spans="9:16">
      <c r="I474" t="str">
        <f>IF(B474="","",VLOOKUP(A474&amp;"",'AZ DL&amp;OH FG'!$A$7:$C$385,3,0)-B474)</f>
        <v/>
      </c>
      <c r="J474" t="str">
        <f>IF(D474="","",VLOOKUP(A474&amp;"",'FL DL&amp;OH FG'!$A$7:$C$381,3,0)-D474)</f>
        <v/>
      </c>
      <c r="L474" s="224"/>
      <c r="M474" t="str">
        <f>IF(F474="","",VLOOKUP(A474,'TX WIP'!$A$8:$C$259,3,0)-F474)</f>
        <v/>
      </c>
      <c r="N474" s="230"/>
      <c r="O474" s="230"/>
      <c r="P474" s="310"/>
    </row>
    <row r="475" spans="9:16">
      <c r="I475" t="str">
        <f>IF(B475="","",VLOOKUP(A475&amp;"",'AZ DL&amp;OH FG'!$A$7:$C$385,3,0)-B475)</f>
        <v/>
      </c>
      <c r="J475" t="str">
        <f>IF(D475="","",VLOOKUP(A475&amp;"",'FL DL&amp;OH FG'!$A$7:$C$381,3,0)-D475)</f>
        <v/>
      </c>
      <c r="L475" s="224"/>
      <c r="M475" t="str">
        <f>IF(F475="","",VLOOKUP(A475,'TX WIP'!$A$8:$C$259,3,0)-F475)</f>
        <v/>
      </c>
      <c r="N475" s="230"/>
      <c r="O475" s="230"/>
      <c r="P475" s="310"/>
    </row>
    <row r="476" spans="9:16">
      <c r="I476" t="str">
        <f>IF(B476="","",VLOOKUP(A476&amp;"",'AZ DL&amp;OH FG'!$A$7:$C$385,3,0)-B476)</f>
        <v/>
      </c>
      <c r="J476" t="str">
        <f>IF(D476="","",VLOOKUP(A476&amp;"",'FL DL&amp;OH FG'!$A$7:$C$381,3,0)-D476)</f>
        <v/>
      </c>
      <c r="L476" s="224"/>
      <c r="M476" t="str">
        <f>IF(F476="","",VLOOKUP(A476,'TX WIP'!$A$8:$C$259,3,0)-F476)</f>
        <v/>
      </c>
      <c r="N476" s="230"/>
      <c r="O476" s="230"/>
      <c r="P476" s="310"/>
    </row>
    <row r="477" spans="9:16">
      <c r="I477" t="str">
        <f>IF(B477="","",VLOOKUP(A477&amp;"",'AZ DL&amp;OH FG'!$A$7:$C$385,3,0)-B477)</f>
        <v/>
      </c>
      <c r="J477" t="str">
        <f>IF(D477="","",VLOOKUP(A477&amp;"",'FL DL&amp;OH FG'!$A$7:$C$381,3,0)-D477)</f>
        <v/>
      </c>
      <c r="L477" s="224"/>
      <c r="M477" t="str">
        <f>IF(F477="","",VLOOKUP(A477,'TX WIP'!$A$8:$C$259,3,0)-F477)</f>
        <v/>
      </c>
      <c r="N477" s="230"/>
      <c r="O477" s="230"/>
      <c r="P477" s="310"/>
    </row>
    <row r="478" spans="9:16">
      <c r="I478" t="str">
        <f>IF(B478="","",VLOOKUP(A478&amp;"",'AZ DL&amp;OH FG'!$A$7:$C$385,3,0)-B478)</f>
        <v/>
      </c>
      <c r="J478" t="str">
        <f>IF(D478="","",VLOOKUP(A478&amp;"",'FL DL&amp;OH FG'!$A$7:$C$381,3,0)-D478)</f>
        <v/>
      </c>
      <c r="L478" s="224"/>
      <c r="M478" t="str">
        <f>IF(F478="","",VLOOKUP(A478,'TX WIP'!$A$8:$C$259,3,0)-F478)</f>
        <v/>
      </c>
      <c r="N478" s="230"/>
      <c r="O478" s="230"/>
      <c r="P478" s="310"/>
    </row>
    <row r="479" spans="9:16">
      <c r="I479" t="str">
        <f>IF(B479="","",VLOOKUP(A479&amp;"",'AZ DL&amp;OH FG'!$A$7:$C$385,3,0)-B479)</f>
        <v/>
      </c>
      <c r="J479" t="str">
        <f>IF(D479="","",VLOOKUP(A479&amp;"",'FL DL&amp;OH FG'!$A$7:$C$381,3,0)-D479)</f>
        <v/>
      </c>
      <c r="L479" s="224"/>
      <c r="M479" t="str">
        <f>IF(F479="","",VLOOKUP(A479,'TX WIP'!$A$8:$C$259,3,0)-F479)</f>
        <v/>
      </c>
      <c r="N479" s="230"/>
      <c r="O479" s="230"/>
      <c r="P479" s="310"/>
    </row>
    <row r="480" spans="9:16">
      <c r="I480" t="str">
        <f>IF(B480="","",VLOOKUP(A480&amp;"",'AZ DL&amp;OH FG'!$A$7:$C$385,3,0)-B480)</f>
        <v/>
      </c>
      <c r="J480" t="str">
        <f>IF(D480="","",VLOOKUP(A480&amp;"",'FL DL&amp;OH FG'!$A$7:$C$381,3,0)-D480)</f>
        <v/>
      </c>
      <c r="L480" s="224"/>
      <c r="M480" t="str">
        <f>IF(F480="","",VLOOKUP(A480,'TX WIP'!$A$8:$C$259,3,0)-F480)</f>
        <v/>
      </c>
      <c r="N480" s="230"/>
      <c r="O480" s="230"/>
      <c r="P480" s="310"/>
    </row>
    <row r="481" spans="9:16">
      <c r="I481" t="str">
        <f>IF(B481="","",VLOOKUP(A481&amp;"",'AZ DL&amp;OH FG'!$A$7:$C$385,3,0)-B481)</f>
        <v/>
      </c>
      <c r="J481" t="str">
        <f>IF(D481="","",VLOOKUP(A481&amp;"",'FL DL&amp;OH FG'!$A$7:$C$381,3,0)-D481)</f>
        <v/>
      </c>
      <c r="L481" s="224"/>
      <c r="M481" t="str">
        <f>IF(F481="","",VLOOKUP(A481,'TX WIP'!$A$8:$C$259,3,0)-F481)</f>
        <v/>
      </c>
      <c r="N481" s="230"/>
      <c r="O481" s="230"/>
      <c r="P481" s="310"/>
    </row>
    <row r="482" spans="9:16">
      <c r="I482" t="str">
        <f>IF(B482="","",VLOOKUP(A482&amp;"",'AZ DL&amp;OH FG'!$A$7:$C$385,3,0)-B482)</f>
        <v/>
      </c>
      <c r="J482" t="str">
        <f>IF(D482="","",VLOOKUP(A482&amp;"",'FL DL&amp;OH FG'!$A$7:$C$381,3,0)-D482)</f>
        <v/>
      </c>
      <c r="L482" s="224"/>
      <c r="M482" t="str">
        <f>IF(F482="","",VLOOKUP(A482,'TX WIP'!$A$8:$C$259,3,0)-F482)</f>
        <v/>
      </c>
      <c r="N482" s="230"/>
      <c r="O482" s="230"/>
      <c r="P482" s="310"/>
    </row>
    <row r="483" spans="9:16">
      <c r="I483" t="str">
        <f>IF(B483="","",VLOOKUP(A483&amp;"",'AZ DL&amp;OH FG'!$A$7:$C$385,3,0)-B483)</f>
        <v/>
      </c>
      <c r="J483" t="str">
        <f>IF(D483="","",VLOOKUP(A483&amp;"",'FL DL&amp;OH FG'!$A$7:$C$381,3,0)-D483)</f>
        <v/>
      </c>
      <c r="L483" s="224"/>
      <c r="M483" t="str">
        <f>IF(F483="","",VLOOKUP(A483,'TX WIP'!$A$8:$C$259,3,0)-F483)</f>
        <v/>
      </c>
      <c r="N483" s="230"/>
      <c r="O483" s="230"/>
      <c r="P483" s="310"/>
    </row>
    <row r="484" spans="9:16">
      <c r="I484" t="str">
        <f>IF(B484="","",VLOOKUP(A484&amp;"",'AZ DL&amp;OH FG'!$A$7:$C$385,3,0)-B484)</f>
        <v/>
      </c>
      <c r="J484" t="str">
        <f>IF(D484="","",VLOOKUP(A484&amp;"",'FL DL&amp;OH FG'!$A$7:$C$381,3,0)-D484)</f>
        <v/>
      </c>
      <c r="L484" s="224"/>
      <c r="M484" t="str">
        <f>IF(F484="","",VLOOKUP(A484,'TX WIP'!$A$8:$C$259,3,0)-F484)</f>
        <v/>
      </c>
      <c r="N484" s="230"/>
      <c r="O484" s="230"/>
      <c r="P484" s="310"/>
    </row>
    <row r="485" spans="9:16">
      <c r="I485" t="str">
        <f>IF(B485="","",VLOOKUP(A485&amp;"",'AZ DL&amp;OH FG'!$A$7:$C$385,3,0)-B485)</f>
        <v/>
      </c>
      <c r="J485" t="str">
        <f>IF(D485="","",VLOOKUP(A485&amp;"",'FL DL&amp;OH FG'!$A$7:$C$381,3,0)-D485)</f>
        <v/>
      </c>
      <c r="L485" s="224"/>
      <c r="M485" t="str">
        <f>IF(F485="","",VLOOKUP(A485,'TX WIP'!$A$8:$C$259,3,0)-F485)</f>
        <v/>
      </c>
      <c r="N485" s="230"/>
      <c r="O485" s="230"/>
      <c r="P485" s="310"/>
    </row>
    <row r="486" spans="9:16">
      <c r="I486" t="str">
        <f>IF(B486="","",VLOOKUP(A486&amp;"",'AZ DL&amp;OH FG'!$A$7:$C$385,3,0)-B486)</f>
        <v/>
      </c>
      <c r="J486" t="str">
        <f>IF(D486="","",VLOOKUP(A486&amp;"",'FL DL&amp;OH FG'!$A$7:$C$381,3,0)-D486)</f>
        <v/>
      </c>
      <c r="L486" s="224"/>
      <c r="M486" t="str">
        <f>IF(F486="","",VLOOKUP(A486,'TX WIP'!$A$8:$C$259,3,0)-F486)</f>
        <v/>
      </c>
      <c r="N486" s="230"/>
      <c r="O486" s="230"/>
      <c r="P486" s="310"/>
    </row>
    <row r="487" spans="9:16">
      <c r="I487" t="str">
        <f>IF(B487="","",VLOOKUP(A487&amp;"",'AZ DL&amp;OH FG'!$A$7:$C$385,3,0)-B487)</f>
        <v/>
      </c>
      <c r="J487" t="str">
        <f>IF(D487="","",VLOOKUP(A487&amp;"",'FL DL&amp;OH FG'!$A$7:$C$381,3,0)-D487)</f>
        <v/>
      </c>
      <c r="L487" s="224"/>
      <c r="M487" t="str">
        <f>IF(F487="","",VLOOKUP(A487,'TX WIP'!$A$8:$C$259,3,0)-F487)</f>
        <v/>
      </c>
      <c r="N487" s="230"/>
      <c r="O487" s="230"/>
      <c r="P487" s="310"/>
    </row>
    <row r="488" spans="9:16">
      <c r="I488" t="str">
        <f>IF(B488="","",VLOOKUP(A488&amp;"",'AZ DL&amp;OH FG'!$A$7:$C$385,3,0)-B488)</f>
        <v/>
      </c>
      <c r="J488" t="str">
        <f>IF(D488="","",VLOOKUP(A488&amp;"",'FL DL&amp;OH FG'!$A$7:$C$381,3,0)-D488)</f>
        <v/>
      </c>
      <c r="L488" s="224"/>
      <c r="M488" t="str">
        <f>IF(F488="","",VLOOKUP(A488,'TX WIP'!$A$8:$C$259,3,0)-F488)</f>
        <v/>
      </c>
      <c r="N488" s="230"/>
      <c r="O488" s="230"/>
      <c r="P488" s="310"/>
    </row>
    <row r="489" spans="9:16">
      <c r="I489" t="str">
        <f>IF(B489="","",VLOOKUP(A489&amp;"",'AZ DL&amp;OH FG'!$A$7:$C$385,3,0)-B489)</f>
        <v/>
      </c>
      <c r="J489" t="str">
        <f>IF(D489="","",VLOOKUP(A489&amp;"",'FL DL&amp;OH FG'!$A$7:$C$381,3,0)-D489)</f>
        <v/>
      </c>
      <c r="L489" s="224"/>
      <c r="M489" t="str">
        <f>IF(F489="","",VLOOKUP(A489,'TX WIP'!$A$8:$C$259,3,0)-F489)</f>
        <v/>
      </c>
      <c r="N489" s="230"/>
      <c r="O489" s="230"/>
      <c r="P489" s="310"/>
    </row>
    <row r="490" spans="9:16">
      <c r="I490" t="str">
        <f>IF(B490="","",VLOOKUP(A490&amp;"",'AZ DL&amp;OH FG'!$A$7:$C$385,3,0)-B490)</f>
        <v/>
      </c>
      <c r="J490" t="str">
        <f>IF(D490="","",VLOOKUP(A490&amp;"",'FL DL&amp;OH FG'!$A$7:$C$381,3,0)-D490)</f>
        <v/>
      </c>
      <c r="L490" s="224"/>
      <c r="M490" t="str">
        <f>IF(F490="","",VLOOKUP(A490,'TX WIP'!$A$8:$C$259,3,0)-F490)</f>
        <v/>
      </c>
      <c r="N490" s="230"/>
      <c r="O490" s="230"/>
      <c r="P490" s="310"/>
    </row>
    <row r="491" spans="9:16">
      <c r="I491" t="str">
        <f>IF(B491="","",VLOOKUP(A491&amp;"",'AZ DL&amp;OH FG'!$A$7:$C$385,3,0)-B491)</f>
        <v/>
      </c>
      <c r="J491" t="str">
        <f>IF(D491="","",VLOOKUP(A491&amp;"",'FL DL&amp;OH FG'!$A$7:$C$381,3,0)-D491)</f>
        <v/>
      </c>
      <c r="L491" s="224"/>
      <c r="M491" t="str">
        <f>IF(F491="","",VLOOKUP(A491,'TX WIP'!$A$8:$C$259,3,0)-F491)</f>
        <v/>
      </c>
      <c r="N491" s="230"/>
      <c r="O491" s="230"/>
      <c r="P491" s="310"/>
    </row>
    <row r="492" spans="9:16">
      <c r="I492" t="str">
        <f>IF(B492="","",VLOOKUP(A492&amp;"",'AZ DL&amp;OH FG'!$A$7:$C$385,3,0)-B492)</f>
        <v/>
      </c>
      <c r="J492" t="str">
        <f>IF(D492="","",VLOOKUP(A492&amp;"",'FL DL&amp;OH FG'!$A$7:$C$381,3,0)-D492)</f>
        <v/>
      </c>
      <c r="L492" s="224"/>
      <c r="M492" t="str">
        <f>IF(F492="","",VLOOKUP(A492,'TX WIP'!$A$8:$C$259,3,0)-F492)</f>
        <v/>
      </c>
      <c r="N492" s="230"/>
      <c r="O492" s="230"/>
      <c r="P492" s="310"/>
    </row>
    <row r="493" spans="9:16">
      <c r="I493" t="str">
        <f>IF(B493="","",VLOOKUP(A493&amp;"",'AZ DL&amp;OH FG'!$A$7:$C$385,3,0)-B493)</f>
        <v/>
      </c>
      <c r="J493" t="str">
        <f>IF(D493="","",VLOOKUP(A493&amp;"",'FL DL&amp;OH FG'!$A$7:$C$381,3,0)-D493)</f>
        <v/>
      </c>
      <c r="L493" s="224"/>
      <c r="M493" t="str">
        <f>IF(F493="","",VLOOKUP(A493,'TX WIP'!$A$8:$C$259,3,0)-F493)</f>
        <v/>
      </c>
      <c r="N493" s="230"/>
      <c r="O493" s="230"/>
      <c r="P493" s="310"/>
    </row>
    <row r="494" spans="9:16">
      <c r="I494" t="str">
        <f>IF(B494="","",VLOOKUP(A494&amp;"",'AZ DL&amp;OH FG'!$A$7:$C$385,3,0)-B494)</f>
        <v/>
      </c>
      <c r="J494" t="str">
        <f>IF(D494="","",VLOOKUP(A494&amp;"",'FL DL&amp;OH FG'!$A$7:$C$381,3,0)-D494)</f>
        <v/>
      </c>
      <c r="L494" s="224"/>
      <c r="M494" t="str">
        <f>IF(F494="","",VLOOKUP(A494,'TX WIP'!$A$8:$C$259,3,0)-F494)</f>
        <v/>
      </c>
      <c r="N494" s="230"/>
      <c r="O494" s="230"/>
      <c r="P494" s="310"/>
    </row>
    <row r="495" spans="9:16">
      <c r="I495" t="str">
        <f>IF(B495="","",VLOOKUP(A495&amp;"",'AZ DL&amp;OH FG'!$A$7:$C$385,3,0)-B495)</f>
        <v/>
      </c>
      <c r="J495" t="str">
        <f>IF(D495="","",VLOOKUP(A495&amp;"",'FL DL&amp;OH FG'!$A$7:$C$381,3,0)-D495)</f>
        <v/>
      </c>
      <c r="L495" s="224"/>
      <c r="M495" t="str">
        <f>IF(F495="","",VLOOKUP(A495,'TX WIP'!$A$8:$C$259,3,0)-F495)</f>
        <v/>
      </c>
      <c r="N495" s="230"/>
      <c r="O495" s="230"/>
      <c r="P495" s="310"/>
    </row>
    <row r="496" spans="9:16">
      <c r="I496" t="str">
        <f>IF(B496="","",VLOOKUP(A496&amp;"",'AZ DL&amp;OH FG'!$A$7:$C$385,3,0)-B496)</f>
        <v/>
      </c>
      <c r="J496" t="str">
        <f>IF(D496="","",VLOOKUP(A496&amp;"",'FL DL&amp;OH FG'!$A$7:$C$381,3,0)-D496)</f>
        <v/>
      </c>
      <c r="L496" s="224"/>
      <c r="M496" t="str">
        <f>IF(F496="","",VLOOKUP(A496,'TX WIP'!$A$8:$C$259,3,0)-F496)</f>
        <v/>
      </c>
      <c r="N496" s="230"/>
      <c r="O496" s="230"/>
      <c r="P496" s="310"/>
    </row>
    <row r="497" spans="9:16">
      <c r="I497" t="str">
        <f>IF(B497="","",VLOOKUP(A497&amp;"",'AZ DL&amp;OH FG'!$A$7:$C$385,3,0)-B497)</f>
        <v/>
      </c>
      <c r="J497" t="str">
        <f>IF(D497="","",VLOOKUP(A497&amp;"",'FL DL&amp;OH FG'!$A$7:$C$381,3,0)-D497)</f>
        <v/>
      </c>
      <c r="L497" s="224"/>
      <c r="M497" t="str">
        <f>IF(F497="","",VLOOKUP(A497,'TX WIP'!$A$8:$C$259,3,0)-F497)</f>
        <v/>
      </c>
      <c r="N497" s="230"/>
      <c r="O497" s="230"/>
      <c r="P497" s="310"/>
    </row>
    <row r="498" spans="9:16">
      <c r="I498" t="str">
        <f>IF(B498="","",VLOOKUP(A498&amp;"",'AZ DL&amp;OH FG'!$A$7:$C$385,3,0)-B498)</f>
        <v/>
      </c>
      <c r="J498" t="str">
        <f>IF(D498="","",VLOOKUP(A498&amp;"",'FL DL&amp;OH FG'!$A$7:$C$381,3,0)-D498)</f>
        <v/>
      </c>
      <c r="L498" s="224"/>
      <c r="M498" t="str">
        <f>IF(F498="","",VLOOKUP(A498,'TX WIP'!$A$8:$C$259,3,0)-F498)</f>
        <v/>
      </c>
      <c r="N498" s="230"/>
      <c r="O498" s="230"/>
      <c r="P498" s="310"/>
    </row>
    <row r="499" spans="9:16">
      <c r="I499" t="str">
        <f>IF(B499="","",VLOOKUP(A499&amp;"",'AZ DL&amp;OH FG'!$A$7:$C$385,3,0)-B499)</f>
        <v/>
      </c>
      <c r="J499" t="str">
        <f>IF(D499="","",VLOOKUP(A499&amp;"",'FL DL&amp;OH FG'!$A$7:$C$381,3,0)-D499)</f>
        <v/>
      </c>
      <c r="L499" s="224"/>
      <c r="M499" t="str">
        <f>IF(F499="","",VLOOKUP(A499,'TX WIP'!$A$8:$C$259,3,0)-F499)</f>
        <v/>
      </c>
      <c r="N499" s="230"/>
      <c r="O499" s="230"/>
      <c r="P499" s="310"/>
    </row>
    <row r="500" spans="9:16">
      <c r="I500" t="str">
        <f>IF(B500="","",VLOOKUP(A500&amp;"",'AZ DL&amp;OH FG'!$A$7:$C$385,3,0)-B500)</f>
        <v/>
      </c>
      <c r="J500" t="str">
        <f>IF(D500="","",VLOOKUP(A500&amp;"",'FL DL&amp;OH FG'!$A$7:$C$381,3,0)-D500)</f>
        <v/>
      </c>
      <c r="L500" s="224"/>
      <c r="M500" t="str">
        <f>IF(F500="","",VLOOKUP(A500,'TX WIP'!$A$8:$C$259,3,0)-F500)</f>
        <v/>
      </c>
      <c r="N500" s="230"/>
      <c r="O500" s="230"/>
      <c r="P500" s="310"/>
    </row>
    <row r="501" spans="9:16">
      <c r="I501" t="str">
        <f>IF(B501="","",VLOOKUP(A501&amp;"",'AZ DL&amp;OH FG'!$A$7:$C$385,3,0)-B501)</f>
        <v/>
      </c>
      <c r="J501" t="str">
        <f>IF(D501="","",VLOOKUP(A501&amp;"",'FL DL&amp;OH FG'!$A$7:$C$381,3,0)-D501)</f>
        <v/>
      </c>
      <c r="L501" s="224"/>
      <c r="M501" t="str">
        <f>IF(F501="","",VLOOKUP(A501,'TX WIP'!$A$8:$C$259,3,0)-F501)</f>
        <v/>
      </c>
      <c r="N501" s="230"/>
      <c r="O501" s="230"/>
      <c r="P501" s="310"/>
    </row>
    <row r="502" spans="9:16">
      <c r="I502" t="str">
        <f>IF(B502="","",VLOOKUP(A502&amp;"",'AZ DL&amp;OH FG'!$A$7:$C$385,3,0)-B502)</f>
        <v/>
      </c>
      <c r="J502" t="str">
        <f>IF(D502="","",VLOOKUP(A502&amp;"",'FL DL&amp;OH FG'!$A$7:$C$381,3,0)-D502)</f>
        <v/>
      </c>
      <c r="L502" s="224"/>
      <c r="M502" t="str">
        <f>IF(F502="","",VLOOKUP(A502,'TX WIP'!$A$8:$C$259,3,0)-F502)</f>
        <v/>
      </c>
      <c r="N502" s="230"/>
      <c r="O502" s="230"/>
      <c r="P502" s="310"/>
    </row>
    <row r="503" spans="9:16">
      <c r="I503" t="str">
        <f>IF(B503="","",VLOOKUP(A503&amp;"",'AZ DL&amp;OH FG'!$A$7:$C$385,3,0)-B503)</f>
        <v/>
      </c>
      <c r="J503" t="str">
        <f>IF(D503="","",VLOOKUP(A503&amp;"",'FL DL&amp;OH FG'!$A$7:$C$381,3,0)-D503)</f>
        <v/>
      </c>
      <c r="L503" s="224"/>
      <c r="M503" t="str">
        <f>IF(F503="","",VLOOKUP(A503,'TX WIP'!$A$8:$C$259,3,0)-F503)</f>
        <v/>
      </c>
      <c r="N503" s="230"/>
      <c r="O503" s="230"/>
      <c r="P503" s="310"/>
    </row>
    <row r="504" spans="9:16">
      <c r="I504" t="str">
        <f>IF(B504="","",VLOOKUP(A504&amp;"",'AZ DL&amp;OH FG'!$A$7:$C$385,3,0)-B504)</f>
        <v/>
      </c>
      <c r="J504" t="str">
        <f>IF(D504="","",VLOOKUP(A504&amp;"",'FL DL&amp;OH FG'!$A$7:$C$381,3,0)-D504)</f>
        <v/>
      </c>
      <c r="L504" s="224"/>
      <c r="M504" t="str">
        <f>IF(F504="","",VLOOKUP(A504,'TX WIP'!$A$8:$C$259,3,0)-F504)</f>
        <v/>
      </c>
      <c r="N504" s="230"/>
      <c r="O504" s="230"/>
      <c r="P504" s="310"/>
    </row>
    <row r="505" spans="9:16">
      <c r="I505" t="str">
        <f>IF(B505="","",VLOOKUP(A505&amp;"",'AZ DL&amp;OH FG'!$A$7:$C$385,3,0)-B505)</f>
        <v/>
      </c>
      <c r="J505" t="str">
        <f>IF(D505="","",VLOOKUP(A505&amp;"",'FL DL&amp;OH FG'!$A$7:$C$381,3,0)-D505)</f>
        <v/>
      </c>
      <c r="L505" s="224"/>
      <c r="M505" t="str">
        <f>IF(F505="","",VLOOKUP(A505,'TX WIP'!$A$8:$C$259,3,0)-F505)</f>
        <v/>
      </c>
      <c r="N505" s="230"/>
      <c r="O505" s="230"/>
      <c r="P505" s="310"/>
    </row>
    <row r="506" spans="9:16">
      <c r="I506" t="str">
        <f>IF(B506="","",VLOOKUP(A506&amp;"",'AZ DL&amp;OH FG'!$A$7:$C$385,3,0)-B506)</f>
        <v/>
      </c>
      <c r="J506" t="str">
        <f>IF(D506="","",VLOOKUP(A506&amp;"",'FL DL&amp;OH FG'!$A$7:$C$381,3,0)-D506)</f>
        <v/>
      </c>
      <c r="L506" s="224"/>
      <c r="M506" t="str">
        <f>IF(F506="","",VLOOKUP(A506,'TX WIP'!$A$8:$C$259,3,0)-F506)</f>
        <v/>
      </c>
      <c r="N506" s="230"/>
      <c r="O506" s="230"/>
      <c r="P506" s="310"/>
    </row>
    <row r="507" spans="9:16">
      <c r="I507" t="str">
        <f>IF(B507="","",VLOOKUP(A507&amp;"",'AZ DL&amp;OH FG'!$A$7:$C$385,3,0)-B507)</f>
        <v/>
      </c>
      <c r="J507" t="str">
        <f>IF(D507="","",VLOOKUP(A507&amp;"",'FL DL&amp;OH FG'!$A$7:$C$381,3,0)-D507)</f>
        <v/>
      </c>
      <c r="L507" s="224"/>
      <c r="M507" t="str">
        <f>IF(F507="","",VLOOKUP(A507,'TX WIP'!$A$8:$C$259,3,0)-F507)</f>
        <v/>
      </c>
      <c r="N507" s="230"/>
      <c r="O507" s="230"/>
      <c r="P507" s="310"/>
    </row>
    <row r="508" spans="9:16">
      <c r="I508" t="str">
        <f>IF(B508="","",VLOOKUP(A508&amp;"",'AZ DL&amp;OH FG'!$A$7:$C$385,3,0)-B508)</f>
        <v/>
      </c>
      <c r="J508" t="str">
        <f>IF(D508="","",VLOOKUP(A508&amp;"",'FL DL&amp;OH FG'!$A$7:$C$381,3,0)-D508)</f>
        <v/>
      </c>
      <c r="L508" s="224"/>
      <c r="M508" t="str">
        <f>IF(F508="","",VLOOKUP(A508,'TX WIP'!$A$8:$C$259,3,0)-F508)</f>
        <v/>
      </c>
      <c r="N508" s="230"/>
      <c r="O508" s="230"/>
      <c r="P508" s="310"/>
    </row>
    <row r="509" spans="9:16">
      <c r="I509" t="str">
        <f>IF(B509="","",VLOOKUP(A509&amp;"",'AZ DL&amp;OH FG'!$A$7:$C$385,3,0)-B509)</f>
        <v/>
      </c>
      <c r="J509" t="str">
        <f>IF(D509="","",VLOOKUP(A509&amp;"",'FL DL&amp;OH FG'!$A$7:$C$381,3,0)-D509)</f>
        <v/>
      </c>
      <c r="L509" s="224"/>
      <c r="M509" t="str">
        <f>IF(F509="","",VLOOKUP(A509,'TX WIP'!$A$8:$C$259,3,0)-F509)</f>
        <v/>
      </c>
      <c r="N509" s="230"/>
      <c r="O509" s="230"/>
      <c r="P509" s="310"/>
    </row>
    <row r="510" spans="9:16">
      <c r="I510" t="str">
        <f>IF(B510="","",VLOOKUP(A510&amp;"",'AZ DL&amp;OH FG'!$A$7:$C$385,3,0)-B510)</f>
        <v/>
      </c>
      <c r="J510" t="str">
        <f>IF(D510="","",VLOOKUP(A510&amp;"",'FL DL&amp;OH FG'!$A$7:$C$381,3,0)-D510)</f>
        <v/>
      </c>
      <c r="L510" s="224"/>
      <c r="M510" t="str">
        <f>IF(F510="","",VLOOKUP(A510,'TX WIP'!$A$8:$C$259,3,0)-F510)</f>
        <v/>
      </c>
      <c r="N510" s="230"/>
      <c r="O510" s="230"/>
    </row>
    <row r="511" spans="9:16">
      <c r="I511" t="str">
        <f>IF(B511="","",VLOOKUP(A511&amp;"",'AZ DL&amp;OH FG'!$A$7:$C$385,3,0)-B511)</f>
        <v/>
      </c>
      <c r="J511" t="str">
        <f>IF(D511="","",VLOOKUP(A511&amp;"",'FL DL&amp;OH FG'!$A$7:$C$381,3,0)-D511)</f>
        <v/>
      </c>
      <c r="L511" s="224"/>
      <c r="M511" t="str">
        <f>IF(F511="","",VLOOKUP(A511,'TX WIP'!$A$8:$C$259,3,0)-F511)</f>
        <v/>
      </c>
      <c r="N511" s="230"/>
      <c r="O511" s="230"/>
    </row>
    <row r="512" spans="9:16">
      <c r="I512" t="str">
        <f>IF(B512="","",VLOOKUP(A512&amp;"",'AZ DL&amp;OH FG'!$A$7:$C$385,3,0)-B512)</f>
        <v/>
      </c>
      <c r="J512" t="str">
        <f>IF(D512="","",VLOOKUP(A512&amp;"",'FL DL&amp;OH FG'!$A$7:$C$381,3,0)-D512)</f>
        <v/>
      </c>
      <c r="L512" s="224"/>
      <c r="M512" t="str">
        <f>IF(F512="","",VLOOKUP(A512,'TX WIP'!$A$8:$C$259,3,0)-F512)</f>
        <v/>
      </c>
      <c r="N512" s="230"/>
      <c r="O512" s="230"/>
    </row>
    <row r="513" spans="9:16">
      <c r="I513" t="str">
        <f>IF(B513="","",VLOOKUP(A513&amp;"",'AZ DL&amp;OH FG'!$A$7:$C$385,3,0)-B513)</f>
        <v/>
      </c>
      <c r="J513" t="str">
        <f>IF(D513="","",VLOOKUP(A513&amp;"",'FL DL&amp;OH FG'!$A$7:$C$381,3,0)-D513)</f>
        <v/>
      </c>
      <c r="L513" s="224"/>
      <c r="M513" t="str">
        <f>IF(F513="","",VLOOKUP(A513,'TX WIP'!$A$8:$C$259,3,0)-F513)</f>
        <v/>
      </c>
      <c r="N513" s="230"/>
      <c r="O513" s="230"/>
    </row>
    <row r="514" spans="9:16">
      <c r="I514" t="str">
        <f>IF(B514="","",VLOOKUP(A514&amp;"",'AZ DL&amp;OH FG'!$A$7:$C$385,3,0)-B514)</f>
        <v/>
      </c>
      <c r="J514" t="str">
        <f>IF(D514="","",VLOOKUP(A514&amp;"",'FL DL&amp;OH FG'!$A$7:$C$381,3,0)-D514)</f>
        <v/>
      </c>
      <c r="L514" s="224"/>
      <c r="M514" t="str">
        <f>IF(F514="","",VLOOKUP(A514,'TX WIP'!$A$8:$C$259,3,0)-F514)</f>
        <v/>
      </c>
      <c r="N514" s="230"/>
      <c r="O514" s="230"/>
    </row>
    <row r="515" spans="9:16">
      <c r="I515" t="str">
        <f>IF(B515="","",VLOOKUP(A515&amp;"",'AZ DL&amp;OH FG'!$A$7:$C$385,3,0)-B515)</f>
        <v/>
      </c>
      <c r="J515" t="str">
        <f>IF(D515="","",VLOOKUP(A515&amp;"",'FL DL&amp;OH FG'!$A$7:$C$381,3,0)-D515)</f>
        <v/>
      </c>
      <c r="L515" s="224"/>
      <c r="M515" t="str">
        <f>IF(F515="","",VLOOKUP(A515,'TX WIP'!$A$8:$C$259,3,0)-F515)</f>
        <v/>
      </c>
      <c r="N515" s="230"/>
      <c r="O515" s="230"/>
    </row>
    <row r="516" spans="9:16">
      <c r="I516" t="str">
        <f>IF(B516="","",VLOOKUP(A516&amp;"",'AZ DL&amp;OH FG'!$A$7:$C$385,3,0)-B516)</f>
        <v/>
      </c>
      <c r="J516" t="str">
        <f>IF(D516="","",VLOOKUP(A516&amp;"",'FL DL&amp;OH FG'!$A$7:$C$381,3,0)-D516)</f>
        <v/>
      </c>
      <c r="L516" s="224"/>
      <c r="M516" t="str">
        <f>IF(F516="","",VLOOKUP(A516,'TX WIP'!$A$8:$C$259,3,0)-F516)</f>
        <v/>
      </c>
      <c r="N516" s="230"/>
      <c r="O516" s="230"/>
    </row>
    <row r="517" spans="9:16">
      <c r="I517" t="str">
        <f>IF(B517="","",VLOOKUP(A517&amp;"",'AZ DL&amp;OH FG'!$A$7:$C$385,3,0)-B517)</f>
        <v/>
      </c>
      <c r="J517" t="str">
        <f>IF(D517="","",VLOOKUP(A517&amp;"",'FL DL&amp;OH FG'!$A$7:$C$381,3,0)-D517)</f>
        <v/>
      </c>
      <c r="L517" s="224"/>
      <c r="M517" t="str">
        <f>IF(F517="","",VLOOKUP(A517,'TX WIP'!$A$8:$C$259,3,0)-F517)</f>
        <v/>
      </c>
      <c r="N517" s="230"/>
      <c r="O517" s="230"/>
    </row>
    <row r="518" spans="9:16">
      <c r="I518" t="str">
        <f>IF(B518="","",VLOOKUP(A518&amp;"",'AZ DL&amp;OH FG'!$A$7:$C$385,3,0)-B518)</f>
        <v/>
      </c>
      <c r="J518" t="str">
        <f>IF(D518="","",VLOOKUP(A518&amp;"",'FL DL&amp;OH FG'!$A$7:$C$381,3,0)-D518)</f>
        <v/>
      </c>
      <c r="L518" s="224"/>
      <c r="M518" t="str">
        <f>IF(F518="","",VLOOKUP(A518,'TX WIP'!$A$8:$C$259,3,0)-F518)</f>
        <v/>
      </c>
      <c r="N518" s="230"/>
      <c r="O518" s="230"/>
      <c r="P518" s="230"/>
    </row>
    <row r="519" spans="9:16">
      <c r="I519" t="str">
        <f>IF(B519="","",VLOOKUP(A519&amp;"",'AZ DL&amp;OH FG'!$A$7:$C$385,3,0)-B519)</f>
        <v/>
      </c>
      <c r="J519" t="str">
        <f>IF(D519="","",VLOOKUP(A519&amp;"",'FL DL&amp;OH FG'!$A$7:$C$381,3,0)-D519)</f>
        <v/>
      </c>
      <c r="L519" s="224"/>
      <c r="M519" t="str">
        <f>IF(F519="","",VLOOKUP(A519,'TX WIP'!$A$8:$C$259,3,0)-F519)</f>
        <v/>
      </c>
      <c r="N519" s="230"/>
      <c r="O519" s="230"/>
      <c r="P519" s="230"/>
    </row>
    <row r="520" spans="9:16">
      <c r="I520" t="str">
        <f>IF(B520="","",VLOOKUP(A520&amp;"",'AZ DL&amp;OH FG'!$A$7:$C$385,3,0)-B520)</f>
        <v/>
      </c>
      <c r="J520" t="str">
        <f>IF(D520="","",VLOOKUP(A520&amp;"",'FL DL&amp;OH FG'!$A$7:$C$381,3,0)-D520)</f>
        <v/>
      </c>
      <c r="L520" s="224"/>
      <c r="M520" t="str">
        <f>IF(F520="","",VLOOKUP(A520,'TX WIP'!$A$8:$C$259,3,0)-F520)</f>
        <v/>
      </c>
      <c r="N520" s="230"/>
      <c r="O520" s="230"/>
      <c r="P520" s="230"/>
    </row>
    <row r="521" spans="9:16">
      <c r="I521" t="str">
        <f>IF(B521="","",VLOOKUP(A521&amp;"",'AZ DL&amp;OH FG'!$A$7:$C$385,3,0)-B521)</f>
        <v/>
      </c>
      <c r="J521" t="str">
        <f>IF(D521="","",VLOOKUP(A521&amp;"",'FL DL&amp;OH FG'!$A$7:$C$381,3,0)-D521)</f>
        <v/>
      </c>
      <c r="L521" s="224"/>
      <c r="M521" t="str">
        <f>IF(F521="","",VLOOKUP(A521,'TX WIP'!$A$8:$C$259,3,0)-F521)</f>
        <v/>
      </c>
      <c r="N521" s="230"/>
      <c r="O521" s="230"/>
      <c r="P521" s="230"/>
    </row>
    <row r="522" spans="9:16">
      <c r="I522" t="str">
        <f>IF(B522="","",VLOOKUP(A522&amp;"",'AZ DL&amp;OH FG'!$A$7:$C$385,3,0)-B522)</f>
        <v/>
      </c>
      <c r="J522" t="str">
        <f>IF(D522="","",VLOOKUP(A522&amp;"",'FL DL&amp;OH FG'!$A$7:$C$381,3,0)-D522)</f>
        <v/>
      </c>
      <c r="L522" s="224"/>
      <c r="M522" t="str">
        <f>IF(F522="","",VLOOKUP(A522,'TX WIP'!$A$8:$C$259,3,0)-F522)</f>
        <v/>
      </c>
      <c r="N522" s="230"/>
      <c r="O522" s="230"/>
      <c r="P522" s="230"/>
    </row>
    <row r="523" spans="9:16">
      <c r="I523" t="str">
        <f>IF(B523="","",VLOOKUP(A523&amp;"",'AZ DL&amp;OH FG'!$A$7:$C$385,3,0)-B523)</f>
        <v/>
      </c>
      <c r="J523" t="str">
        <f>IF(D523="","",VLOOKUP(A523&amp;"",'FL DL&amp;OH FG'!$A$7:$C$381,3,0)-D523)</f>
        <v/>
      </c>
      <c r="L523" s="224"/>
      <c r="M523" t="str">
        <f>IF(F523="","",VLOOKUP(A523,'TX WIP'!$A$8:$C$259,3,0)-F523)</f>
        <v/>
      </c>
      <c r="N523" s="230"/>
      <c r="O523" s="230"/>
      <c r="P523" s="230"/>
    </row>
    <row r="524" spans="9:16">
      <c r="I524" t="str">
        <f>IF(B524="","",VLOOKUP(A524&amp;"",'AZ DL&amp;OH FG'!$A$7:$C$385,3,0)-B524)</f>
        <v/>
      </c>
      <c r="J524" t="str">
        <f>IF(D524="","",VLOOKUP(A524&amp;"",'FL DL&amp;OH FG'!$A$7:$C$381,3,0)-D524)</f>
        <v/>
      </c>
      <c r="L524" s="224"/>
      <c r="M524" t="str">
        <f>IF(F524="","",VLOOKUP(A524,'TX WIP'!$A$8:$C$259,3,0)-F524)</f>
        <v/>
      </c>
      <c r="N524" s="230"/>
      <c r="O524" s="230"/>
      <c r="P524" s="230"/>
    </row>
    <row r="525" spans="9:16">
      <c r="I525" t="str">
        <f>IF(B525="","",VLOOKUP(A525&amp;"",'AZ DL&amp;OH FG'!$A$7:$C$385,3,0)-B525)</f>
        <v/>
      </c>
      <c r="J525" t="str">
        <f>IF(D525="","",VLOOKUP(A525&amp;"",'FL DL&amp;OH FG'!$A$7:$C$381,3,0)-D525)</f>
        <v/>
      </c>
      <c r="L525" s="224"/>
      <c r="M525" t="str">
        <f>IF(F525="","",VLOOKUP(A525,'TX WIP'!$A$8:$C$259,3,0)-F525)</f>
        <v/>
      </c>
      <c r="N525" s="230"/>
      <c r="O525" s="230"/>
      <c r="P525" s="230"/>
    </row>
    <row r="526" spans="9:16">
      <c r="I526" t="str">
        <f>IF(B526="","",VLOOKUP(A526&amp;"",'AZ DL&amp;OH FG'!$A$7:$C$385,3,0)-B526)</f>
        <v/>
      </c>
      <c r="J526" t="str">
        <f>IF(D526="","",VLOOKUP(A526&amp;"",'FL DL&amp;OH FG'!$A$7:$C$381,3,0)-D526)</f>
        <v/>
      </c>
      <c r="L526" s="224"/>
      <c r="M526" t="str">
        <f>IF(F526="","",VLOOKUP(A526,'TX WIP'!$A$8:$C$259,3,0)-F526)</f>
        <v/>
      </c>
      <c r="N526" s="230"/>
      <c r="O526" s="230"/>
      <c r="P526" s="230"/>
    </row>
    <row r="527" spans="9:16">
      <c r="I527" t="str">
        <f>IF(B527="","",VLOOKUP(A527&amp;"",'AZ DL&amp;OH FG'!$A$7:$C$385,3,0)-B527)</f>
        <v/>
      </c>
      <c r="J527" t="str">
        <f>IF(D527="","",VLOOKUP(A527&amp;"",'FL DL&amp;OH FG'!$A$7:$C$381,3,0)-D527)</f>
        <v/>
      </c>
      <c r="L527" s="224"/>
      <c r="M527" t="str">
        <f>IF(F527="","",VLOOKUP(A527,'TX WIP'!$A$8:$C$259,3,0)-F527)</f>
        <v/>
      </c>
      <c r="N527" s="230"/>
      <c r="O527" s="230"/>
      <c r="P527" s="230"/>
    </row>
    <row r="528" spans="9:16">
      <c r="I528" t="str">
        <f>IF(B528="","",VLOOKUP(A528&amp;"",'AZ DL&amp;OH FG'!$A$7:$C$385,3,0)-B528)</f>
        <v/>
      </c>
      <c r="J528" t="str">
        <f>IF(D528="","",VLOOKUP(A528&amp;"",'FL DL&amp;OH FG'!$A$7:$C$381,3,0)-D528)</f>
        <v/>
      </c>
      <c r="L528" s="224"/>
      <c r="M528" t="str">
        <f>IF(F528="","",VLOOKUP(A528,'TX WIP'!$A$8:$C$259,3,0)-F528)</f>
        <v/>
      </c>
      <c r="N528" s="230"/>
      <c r="O528" s="230"/>
      <c r="P528" s="230"/>
    </row>
    <row r="529" spans="9:16">
      <c r="I529" t="str">
        <f>IF(B529="","",VLOOKUP(A529&amp;"",'AZ DL&amp;OH FG'!$A$7:$C$385,3,0)-B529)</f>
        <v/>
      </c>
      <c r="J529" t="str">
        <f>IF(D529="","",VLOOKUP(A529&amp;"",'FL DL&amp;OH FG'!$A$7:$C$381,3,0)-D529)</f>
        <v/>
      </c>
      <c r="L529" s="224"/>
      <c r="M529" t="str">
        <f>IF(F529="","",VLOOKUP(A529,'TX WIP'!$A$8:$C$259,3,0)-F529)</f>
        <v/>
      </c>
      <c r="N529" s="230"/>
      <c r="O529" s="230"/>
      <c r="P529" s="230"/>
    </row>
    <row r="530" spans="9:16">
      <c r="I530" t="str">
        <f>IF(B530="","",VLOOKUP(A530&amp;"",'AZ DL&amp;OH FG'!$A$7:$C$385,3,0)-B530)</f>
        <v/>
      </c>
      <c r="J530" t="str">
        <f>IF(D530="","",VLOOKUP(A530&amp;"",'FL DL&amp;OH FG'!$A$7:$C$381,3,0)-D530)</f>
        <v/>
      </c>
      <c r="L530" s="224"/>
      <c r="M530" t="str">
        <f>IF(F530="","",VLOOKUP(A530,'TX WIP'!$A$8:$C$259,3,0)-F530)</f>
        <v/>
      </c>
      <c r="N530" s="230"/>
      <c r="O530" s="230"/>
      <c r="P530" s="230"/>
    </row>
    <row r="531" spans="9:16">
      <c r="I531" t="str">
        <f>IF(B531="","",VLOOKUP(A531&amp;"",'AZ DL&amp;OH FG'!$A$7:$C$385,3,0)-B531)</f>
        <v/>
      </c>
      <c r="J531" t="str">
        <f>IF(D531="","",VLOOKUP(A531&amp;"",'FL DL&amp;OH FG'!$A$7:$C$381,3,0)-D531)</f>
        <v/>
      </c>
      <c r="L531" s="224"/>
      <c r="M531" t="str">
        <f>IF(F531="","",VLOOKUP(A531,'TX WIP'!$A$8:$C$259,3,0)-F531)</f>
        <v/>
      </c>
      <c r="N531" s="230"/>
      <c r="O531" s="230"/>
      <c r="P531" s="230"/>
    </row>
    <row r="532" spans="9:16">
      <c r="I532" t="str">
        <f>IF(B532="","",VLOOKUP(A532&amp;"",'AZ DL&amp;OH FG'!$A$7:$C$385,3,0)-B532)</f>
        <v/>
      </c>
      <c r="J532" t="str">
        <f>IF(D532="","",VLOOKUP(A532&amp;"",'FL DL&amp;OH FG'!$A$7:$C$381,3,0)-D532)</f>
        <v/>
      </c>
      <c r="L532" s="224"/>
      <c r="M532" t="str">
        <f>IF(F532="","",VLOOKUP(A532,'TX WIP'!$A$8:$C$259,3,0)-F532)</f>
        <v/>
      </c>
      <c r="N532" s="230"/>
      <c r="O532" s="230"/>
      <c r="P532" s="230"/>
    </row>
    <row r="533" spans="9:16">
      <c r="I533" t="str">
        <f>IF(B533="","",VLOOKUP(A533&amp;"",'AZ DL&amp;OH FG'!$A$7:$C$385,3,0)-B533)</f>
        <v/>
      </c>
      <c r="J533" t="str">
        <f>IF(D533="","",VLOOKUP(A533&amp;"",'FL DL&amp;OH FG'!$A$7:$C$381,3,0)-D533)</f>
        <v/>
      </c>
      <c r="L533" s="224"/>
      <c r="M533" t="str">
        <f>IF(F533="","",VLOOKUP(A533,'TX WIP'!$A$8:$C$259,3,0)-F533)</f>
        <v/>
      </c>
      <c r="N533" s="230"/>
      <c r="O533" s="230"/>
      <c r="P533" s="230"/>
    </row>
    <row r="534" spans="9:16">
      <c r="I534" t="str">
        <f>IF(B534="","",VLOOKUP(A534&amp;"",'AZ DL&amp;OH FG'!$A$7:$C$385,3,0)-B534)</f>
        <v/>
      </c>
      <c r="J534" t="str">
        <f>IF(D534="","",VLOOKUP(A534&amp;"",'FL DL&amp;OH FG'!$A$7:$C$381,3,0)-D534)</f>
        <v/>
      </c>
      <c r="L534" s="224"/>
      <c r="M534" t="str">
        <f>IF(F534="","",VLOOKUP(A534,'TX WIP'!$A$8:$C$259,3,0)-F534)</f>
        <v/>
      </c>
      <c r="N534" s="230"/>
      <c r="O534" s="230"/>
      <c r="P534" s="230"/>
    </row>
    <row r="535" spans="9:16">
      <c r="I535" t="str">
        <f>IF(B535="","",VLOOKUP(A535&amp;"",'AZ DL&amp;OH FG'!$A$7:$C$385,3,0)-B535)</f>
        <v/>
      </c>
      <c r="J535" t="str">
        <f>IF(D535="","",VLOOKUP(A535&amp;"",'FL DL&amp;OH FG'!$A$7:$C$381,3,0)-D535)</f>
        <v/>
      </c>
      <c r="L535" s="224"/>
      <c r="M535" t="str">
        <f>IF(F535="","",VLOOKUP(A535,'TX WIP'!$A$8:$C$259,3,0)-F535)</f>
        <v/>
      </c>
      <c r="N535" s="230"/>
      <c r="O535" s="230"/>
      <c r="P535" s="230"/>
    </row>
    <row r="536" spans="9:16">
      <c r="I536" t="str">
        <f>IF(B536="","",VLOOKUP(A536&amp;"",'AZ DL&amp;OH FG'!$A$7:$C$385,3,0)-B536)</f>
        <v/>
      </c>
      <c r="J536" t="str">
        <f>IF(D536="","",VLOOKUP(A536&amp;"",'FL DL&amp;OH FG'!$A$7:$C$381,3,0)-D536)</f>
        <v/>
      </c>
      <c r="L536" s="224"/>
      <c r="M536" t="str">
        <f>IF(F536="","",VLOOKUP(A536,'TX WIP'!$A$8:$C$259,3,0)-F536)</f>
        <v/>
      </c>
      <c r="N536" s="230"/>
      <c r="O536" s="230"/>
      <c r="P536" s="230"/>
    </row>
    <row r="537" spans="9:16">
      <c r="I537" t="str">
        <f>IF(B537="","",VLOOKUP(A537&amp;"",'AZ DL&amp;OH FG'!$A$7:$C$385,3,0)-B537)</f>
        <v/>
      </c>
      <c r="J537" t="str">
        <f>IF(D537="","",VLOOKUP(A537&amp;"",'FL DL&amp;OH FG'!$A$7:$C$381,3,0)-D537)</f>
        <v/>
      </c>
      <c r="L537" s="224"/>
      <c r="M537" t="str">
        <f>IF(F537="","",VLOOKUP(A537,'TX WIP'!$A$8:$C$259,3,0)-F537)</f>
        <v/>
      </c>
      <c r="N537" s="230"/>
      <c r="O537" s="230"/>
      <c r="P537" s="230"/>
    </row>
    <row r="538" spans="9:16">
      <c r="I538" t="str">
        <f>IF(B538="","",VLOOKUP(A538&amp;"",'AZ DL&amp;OH FG'!$A$7:$C$385,3,0)-B538)</f>
        <v/>
      </c>
      <c r="J538" t="str">
        <f>IF(D538="","",VLOOKUP(A538&amp;"",'FL DL&amp;OH FG'!$A$7:$C$381,3,0)-D538)</f>
        <v/>
      </c>
      <c r="L538" s="224"/>
      <c r="M538" t="str">
        <f>IF(F538="","",VLOOKUP(A538,'TX WIP'!$A$8:$C$259,3,0)-F538)</f>
        <v/>
      </c>
      <c r="N538" s="230"/>
      <c r="O538" s="230"/>
      <c r="P538" s="230"/>
    </row>
    <row r="539" spans="9:16">
      <c r="I539" t="str">
        <f>IF(B539="","",VLOOKUP(A539&amp;"",'AZ DL&amp;OH FG'!$A$7:$C$385,3,0)-B539)</f>
        <v/>
      </c>
      <c r="J539" t="str">
        <f>IF(D539="","",VLOOKUP(A539&amp;"",'FL DL&amp;OH FG'!$A$7:$C$381,3,0)-D539)</f>
        <v/>
      </c>
      <c r="L539" s="224"/>
      <c r="M539" t="str">
        <f>IF(F539="","",VLOOKUP(A539,'TX WIP'!$A$8:$C$259,3,0)-F539)</f>
        <v/>
      </c>
      <c r="N539" s="230"/>
      <c r="O539" s="230"/>
      <c r="P539" s="230"/>
    </row>
    <row r="540" spans="9:16">
      <c r="I540" t="str">
        <f>IF(B540="","",VLOOKUP(A540&amp;"",'AZ DL&amp;OH FG'!$A$7:$C$385,3,0)-B540)</f>
        <v/>
      </c>
      <c r="J540" t="str">
        <f>IF(D540="","",VLOOKUP(A540&amp;"",'FL DL&amp;OH FG'!$A$7:$C$381,3,0)-D540)</f>
        <v/>
      </c>
      <c r="L540" s="224"/>
      <c r="M540" t="str">
        <f>IF(F540="","",VLOOKUP(A540,'TX WIP'!$A$8:$C$259,3,0)-F540)</f>
        <v/>
      </c>
      <c r="N540" s="230"/>
      <c r="O540" s="230"/>
      <c r="P540" s="230"/>
    </row>
    <row r="541" spans="9:16">
      <c r="I541" t="str">
        <f>IF(B541="","",VLOOKUP(A541&amp;"",'AZ DL&amp;OH FG'!$A$7:$C$385,3,0)-B541)</f>
        <v/>
      </c>
      <c r="J541" t="str">
        <f>IF(D541="","",VLOOKUP(A541&amp;"",'FL DL&amp;OH FG'!$A$7:$C$381,3,0)-D541)</f>
        <v/>
      </c>
      <c r="L541" s="224"/>
      <c r="M541" t="str">
        <f>IF(F541="","",VLOOKUP(A541,'TX WIP'!$A$8:$C$259,3,0)-F541)</f>
        <v/>
      </c>
      <c r="N541" s="230"/>
      <c r="O541" s="230"/>
      <c r="P541" s="230"/>
    </row>
    <row r="542" spans="9:16">
      <c r="I542" t="str">
        <f>IF(B542="","",VLOOKUP(A542&amp;"",'AZ DL&amp;OH FG'!$A$7:$C$385,3,0)-B542)</f>
        <v/>
      </c>
      <c r="J542" t="str">
        <f>IF(D542="","",VLOOKUP(A542&amp;"",'FL DL&amp;OH FG'!$A$7:$C$381,3,0)-D542)</f>
        <v/>
      </c>
      <c r="L542" s="224"/>
      <c r="M542" t="str">
        <f>IF(F542="","",VLOOKUP(A542,'TX WIP'!$A$8:$C$259,3,0)-F542)</f>
        <v/>
      </c>
      <c r="N542" s="230"/>
      <c r="O542" s="230"/>
      <c r="P542" s="230"/>
    </row>
    <row r="543" spans="9:16">
      <c r="I543" t="str">
        <f>IF(B543="","",VLOOKUP(A543&amp;"",'AZ DL&amp;OH FG'!$A$7:$C$385,3,0)-B543)</f>
        <v/>
      </c>
      <c r="J543" t="str">
        <f>IF(D543="","",VLOOKUP(A543&amp;"",'FL DL&amp;OH FG'!$A$7:$C$381,3,0)-D543)</f>
        <v/>
      </c>
      <c r="L543" s="224"/>
      <c r="M543" t="str">
        <f>IF(F543="","",VLOOKUP(A543,'TX WIP'!$A$8:$C$259,3,0)-F543)</f>
        <v/>
      </c>
      <c r="N543" s="230"/>
      <c r="O543" s="230"/>
      <c r="P543" s="230"/>
    </row>
    <row r="544" spans="9:16">
      <c r="I544" t="str">
        <f>IF(B544="","",VLOOKUP(A544&amp;"",'AZ DL&amp;OH FG'!$A$7:$C$385,3,0)-B544)</f>
        <v/>
      </c>
      <c r="J544" t="str">
        <f>IF(D544="","",VLOOKUP(A544&amp;"",'FL DL&amp;OH FG'!$A$7:$C$381,3,0)-D544)</f>
        <v/>
      </c>
      <c r="L544" s="224"/>
      <c r="M544" t="str">
        <f>IF(F544="","",VLOOKUP(A544,'TX WIP'!$A$8:$C$259,3,0)-F544)</f>
        <v/>
      </c>
      <c r="N544" s="230"/>
      <c r="O544" s="230"/>
      <c r="P544" s="230"/>
    </row>
    <row r="545" spans="9:16">
      <c r="I545" t="str">
        <f>IF(B545="","",VLOOKUP(A545&amp;"",'AZ DL&amp;OH FG'!$A$7:$C$385,3,0)-B545)</f>
        <v/>
      </c>
      <c r="J545" t="str">
        <f>IF(D545="","",VLOOKUP(A545&amp;"",'FL DL&amp;OH FG'!$A$7:$C$381,3,0)-D545)</f>
        <v/>
      </c>
      <c r="L545" s="224"/>
      <c r="M545" t="str">
        <f>IF(F545="","",VLOOKUP(A545,'TX WIP'!$A$8:$C$259,3,0)-F545)</f>
        <v/>
      </c>
      <c r="N545" s="230"/>
      <c r="O545" s="230"/>
      <c r="P545" s="230"/>
    </row>
    <row r="546" spans="9:16">
      <c r="I546" t="str">
        <f>IF(B546="","",VLOOKUP(A546&amp;"",'AZ DL&amp;OH FG'!$A$7:$C$385,3,0)-B546)</f>
        <v/>
      </c>
      <c r="J546" t="str">
        <f>IF(D546="","",VLOOKUP(A546&amp;"",'FL DL&amp;OH FG'!$A$7:$C$381,3,0)-D546)</f>
        <v/>
      </c>
      <c r="L546" s="224"/>
      <c r="M546" t="str">
        <f>IF(F546="","",VLOOKUP(A546,'TX WIP'!$A$8:$C$259,3,0)-F546)</f>
        <v/>
      </c>
      <c r="N546" s="230"/>
      <c r="O546" s="230"/>
      <c r="P546" s="230"/>
    </row>
    <row r="547" spans="9:16">
      <c r="I547" t="str">
        <f>IF(B547="","",VLOOKUP(A547&amp;"",'AZ DL&amp;OH FG'!$A$7:$C$385,3,0)-B547)</f>
        <v/>
      </c>
      <c r="J547" t="str">
        <f>IF(D547="","",VLOOKUP(A547&amp;"",'FL DL&amp;OH FG'!$A$7:$C$381,3,0)-D547)</f>
        <v/>
      </c>
      <c r="L547" s="224"/>
      <c r="M547" t="str">
        <f>IF(F547="","",VLOOKUP(A547,'TX WIP'!$A$8:$C$259,3,0)-F547)</f>
        <v/>
      </c>
      <c r="N547" s="230"/>
      <c r="O547" s="230"/>
      <c r="P547" s="230"/>
    </row>
    <row r="548" spans="9:16">
      <c r="I548" t="str">
        <f>IF(B548="","",VLOOKUP(A548&amp;"",'AZ DL&amp;OH FG'!$A$7:$C$385,3,0)-B548)</f>
        <v/>
      </c>
      <c r="J548" t="str">
        <f>IF(D548="","",VLOOKUP(A548&amp;"",'FL DL&amp;OH FG'!$A$7:$C$381,3,0)-D548)</f>
        <v/>
      </c>
      <c r="L548" s="224"/>
      <c r="M548" t="str">
        <f>IF(F548="","",VLOOKUP(A548,'TX WIP'!$A$8:$C$259,3,0)-F548)</f>
        <v/>
      </c>
      <c r="N548" s="230"/>
      <c r="O548" s="230"/>
      <c r="P548" s="230"/>
    </row>
    <row r="549" spans="9:16">
      <c r="I549" t="str">
        <f>IF(B549="","",VLOOKUP(A549&amp;"",'AZ DL&amp;OH FG'!$A$7:$C$385,3,0)-B549)</f>
        <v/>
      </c>
      <c r="J549" t="str">
        <f>IF(D549="","",VLOOKUP(A549&amp;"",'FL DL&amp;OH FG'!$A$7:$C$381,3,0)-D549)</f>
        <v/>
      </c>
      <c r="L549" s="224"/>
      <c r="M549" t="str">
        <f>IF(F549="","",VLOOKUP(A549,'TX WIP'!$A$8:$C$259,3,0)-F549)</f>
        <v/>
      </c>
      <c r="N549" s="230"/>
      <c r="O549" s="230"/>
      <c r="P549" s="230"/>
    </row>
    <row r="550" spans="9:16">
      <c r="I550" t="str">
        <f>IF(B550="","",VLOOKUP(A550&amp;"",'AZ DL&amp;OH FG'!$A$7:$C$385,3,0)-B550)</f>
        <v/>
      </c>
      <c r="J550" t="str">
        <f>IF(D550="","",VLOOKUP(A550&amp;"",'FL DL&amp;OH FG'!$A$7:$C$381,3,0)-D550)</f>
        <v/>
      </c>
      <c r="L550" s="224"/>
      <c r="M550" t="str">
        <f>IF(F550="","",VLOOKUP(A550,'TX WIP'!$A$8:$C$259,3,0)-F550)</f>
        <v/>
      </c>
      <c r="N550" s="230"/>
      <c r="O550" s="230"/>
      <c r="P550" s="230"/>
    </row>
    <row r="551" spans="9:16">
      <c r="I551" t="str">
        <f>IF(B551="","",VLOOKUP(A551&amp;"",'AZ DL&amp;OH FG'!$A$7:$C$385,3,0)-B551)</f>
        <v/>
      </c>
      <c r="J551" t="str">
        <f>IF(D551="","",VLOOKUP(A551&amp;"",'FL DL&amp;OH FG'!$A$7:$C$381,3,0)-D551)</f>
        <v/>
      </c>
      <c r="L551" s="224"/>
      <c r="M551" t="str">
        <f>IF(F551="","",VLOOKUP(A551,'TX WIP'!$A$8:$C$259,3,0)-F551)</f>
        <v/>
      </c>
      <c r="N551" s="230"/>
      <c r="O551" s="230"/>
      <c r="P551" s="230"/>
    </row>
    <row r="552" spans="9:16">
      <c r="I552" t="str">
        <f>IF(B552="","",VLOOKUP(A552&amp;"",'AZ DL&amp;OH FG'!$A$7:$C$385,3,0)-B552)</f>
        <v/>
      </c>
      <c r="J552" t="str">
        <f>IF(D552="","",VLOOKUP(A552&amp;"",'FL DL&amp;OH FG'!$A$7:$C$381,3,0)-D552)</f>
        <v/>
      </c>
      <c r="L552" s="224"/>
      <c r="M552" t="str">
        <f>IF(F552="","",VLOOKUP(A552,'TX WIP'!$A$8:$C$259,3,0)-F552)</f>
        <v/>
      </c>
      <c r="N552" s="230"/>
      <c r="O552" s="230"/>
      <c r="P552" s="230"/>
    </row>
    <row r="553" spans="9:16">
      <c r="I553" t="str">
        <f>IF(B553="","",VLOOKUP(A553&amp;"",'AZ DL&amp;OH FG'!$A$7:$C$385,3,0)-B553)</f>
        <v/>
      </c>
      <c r="J553" t="str">
        <f>IF(D553="","",VLOOKUP(A553&amp;"",'FL DL&amp;OH FG'!$A$7:$C$381,3,0)-D553)</f>
        <v/>
      </c>
      <c r="L553" s="224"/>
      <c r="M553" t="str">
        <f>IF(F553="","",VLOOKUP(A553,'TX WIP'!$A$8:$C$259,3,0)-F553)</f>
        <v/>
      </c>
      <c r="N553" s="230"/>
      <c r="O553" s="230"/>
      <c r="P553" s="230"/>
    </row>
    <row r="554" spans="9:16">
      <c r="I554" t="str">
        <f>IF(B554="","",VLOOKUP(A554&amp;"",'AZ DL&amp;OH FG'!$A$7:$C$385,3,0)-B554)</f>
        <v/>
      </c>
      <c r="J554" t="str">
        <f>IF(D554="","",VLOOKUP(A554&amp;"",'FL DL&amp;OH FG'!$A$7:$C$381,3,0)-D554)</f>
        <v/>
      </c>
      <c r="L554" s="224"/>
      <c r="M554" t="str">
        <f>IF(F554="","",VLOOKUP(A554,'TX WIP'!$A$8:$C$259,3,0)-F554)</f>
        <v/>
      </c>
      <c r="N554" s="230"/>
      <c r="O554" s="230"/>
      <c r="P554" s="230"/>
    </row>
    <row r="555" spans="9:16">
      <c r="I555" t="str">
        <f>IF(B555="","",VLOOKUP(A555&amp;"",'AZ DL&amp;OH FG'!$A$7:$C$385,3,0)-B555)</f>
        <v/>
      </c>
      <c r="J555" t="str">
        <f>IF(D555="","",VLOOKUP(A555&amp;"",'FL DL&amp;OH FG'!$A$7:$C$381,3,0)-D555)</f>
        <v/>
      </c>
      <c r="L555" s="224"/>
      <c r="M555" t="str">
        <f>IF(F555="","",VLOOKUP(A555,'TX WIP'!$A$8:$C$259,3,0)-F555)</f>
        <v/>
      </c>
      <c r="N555" s="230"/>
      <c r="O555" s="230"/>
      <c r="P555" s="230"/>
    </row>
    <row r="556" spans="9:16">
      <c r="I556" t="str">
        <f>IF(B556="","",VLOOKUP(A556&amp;"",'AZ DL&amp;OH FG'!$A$7:$C$385,3,0)-B556)</f>
        <v/>
      </c>
      <c r="J556" t="str">
        <f>IF(D556="","",VLOOKUP(A556&amp;"",'FL DL&amp;OH FG'!$A$7:$C$381,3,0)-D556)</f>
        <v/>
      </c>
      <c r="L556" s="224"/>
      <c r="M556" t="str">
        <f>IF(F556="","",VLOOKUP(A556,'TX WIP'!$A$8:$C$259,3,0)-F556)</f>
        <v/>
      </c>
      <c r="N556" s="230"/>
      <c r="O556" s="230"/>
      <c r="P556" s="230"/>
    </row>
    <row r="557" spans="9:16">
      <c r="I557" t="str">
        <f>IF(B557="","",VLOOKUP(A557&amp;"",'AZ DL&amp;OH FG'!$A$7:$C$385,3,0)-B557)</f>
        <v/>
      </c>
      <c r="J557" t="str">
        <f>IF(D557="","",VLOOKUP(A557&amp;"",'FL DL&amp;OH FG'!$A$7:$C$381,3,0)-D557)</f>
        <v/>
      </c>
      <c r="L557" s="224"/>
      <c r="M557" t="str">
        <f>IF(F557="","",VLOOKUP(A557,'TX WIP'!$A$8:$C$259,3,0)-F557)</f>
        <v/>
      </c>
      <c r="N557" s="230"/>
      <c r="O557" s="230"/>
      <c r="P557" s="230"/>
    </row>
    <row r="558" spans="9:16">
      <c r="I558" t="str">
        <f>IF(B558="","",VLOOKUP(A558&amp;"",'AZ DL&amp;OH FG'!$A$7:$C$385,3,0)-B558)</f>
        <v/>
      </c>
      <c r="J558" t="str">
        <f>IF(D558="","",VLOOKUP(A558&amp;"",'FL DL&amp;OH FG'!$A$7:$C$381,3,0)-D558)</f>
        <v/>
      </c>
      <c r="L558" s="224"/>
      <c r="M558" t="str">
        <f>IF(F558="","",VLOOKUP(A558,'TX WIP'!$A$8:$C$259,3,0)-F558)</f>
        <v/>
      </c>
      <c r="N558" s="230"/>
      <c r="O558" s="230"/>
      <c r="P558" s="230"/>
    </row>
    <row r="559" spans="9:16">
      <c r="I559" t="str">
        <f>IF(B559="","",VLOOKUP(A559&amp;"",'AZ DL&amp;OH FG'!$A$7:$C$385,3,0)-B559)</f>
        <v/>
      </c>
      <c r="J559" t="str">
        <f>IF(D559="","",VLOOKUP(A559&amp;"",'FL DL&amp;OH FG'!$A$7:$C$381,3,0)-D559)</f>
        <v/>
      </c>
      <c r="L559" s="224"/>
      <c r="M559" t="str">
        <f>IF(F559="","",VLOOKUP(A559,'TX WIP'!$A$8:$C$259,3,0)-F559)</f>
        <v/>
      </c>
      <c r="N559" s="230"/>
      <c r="O559" s="230"/>
      <c r="P559" s="230"/>
    </row>
    <row r="560" spans="9:16">
      <c r="I560" t="str">
        <f>IF(B560="","",VLOOKUP(A560&amp;"",'AZ DL&amp;OH FG'!$A$7:$C$385,3,0)-B560)</f>
        <v/>
      </c>
      <c r="J560" t="str">
        <f>IF(D560="","",VLOOKUP(A560&amp;"",'FL DL&amp;OH FG'!$A$7:$C$381,3,0)-D560)</f>
        <v/>
      </c>
      <c r="L560" s="224"/>
      <c r="M560" t="str">
        <f>IF(F560="","",VLOOKUP(A560,'TX WIP'!$A$8:$C$259,3,0)-F560)</f>
        <v/>
      </c>
      <c r="N560" s="230"/>
      <c r="O560" s="230"/>
      <c r="P560" s="230"/>
    </row>
    <row r="561" spans="9:16">
      <c r="I561" t="str">
        <f>IF(B561="","",VLOOKUP(A561&amp;"",'AZ DL&amp;OH FG'!$A$7:$C$385,3,0)-B561)</f>
        <v/>
      </c>
      <c r="J561" t="str">
        <f>IF(D561="","",VLOOKUP(A561&amp;"",'FL DL&amp;OH FG'!$A$7:$C$381,3,0)-D561)</f>
        <v/>
      </c>
      <c r="L561" s="224"/>
      <c r="M561" t="str">
        <f>IF(F561="","",VLOOKUP(A561,'TX WIP'!$A$8:$C$259,3,0)-F561)</f>
        <v/>
      </c>
      <c r="N561" s="230"/>
      <c r="O561" s="230"/>
      <c r="P561" s="230"/>
    </row>
    <row r="562" spans="9:16">
      <c r="I562" t="str">
        <f>IF(B562="","",VLOOKUP(A562&amp;"",'AZ DL&amp;OH FG'!$A$7:$C$385,3,0)-B562)</f>
        <v/>
      </c>
      <c r="J562" t="str">
        <f>IF(D562="","",VLOOKUP(A562&amp;"",'FL DL&amp;OH FG'!$A$7:$C$381,3,0)-D562)</f>
        <v/>
      </c>
      <c r="L562" s="224"/>
      <c r="M562" t="str">
        <f>IF(F562="","",VLOOKUP(A562,'TX WIP'!$A$8:$C$259,3,0)-F562)</f>
        <v/>
      </c>
      <c r="N562" s="230"/>
      <c r="O562" s="230"/>
      <c r="P562" s="230"/>
    </row>
    <row r="563" spans="9:16">
      <c r="I563" t="str">
        <f>IF(B563="","",VLOOKUP(A563&amp;"",'AZ DL&amp;OH FG'!$A$7:$C$385,3,0)-B563)</f>
        <v/>
      </c>
      <c r="J563" t="str">
        <f>IF(D563="","",VLOOKUP(A563&amp;"",'FL DL&amp;OH FG'!$A$7:$C$381,3,0)-D563)</f>
        <v/>
      </c>
      <c r="M563" t="str">
        <f>IF(F563="","",VLOOKUP(A563,'TX WIP'!$A$8:$C$259,3,0)-F563)</f>
        <v/>
      </c>
      <c r="P563" s="230"/>
    </row>
    <row r="564" spans="9:16">
      <c r="I564" t="str">
        <f>IF(B564="","",VLOOKUP(A564&amp;"",'AZ DL&amp;OH FG'!$A$7:$C$385,3,0)-B564)</f>
        <v/>
      </c>
      <c r="J564" t="str">
        <f>IF(D564="","",VLOOKUP(A564&amp;"",'FL DL&amp;OH FG'!$A$7:$C$381,3,0)-D564)</f>
        <v/>
      </c>
      <c r="M564" t="str">
        <f>IF(F564="","",VLOOKUP(A564,'TX WIP'!$A$8:$C$259,3,0)-F564)</f>
        <v/>
      </c>
      <c r="P564" s="230"/>
    </row>
    <row r="565" spans="9:16">
      <c r="I565" t="str">
        <f>IF(B565="","",VLOOKUP(A565&amp;"",'AZ DL&amp;OH FG'!$A$7:$C$385,3,0)-B565)</f>
        <v/>
      </c>
      <c r="J565" t="str">
        <f>IF(D565="","",VLOOKUP(A565&amp;"",'FL DL&amp;OH FG'!$A$7:$C$381,3,0)-D565)</f>
        <v/>
      </c>
      <c r="M565" t="str">
        <f>IF(F565="","",VLOOKUP(A565,'TX WIP'!$A$8:$C$259,3,0)-F565)</f>
        <v/>
      </c>
      <c r="P565" s="230"/>
    </row>
    <row r="566" spans="9:16">
      <c r="I566" t="str">
        <f>IF(B566="","",VLOOKUP(A566&amp;"",'AZ DL&amp;OH FG'!$A$7:$C$385,3,0)-B566)</f>
        <v/>
      </c>
      <c r="J566" t="str">
        <f>IF(D566="","",VLOOKUP(A566&amp;"",'FL DL&amp;OH FG'!$A$7:$C$381,3,0)-D566)</f>
        <v/>
      </c>
      <c r="M566" t="str">
        <f>IF(F566="","",VLOOKUP(A566,'TX WIP'!$A$8:$C$259,3,0)-F566)</f>
        <v/>
      </c>
      <c r="P566" s="230"/>
    </row>
    <row r="567" spans="9:16">
      <c r="I567" t="str">
        <f>IF(B567="","",VLOOKUP(A567&amp;"",'AZ DL&amp;OH FG'!$A$7:$C$385,3,0)-B567)</f>
        <v/>
      </c>
      <c r="J567" t="str">
        <f>IF(D567="","",VLOOKUP(A567&amp;"",'FL DL&amp;OH FG'!$A$7:$C$381,3,0)-D567)</f>
        <v/>
      </c>
      <c r="M567" t="str">
        <f>IF(F567="","",VLOOKUP(A567,'TX WIP'!$A$8:$C$259,3,0)-F567)</f>
        <v/>
      </c>
      <c r="P567" s="230"/>
    </row>
    <row r="568" spans="9:16">
      <c r="I568" t="str">
        <f>IF(B568="","",VLOOKUP(A568&amp;"",'AZ DL&amp;OH FG'!$A$7:$C$385,3,0)-B568)</f>
        <v/>
      </c>
      <c r="J568" t="str">
        <f>IF(D568="","",VLOOKUP(A568&amp;"",'FL DL&amp;OH FG'!$A$7:$C$381,3,0)-D568)</f>
        <v/>
      </c>
      <c r="M568" t="str">
        <f>IF(F568="","",VLOOKUP(A568,'TX WIP'!$A$8:$C$259,3,0)-F568)</f>
        <v/>
      </c>
      <c r="P568" s="230"/>
    </row>
    <row r="569" spans="9:16">
      <c r="I569" t="str">
        <f>IF(B569="","",VLOOKUP(A569&amp;"",'AZ DL&amp;OH FG'!$A$7:$C$385,3,0)-B569)</f>
        <v/>
      </c>
      <c r="J569" t="str">
        <f>IF(D569="","",VLOOKUP(A569&amp;"",'FL DL&amp;OH FG'!$A$7:$C$381,3,0)-D569)</f>
        <v/>
      </c>
      <c r="M569" t="str">
        <f>IF(F569="","",VLOOKUP(A569,'TX WIP'!$A$8:$C$259,3,0)-F569)</f>
        <v/>
      </c>
      <c r="P569" s="230"/>
    </row>
    <row r="570" spans="9:16">
      <c r="P570" s="230"/>
    </row>
    <row r="571" spans="9:16">
      <c r="P571" s="230"/>
    </row>
    <row r="572" spans="9:16">
      <c r="P572" s="230"/>
    </row>
    <row r="573" spans="9:16">
      <c r="P573" s="230"/>
    </row>
    <row r="574" spans="9:16">
      <c r="P574" s="230"/>
    </row>
    <row r="575" spans="9:16">
      <c r="P575" s="230"/>
    </row>
    <row r="576" spans="9:16">
      <c r="P576" s="230"/>
    </row>
    <row r="577" spans="16:16">
      <c r="P577" s="230"/>
    </row>
    <row r="578" spans="16:16">
      <c r="P578" s="230"/>
    </row>
    <row r="579" spans="16:16">
      <c r="P579" s="230"/>
    </row>
    <row r="580" spans="16:16">
      <c r="P580" s="230"/>
    </row>
    <row r="581" spans="16:16">
      <c r="P581" s="230"/>
    </row>
    <row r="582" spans="16:16">
      <c r="P582" s="230"/>
    </row>
    <row r="583" spans="16:16">
      <c r="P583" s="230"/>
    </row>
    <row r="584" spans="16:16">
      <c r="P584" s="230"/>
    </row>
    <row r="585" spans="16:16">
      <c r="P585" s="230"/>
    </row>
    <row r="586" spans="16:16">
      <c r="P586" s="230"/>
    </row>
    <row r="587" spans="16:16">
      <c r="P587" s="230"/>
    </row>
    <row r="588" spans="16:16">
      <c r="P588" s="230"/>
    </row>
    <row r="589" spans="16:16">
      <c r="P589" s="230"/>
    </row>
    <row r="590" spans="16:16">
      <c r="P590" s="230"/>
    </row>
    <row r="591" spans="16:16">
      <c r="P591" s="230"/>
    </row>
    <row r="592" spans="16:16">
      <c r="P592" s="230"/>
    </row>
    <row r="593" spans="16:16">
      <c r="P593" s="230"/>
    </row>
    <row r="594" spans="16:16">
      <c r="P594" s="230"/>
    </row>
    <row r="595" spans="16:16">
      <c r="P595" s="230"/>
    </row>
    <row r="596" spans="16:16">
      <c r="P596" s="230"/>
    </row>
    <row r="597" spans="16:16">
      <c r="P597" s="230"/>
    </row>
  </sheetData>
  <conditionalFormatting sqref="T273:U456">
    <cfRule type="cellIs" dxfId="12" priority="1" operator="lessThan">
      <formula>-1</formula>
    </cfRule>
    <cfRule type="cellIs" dxfId="11" priority="2" operator="greaterThan">
      <formula>1</formula>
    </cfRule>
  </conditionalFormatting>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0"/>
    <pageSetUpPr fitToPage="1"/>
  </sheetPr>
  <dimension ref="A1:CR80"/>
  <sheetViews>
    <sheetView workbookViewId="0">
      <pane ySplit="6" topLeftCell="A45" activePane="bottomLeft" state="frozen"/>
      <selection pane="bottomLeft" activeCell="H65" sqref="H65"/>
    </sheetView>
  </sheetViews>
  <sheetFormatPr defaultColWidth="9.140625" defaultRowHeight="12.75"/>
  <cols>
    <col min="1" max="1" width="11.28515625" style="49" bestFit="1" customWidth="1"/>
    <col min="2" max="2" width="44.5703125" style="49" customWidth="1"/>
    <col min="3" max="3" width="11.85546875" style="49" customWidth="1"/>
    <col min="4" max="4" width="16.28515625" style="49" customWidth="1"/>
    <col min="5" max="5" width="16" style="49" bestFit="1" customWidth="1"/>
    <col min="6" max="6" width="17.28515625" style="49" customWidth="1"/>
    <col min="7" max="7" width="11.85546875" style="49" customWidth="1"/>
    <col min="8" max="8" width="16.28515625" style="49" customWidth="1"/>
    <col min="9" max="9" width="16" style="49" bestFit="1" customWidth="1"/>
    <col min="10" max="10" width="21.42578125" style="49" bestFit="1" customWidth="1"/>
    <col min="11" max="11" width="7.5703125" style="49" customWidth="1"/>
    <col min="12" max="13" width="9.140625" style="49"/>
    <col min="14" max="14" width="9.7109375" style="49" bestFit="1" customWidth="1"/>
    <col min="15" max="16384" width="9.140625" style="49"/>
  </cols>
  <sheetData>
    <row r="1" spans="1:96">
      <c r="A1" s="435" t="s">
        <v>730</v>
      </c>
      <c r="B1" s="435"/>
      <c r="C1" s="435"/>
      <c r="D1" s="435"/>
      <c r="E1" s="435"/>
      <c r="F1" s="435"/>
      <c r="G1" s="6"/>
      <c r="H1" s="6"/>
      <c r="I1" s="6"/>
      <c r="J1"/>
      <c r="K1"/>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c r="BO1" s="157"/>
      <c r="BP1" s="157"/>
      <c r="BQ1" s="157"/>
      <c r="BR1" s="157"/>
      <c r="BS1" s="157"/>
      <c r="BT1" s="157"/>
      <c r="BU1" s="157"/>
      <c r="BV1" s="157"/>
      <c r="BW1" s="157"/>
      <c r="BX1" s="157"/>
      <c r="BY1" s="157"/>
      <c r="BZ1" s="157"/>
      <c r="CA1" s="157"/>
      <c r="CB1" s="157"/>
      <c r="CC1" s="157"/>
      <c r="CD1" s="157"/>
      <c r="CE1" s="157"/>
      <c r="CF1" s="157"/>
      <c r="CG1" s="157"/>
      <c r="CH1" s="157"/>
      <c r="CI1" s="157"/>
      <c r="CJ1" s="157"/>
      <c r="CK1" s="157"/>
      <c r="CL1" s="157"/>
      <c r="CM1" s="157"/>
      <c r="CN1" s="157"/>
      <c r="CO1" s="157"/>
      <c r="CP1" s="157"/>
      <c r="CQ1" s="157"/>
      <c r="CR1" s="157"/>
    </row>
    <row r="2" spans="1:96">
      <c r="A2" s="435" t="s">
        <v>731</v>
      </c>
      <c r="B2" s="435"/>
      <c r="C2" s="435"/>
      <c r="D2" s="435"/>
      <c r="E2" s="435"/>
      <c r="F2" s="6"/>
      <c r="G2" s="6"/>
      <c r="H2" s="6"/>
      <c r="I2" s="6"/>
      <c r="J2"/>
      <c r="K2"/>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c r="BO2" s="157"/>
      <c r="BP2" s="157"/>
      <c r="BQ2" s="157"/>
      <c r="BR2" s="157"/>
      <c r="BS2" s="157"/>
      <c r="BT2" s="157"/>
      <c r="BU2" s="157"/>
      <c r="BV2" s="157"/>
      <c r="BW2" s="157"/>
      <c r="BX2" s="157"/>
      <c r="BY2" s="157"/>
      <c r="BZ2" s="157"/>
      <c r="CA2" s="157"/>
      <c r="CB2" s="157"/>
      <c r="CC2" s="157"/>
      <c r="CD2" s="157"/>
      <c r="CE2" s="157"/>
      <c r="CF2" s="157"/>
      <c r="CG2" s="157"/>
      <c r="CH2" s="157"/>
      <c r="CI2" s="157"/>
      <c r="CJ2" s="157"/>
      <c r="CK2" s="157"/>
      <c r="CL2" s="157"/>
      <c r="CM2" s="157"/>
      <c r="CN2" s="157"/>
      <c r="CO2" s="157"/>
      <c r="CP2" s="157"/>
      <c r="CQ2" s="157"/>
      <c r="CR2" s="157"/>
    </row>
    <row r="3" spans="1:96">
      <c r="A3" s="437" t="str">
        <f>Detail!A1</f>
        <v>As of July 31st 2025</v>
      </c>
      <c r="B3" s="437"/>
      <c r="C3" s="437"/>
      <c r="D3" s="437"/>
      <c r="E3" s="437"/>
      <c r="F3" s="437"/>
      <c r="G3" s="6"/>
      <c r="H3" s="6"/>
      <c r="I3" s="6"/>
      <c r="J3"/>
      <c r="K3"/>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c r="BZ3" s="157"/>
      <c r="CA3" s="157"/>
      <c r="CB3" s="157"/>
      <c r="CC3" s="157"/>
      <c r="CD3" s="157"/>
      <c r="CE3" s="157"/>
      <c r="CF3" s="157"/>
      <c r="CG3" s="157"/>
      <c r="CH3" s="157"/>
      <c r="CI3" s="157"/>
      <c r="CJ3" s="157"/>
      <c r="CK3" s="157"/>
      <c r="CL3" s="157"/>
      <c r="CM3" s="157"/>
      <c r="CN3" s="157"/>
      <c r="CO3" s="157"/>
      <c r="CP3" s="157"/>
      <c r="CQ3" s="157"/>
      <c r="CR3" s="157"/>
    </row>
    <row r="4" spans="1:96">
      <c r="A4" s="157"/>
      <c r="B4" s="157"/>
      <c r="C4" s="157"/>
      <c r="D4" s="157" t="s">
        <v>2920</v>
      </c>
      <c r="E4" s="157"/>
      <c r="F4" s="6"/>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c r="BZ4" s="157"/>
      <c r="CA4" s="157"/>
      <c r="CB4" s="157"/>
      <c r="CC4" s="157"/>
      <c r="CD4" s="157"/>
      <c r="CE4" s="157"/>
      <c r="CF4" s="157"/>
      <c r="CG4" s="157"/>
      <c r="CH4" s="157"/>
      <c r="CI4" s="157"/>
      <c r="CJ4" s="157"/>
      <c r="CK4" s="157"/>
      <c r="CL4" s="157"/>
      <c r="CM4" s="157"/>
      <c r="CN4" s="157"/>
      <c r="CO4" s="157"/>
      <c r="CP4" s="157"/>
      <c r="CQ4" s="157"/>
      <c r="CR4" s="157"/>
    </row>
    <row r="5" spans="1:96">
      <c r="A5"/>
      <c r="B5"/>
      <c r="C5" s="436" t="s">
        <v>732</v>
      </c>
      <c r="D5" s="436"/>
      <c r="E5" s="436"/>
      <c r="F5" s="6"/>
      <c r="G5" s="436" t="s">
        <v>733</v>
      </c>
      <c r="H5" s="436"/>
      <c r="I5" s="436"/>
      <c r="J5"/>
      <c r="K5"/>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c r="CI5" s="157"/>
      <c r="CJ5" s="157"/>
      <c r="CK5" s="157"/>
      <c r="CL5" s="157"/>
      <c r="CM5" s="157"/>
      <c r="CN5" s="157"/>
      <c r="CO5" s="157"/>
      <c r="CP5" s="157"/>
      <c r="CQ5" s="157"/>
      <c r="CR5" s="157"/>
    </row>
    <row r="6" spans="1:96">
      <c r="A6"/>
      <c r="B6"/>
      <c r="C6" s="5" t="s">
        <v>734</v>
      </c>
      <c r="D6" s="5" t="s">
        <v>735</v>
      </c>
      <c r="E6" s="5" t="s">
        <v>736</v>
      </c>
      <c r="F6" s="6"/>
      <c r="G6" s="5" t="s">
        <v>734</v>
      </c>
      <c r="H6" s="5" t="s">
        <v>735</v>
      </c>
      <c r="I6" s="5" t="s">
        <v>736</v>
      </c>
      <c r="J6"/>
      <c r="K6"/>
      <c r="L6" s="157"/>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c r="BY6" s="157"/>
      <c r="BZ6" s="157"/>
      <c r="CA6" s="157"/>
      <c r="CB6" s="157"/>
      <c r="CC6" s="157"/>
      <c r="CD6" s="157"/>
      <c r="CE6" s="157"/>
      <c r="CF6" s="157"/>
      <c r="CG6" s="157"/>
      <c r="CH6" s="157"/>
      <c r="CI6" s="157"/>
      <c r="CJ6" s="157"/>
      <c r="CK6" s="157"/>
      <c r="CL6" s="157"/>
      <c r="CM6" s="157"/>
      <c r="CN6" s="157"/>
      <c r="CO6" s="157"/>
      <c r="CP6" s="157"/>
      <c r="CQ6" s="157"/>
      <c r="CR6" s="157"/>
    </row>
    <row r="7" spans="1:96" ht="13.5" customHeight="1">
      <c r="A7"/>
      <c r="B7"/>
      <c r="C7"/>
      <c r="D7"/>
      <c r="E7"/>
      <c r="F7" s="6" t="s">
        <v>737</v>
      </c>
      <c r="G7"/>
      <c r="H7"/>
      <c r="I7"/>
      <c r="J7" s="6" t="s">
        <v>738</v>
      </c>
      <c r="K7" s="6"/>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c r="BQ7" s="157"/>
      <c r="BR7" s="157"/>
      <c r="BS7" s="157"/>
      <c r="BT7" s="157"/>
      <c r="BU7" s="157"/>
      <c r="BV7" s="157"/>
      <c r="BW7" s="157"/>
      <c r="BX7" s="157"/>
      <c r="BY7" s="157"/>
      <c r="BZ7" s="157"/>
      <c r="CA7" s="157"/>
      <c r="CB7" s="157"/>
      <c r="CC7" s="157"/>
      <c r="CD7" s="157"/>
      <c r="CE7" s="157"/>
      <c r="CF7" s="157"/>
      <c r="CG7" s="157"/>
      <c r="CH7" s="157"/>
      <c r="CI7" s="157"/>
      <c r="CJ7" s="157"/>
      <c r="CK7" s="157"/>
      <c r="CL7" s="157"/>
      <c r="CM7" s="157"/>
      <c r="CN7" s="157"/>
      <c r="CO7" s="157"/>
      <c r="CP7" s="157"/>
      <c r="CQ7" s="157"/>
      <c r="CR7" s="157"/>
    </row>
    <row r="8" spans="1:96" ht="12.75" customHeight="1">
      <c r="A8" s="165" t="s">
        <v>341</v>
      </c>
      <c r="B8" t="s">
        <v>342</v>
      </c>
      <c r="C8" s="228">
        <f>IFERROR(GETPIVOTDATA("Sum of qty",PT!$A$17,"product",A8,"FL/AZ","FL"),0)</f>
        <v>397188.14</v>
      </c>
      <c r="D8" s="343">
        <v>0</v>
      </c>
      <c r="E8" s="89">
        <f>D8*C8</f>
        <v>0</v>
      </c>
      <c r="F8" s="280">
        <f>IFERROR(C8-VLOOKUP(A8,'[1]FL+AZ - RM'!$A:$F,3,0),0)</f>
        <v>-173280.5</v>
      </c>
      <c r="G8" s="228">
        <f>IFERROR(GETPIVOTDATA("Sum of qty",PT!$A$17,"product",A8,"FL/AZ","AZ"),0)</f>
        <v>0</v>
      </c>
      <c r="H8" s="120">
        <f>8000/38808</f>
        <v>0.20614306328592044</v>
      </c>
      <c r="I8" s="89">
        <f>H8*G8</f>
        <v>0</v>
      </c>
      <c r="J8" s="14">
        <f>IFERROR(G8-VLOOKUP(A8,'[1]FL+AZ - RM'!$A:$I,7,0),0)</f>
        <v>0</v>
      </c>
      <c r="K8" s="275"/>
      <c r="L8" s="157"/>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7"/>
      <c r="CF8" s="157"/>
      <c r="CG8" s="157"/>
      <c r="CH8" s="157"/>
      <c r="CI8" s="157"/>
      <c r="CJ8" s="157"/>
      <c r="CK8" s="157"/>
      <c r="CL8" s="157"/>
      <c r="CM8" s="157"/>
      <c r="CN8" s="157"/>
      <c r="CO8" s="157"/>
      <c r="CP8" s="157"/>
      <c r="CQ8" s="157"/>
      <c r="CR8" s="157"/>
    </row>
    <row r="9" spans="1:96" ht="12.75" customHeight="1">
      <c r="A9" s="456" t="s">
        <v>2893</v>
      </c>
      <c r="B9" s="456" t="s">
        <v>2894</v>
      </c>
      <c r="C9" s="228">
        <f>IFERROR(GETPIVOTDATA("Sum of qty",PT!$A$17,"product",A9,"FL/AZ","FL"),0)</f>
        <v>0</v>
      </c>
      <c r="D9" s="343"/>
      <c r="E9" s="89">
        <f>D9*C9</f>
        <v>0</v>
      </c>
      <c r="F9" s="280">
        <f>IFERROR(C9-VLOOKUP(A9,'[1]FL+AZ - RM'!$A:$F,3,0),0)</f>
        <v>0</v>
      </c>
      <c r="G9" s="228">
        <f>IFERROR(GETPIVOTDATA("Sum of qty",PT!$A$17,"product",A9,"FL/AZ","AZ"),0)</f>
        <v>6800</v>
      </c>
      <c r="H9" s="120">
        <v>9.9000000000000005E-2</v>
      </c>
      <c r="I9" s="89">
        <f>H9*G9</f>
        <v>673.2</v>
      </c>
      <c r="J9" s="14">
        <f>IFERROR(G9-VLOOKUP(A9,'[1]FL+AZ - RM'!$A:$I,7,0),0)</f>
        <v>-10800</v>
      </c>
      <c r="K9" s="275"/>
      <c r="L9" s="157"/>
      <c r="M9" s="157"/>
      <c r="N9" s="157"/>
      <c r="O9" s="157"/>
      <c r="P9" s="157"/>
      <c r="Q9" s="157"/>
      <c r="R9" s="157"/>
      <c r="S9" s="157"/>
      <c r="T9" s="157"/>
      <c r="U9" s="157"/>
      <c r="V9" s="157"/>
      <c r="W9" s="157"/>
      <c r="X9" s="157"/>
      <c r="Y9" s="157"/>
      <c r="Z9" s="157"/>
      <c r="AA9" s="157"/>
      <c r="AB9" s="157"/>
      <c r="AC9" s="157"/>
      <c r="AD9" s="157"/>
      <c r="AE9" s="157"/>
      <c r="AF9" s="157"/>
      <c r="AG9" s="157"/>
      <c r="AH9" s="157"/>
      <c r="AI9" s="157"/>
      <c r="AJ9" s="157"/>
      <c r="AK9" s="157"/>
      <c r="AL9" s="157"/>
      <c r="AM9" s="157"/>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row>
    <row r="10" spans="1:96" ht="12.75" customHeight="1">
      <c r="A10" s="461" t="s">
        <v>2915</v>
      </c>
      <c r="B10" s="425" t="s">
        <v>2916</v>
      </c>
      <c r="C10" s="228">
        <f>IFERROR(GETPIVOTDATA("Sum of qty",PT!$A$17,"product",A10,"FL/AZ","FL"),0)</f>
        <v>1200</v>
      </c>
      <c r="D10" s="343">
        <v>0.19259999999999999</v>
      </c>
      <c r="E10" s="89">
        <f>D10*C10</f>
        <v>231.12</v>
      </c>
      <c r="F10" s="280">
        <f>IFERROR(C10-VLOOKUP(A10,'[1]FL+AZ - RM'!$A:$F,3,0),0)</f>
        <v>1200</v>
      </c>
      <c r="G10" s="228">
        <f>IFERROR(GETPIVOTDATA("Sum of qty",PT!$A$17,"product",A10,"FL/AZ","AZ"),0)</f>
        <v>30600</v>
      </c>
      <c r="H10" s="120">
        <v>6.3200000000000006E-2</v>
      </c>
      <c r="I10" s="89">
        <f>H10*G10</f>
        <v>1933.9200000000003</v>
      </c>
      <c r="J10" s="14">
        <f>IFERROR(G10-VLOOKUP(A10,'[1]FL+AZ - RM'!$A:$I,7,0),0)</f>
        <v>30600</v>
      </c>
      <c r="K10" s="275"/>
      <c r="L10" s="157"/>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7"/>
      <c r="AW10" s="157"/>
      <c r="AX10" s="157"/>
      <c r="AY10" s="157"/>
      <c r="AZ10" s="157"/>
      <c r="BA10" s="157"/>
      <c r="BB10" s="157"/>
      <c r="BC10" s="157"/>
      <c r="BD10" s="157"/>
      <c r="BE10" s="157"/>
      <c r="BF10" s="157"/>
      <c r="BG10" s="157"/>
      <c r="BH10" s="157"/>
      <c r="BI10" s="157"/>
      <c r="BJ10" s="157"/>
      <c r="BK10" s="157"/>
      <c r="BL10" s="157"/>
      <c r="BM10" s="157"/>
      <c r="BN10" s="157"/>
      <c r="BO10" s="157"/>
      <c r="BP10" s="157"/>
      <c r="BQ10" s="157"/>
      <c r="BR10" s="157"/>
      <c r="BS10" s="157"/>
      <c r="BT10" s="157"/>
      <c r="BU10" s="157"/>
      <c r="BV10" s="157"/>
      <c r="BW10" s="157"/>
      <c r="BX10" s="157"/>
      <c r="BY10" s="157"/>
      <c r="BZ10" s="157"/>
      <c r="CA10" s="157"/>
      <c r="CB10" s="157"/>
      <c r="CC10" s="157"/>
      <c r="CD10" s="157"/>
      <c r="CE10" s="157"/>
      <c r="CF10" s="157"/>
      <c r="CG10" s="157"/>
      <c r="CH10" s="157"/>
      <c r="CI10" s="157"/>
      <c r="CJ10" s="157"/>
      <c r="CK10" s="157"/>
      <c r="CL10" s="157"/>
      <c r="CM10" s="157"/>
      <c r="CN10" s="157"/>
      <c r="CO10" s="157"/>
      <c r="CP10" s="157"/>
      <c r="CQ10" s="157"/>
      <c r="CR10" s="157"/>
    </row>
    <row r="11" spans="1:96" ht="12.75" customHeight="1">
      <c r="A11" s="165" t="s">
        <v>739</v>
      </c>
      <c r="B11" t="s">
        <v>342</v>
      </c>
      <c r="C11" s="228">
        <f>IFERROR(GETPIVOTDATA("Sum of qty",PT!$A$17,"product",A11,"FL/AZ","FL"),0)</f>
        <v>0</v>
      </c>
      <c r="D11" s="120"/>
      <c r="E11" s="89"/>
      <c r="F11" s="280">
        <f>IFERROR(C11-VLOOKUP(A11,'[1]FL+AZ - RM'!$A:$F,3,0),0)</f>
        <v>0</v>
      </c>
      <c r="G11" s="228">
        <f>IFERROR(GETPIVOTDATA("Sum of qty",PT!$A$17,"product",A11,"FL/AZ","AZ"),0)</f>
        <v>0</v>
      </c>
      <c r="H11" s="120"/>
      <c r="I11" s="89">
        <f t="shared" ref="I11:I52" si="0">H11*G11</f>
        <v>0</v>
      </c>
      <c r="J11" s="14">
        <f>IFERROR(G11-VLOOKUP(A11,'[1]FL+AZ - RM'!$A:$I,7,0),0)</f>
        <v>0</v>
      </c>
      <c r="K11" s="14"/>
      <c r="L11" s="157"/>
      <c r="M11" s="157"/>
      <c r="N11" s="157"/>
      <c r="O11" s="157"/>
      <c r="P11" s="157"/>
      <c r="Q11" s="157"/>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c r="CH11" s="157"/>
      <c r="CI11" s="157"/>
      <c r="CJ11" s="157"/>
      <c r="CK11" s="157"/>
      <c r="CL11" s="157"/>
      <c r="CM11" s="157"/>
      <c r="CN11" s="157"/>
      <c r="CO11" s="157"/>
      <c r="CP11" s="157"/>
      <c r="CQ11" s="157"/>
      <c r="CR11" s="157"/>
    </row>
    <row r="12" spans="1:96" ht="12.75" customHeight="1">
      <c r="A12" s="165" t="s">
        <v>740</v>
      </c>
      <c r="B12" t="s">
        <v>741</v>
      </c>
      <c r="C12" s="228">
        <f>IFERROR(GETPIVOTDATA("Sum of qty",PT!$A$17,"product",A12,"FL/AZ","FL"),0)</f>
        <v>0</v>
      </c>
      <c r="D12" s="120"/>
      <c r="E12" s="89">
        <f t="shared" ref="E12:E46" si="1">D12*C12</f>
        <v>0</v>
      </c>
      <c r="F12" s="280">
        <f>IFERROR(C12-VLOOKUP(A12,'[1]FL+AZ - RM'!$A:$F,3,0),0)</f>
        <v>0</v>
      </c>
      <c r="G12" s="228">
        <f>IFERROR(GETPIVOTDATA("Sum of qty",PT!$A$17,"product",A12,"FL/AZ","AZ"),0)</f>
        <v>0</v>
      </c>
      <c r="H12" s="120"/>
      <c r="I12" s="89">
        <f t="shared" si="0"/>
        <v>0</v>
      </c>
      <c r="J12" s="14">
        <f>IFERROR(G12-VLOOKUP(A12,'[1]FL+AZ - RM'!$A:$I,7,0),0)</f>
        <v>0</v>
      </c>
      <c r="K12" s="14"/>
      <c r="L12" s="157"/>
      <c r="M12" s="157"/>
      <c r="N12" s="157"/>
      <c r="O12" s="157"/>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c r="CR12" s="157"/>
    </row>
    <row r="13" spans="1:96" ht="12.75" customHeight="1">
      <c r="A13" s="165" t="s">
        <v>742</v>
      </c>
      <c r="B13"/>
      <c r="C13" s="228">
        <f>IFERROR(GETPIVOTDATA("Sum of qty",PT!$A$17,"product",A13,"FL/AZ","FL"),0)</f>
        <v>0</v>
      </c>
      <c r="D13" s="120"/>
      <c r="E13" s="89">
        <f t="shared" ref="E13" si="2">D13*C13</f>
        <v>0</v>
      </c>
      <c r="F13" s="280">
        <f>IFERROR(C13-VLOOKUP(A13,'[1]FL+AZ - RM'!$A:$F,3,0),0)</f>
        <v>0</v>
      </c>
      <c r="G13" s="228">
        <f>IFERROR(GETPIVOTDATA("Sum of qty",PT!$A$17,"product",A13,"FL/AZ","AZ"),0)</f>
        <v>0</v>
      </c>
      <c r="H13" s="120"/>
      <c r="I13" s="89">
        <f t="shared" ref="I13" si="3">H13*G13</f>
        <v>0</v>
      </c>
      <c r="J13" s="14">
        <f>IFERROR(G13-VLOOKUP(A13,'[1]FL+AZ - RM'!$A:$I,7,0),0)</f>
        <v>0</v>
      </c>
      <c r="K13" s="14"/>
      <c r="L13" s="157"/>
      <c r="M13" s="157"/>
      <c r="N13" s="157"/>
      <c r="O13" s="157"/>
      <c r="P13" s="157"/>
      <c r="Q13" s="157"/>
      <c r="R13" s="157"/>
      <c r="S13" s="157"/>
      <c r="T13" s="157"/>
      <c r="U13" s="157"/>
      <c r="V13" s="157"/>
      <c r="W13" s="157"/>
      <c r="X13" s="157"/>
      <c r="Y13" s="157"/>
      <c r="Z13" s="157"/>
      <c r="AA13" s="157"/>
      <c r="AB13" s="157"/>
      <c r="AC13" s="157"/>
      <c r="AD13" s="157"/>
      <c r="AE13" s="157"/>
      <c r="AF13" s="157"/>
      <c r="AG13" s="157"/>
      <c r="AH13" s="157"/>
      <c r="AI13" s="157"/>
      <c r="AJ13" s="157"/>
      <c r="AK13" s="157"/>
      <c r="AL13" s="157"/>
      <c r="AM13" s="157"/>
      <c r="AN13" s="157"/>
      <c r="AO13" s="157"/>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7"/>
      <c r="BL13" s="157"/>
      <c r="BM13" s="157"/>
      <c r="BN13" s="157"/>
      <c r="BO13" s="157"/>
      <c r="BP13" s="157"/>
      <c r="BQ13" s="157"/>
      <c r="BR13" s="157"/>
      <c r="BS13" s="157"/>
      <c r="BT13" s="157"/>
      <c r="BU13" s="157"/>
      <c r="BV13" s="157"/>
      <c r="BW13" s="157"/>
      <c r="BX13" s="157"/>
      <c r="BY13" s="157"/>
      <c r="BZ13" s="157"/>
      <c r="CA13" s="157"/>
      <c r="CB13" s="157"/>
      <c r="CC13" s="157"/>
      <c r="CD13" s="157"/>
      <c r="CE13" s="157"/>
      <c r="CF13" s="157"/>
      <c r="CG13" s="157"/>
      <c r="CH13" s="157"/>
      <c r="CI13" s="157"/>
      <c r="CJ13" s="157"/>
      <c r="CK13" s="157"/>
      <c r="CL13" s="157"/>
      <c r="CM13" s="157"/>
      <c r="CN13" s="157"/>
      <c r="CO13" s="157"/>
      <c r="CP13" s="157"/>
      <c r="CQ13" s="157"/>
      <c r="CR13" s="157"/>
    </row>
    <row r="14" spans="1:96" ht="12.75" customHeight="1">
      <c r="A14" s="165" t="s">
        <v>114</v>
      </c>
      <c r="B14" t="s">
        <v>115</v>
      </c>
      <c r="C14" s="228">
        <f>IFERROR(GETPIVOTDATA("Sum of qty",PT!$A$17,"product",A14,"FL/AZ","FL"),0)</f>
        <v>20933.899999999998</v>
      </c>
      <c r="D14" s="120"/>
      <c r="E14" s="89">
        <f t="shared" ref="E14" si="4">D14*C14</f>
        <v>0</v>
      </c>
      <c r="F14" s="280">
        <f>IFERROR(C14-VLOOKUP(A14,'[1]FL+AZ - RM'!$A:$F,3,0),0)</f>
        <v>-4484.8000000000029</v>
      </c>
      <c r="G14" s="228">
        <f>IFERROR(GETPIVOTDATA("Sum of qty",PT!$A$17,"product",A14,"FL/AZ","AZ"),0)</f>
        <v>0</v>
      </c>
      <c r="H14" s="120"/>
      <c r="I14" s="89">
        <f t="shared" ref="I14" si="5">H14*G14</f>
        <v>0</v>
      </c>
      <c r="J14" s="14">
        <f>IFERROR(G14-VLOOKUP(A14,'[1]FL+AZ - RM'!$A:$I,7,0),0)</f>
        <v>0</v>
      </c>
      <c r="K14" s="14"/>
      <c r="L14" s="157"/>
      <c r="M14" s="157"/>
      <c r="N14" s="157"/>
      <c r="O14" s="157"/>
      <c r="P14" s="157"/>
      <c r="Q14" s="157"/>
      <c r="R14" s="157"/>
      <c r="S14" s="157"/>
      <c r="T14" s="157"/>
      <c r="U14" s="157"/>
      <c r="V14" s="157"/>
      <c r="W14" s="157"/>
      <c r="X14" s="157"/>
      <c r="Y14" s="157"/>
      <c r="Z14" s="157"/>
      <c r="AA14" s="157"/>
      <c r="AB14" s="157"/>
      <c r="AC14" s="157"/>
      <c r="AD14" s="157"/>
      <c r="AE14" s="157"/>
      <c r="AF14" s="157"/>
      <c r="AG14" s="157"/>
      <c r="AH14" s="157"/>
      <c r="AI14" s="157"/>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c r="CM14" s="157"/>
      <c r="CN14" s="157"/>
      <c r="CO14" s="157"/>
      <c r="CP14" s="157"/>
      <c r="CQ14" s="157"/>
      <c r="CR14" s="157"/>
    </row>
    <row r="15" spans="1:96" ht="12.75" customHeight="1">
      <c r="A15" s="165" t="s">
        <v>443</v>
      </c>
      <c r="B15" t="s">
        <v>444</v>
      </c>
      <c r="C15" s="228">
        <f>IFERROR(GETPIVOTDATA("Sum of qty",PT!$A$17,"product",A15,"FL/AZ","FL"),0)</f>
        <v>25734</v>
      </c>
      <c r="D15" s="120">
        <v>0.19769999999999999</v>
      </c>
      <c r="E15" s="89">
        <f t="shared" si="1"/>
        <v>5087.6117999999997</v>
      </c>
      <c r="F15" s="280">
        <f>IFERROR(C15-VLOOKUP(A15,'[1]FL+AZ - RM'!$A:$F,3,0),0)</f>
        <v>-8666</v>
      </c>
      <c r="G15" s="228">
        <f>IFERROR(GETPIVOTDATA("Sum of qty",PT!$A$17,"product",A15,"FL/AZ","AZ"),0)</f>
        <v>0</v>
      </c>
      <c r="H15" s="120"/>
      <c r="I15" s="89">
        <f t="shared" si="0"/>
        <v>0</v>
      </c>
      <c r="J15" s="14">
        <f>IFERROR(G15-VLOOKUP(A15,'[1]FL+AZ - RM'!$A:$I,7,0),0)</f>
        <v>0</v>
      </c>
      <c r="K15" s="14"/>
      <c r="L15" s="157"/>
      <c r="M15" s="364"/>
      <c r="N15" s="157"/>
      <c r="O15" s="157"/>
      <c r="P15" s="157"/>
      <c r="Q15" s="157"/>
      <c r="R15" s="157"/>
      <c r="S15" s="157"/>
      <c r="T15" s="157"/>
      <c r="U15" s="157"/>
      <c r="V15" s="157"/>
      <c r="W15" s="157"/>
      <c r="X15" s="157"/>
      <c r="Y15" s="157"/>
      <c r="Z15" s="157"/>
      <c r="AA15" s="157"/>
      <c r="AB15" s="157"/>
      <c r="AC15" s="157"/>
      <c r="AD15" s="157"/>
      <c r="AE15" s="157"/>
      <c r="AF15" s="157"/>
      <c r="AG15" s="157"/>
      <c r="AH15" s="157"/>
      <c r="AI15" s="157"/>
      <c r="AJ15" s="157"/>
      <c r="AK15" s="157"/>
      <c r="AL15" s="157"/>
      <c r="AM15" s="157"/>
      <c r="AN15" s="157"/>
      <c r="AO15" s="157"/>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157"/>
      <c r="CJ15" s="157"/>
      <c r="CK15" s="157"/>
      <c r="CL15" s="157"/>
      <c r="CM15" s="157"/>
      <c r="CN15" s="157"/>
      <c r="CO15" s="157"/>
      <c r="CP15" s="157"/>
      <c r="CQ15" s="157"/>
      <c r="CR15" s="157"/>
    </row>
    <row r="16" spans="1:96">
      <c r="A16" s="165" t="s">
        <v>51</v>
      </c>
      <c r="B16" t="s">
        <v>52</v>
      </c>
      <c r="C16" s="228">
        <f>IFERROR(GETPIVOTDATA("Sum of qty",PT!$A$17,"product",A16,"FL/AZ","FL"),0)</f>
        <v>226527.27</v>
      </c>
      <c r="D16" s="343">
        <f>0</f>
        <v>0</v>
      </c>
      <c r="E16" s="89">
        <f>D16*C16</f>
        <v>0</v>
      </c>
      <c r="F16" s="280">
        <f>IFERROR(C16-VLOOKUP(A16,'[1]FL+AZ - RM'!$A:$F,3,0),0)</f>
        <v>-79090.300000000017</v>
      </c>
      <c r="G16" s="228">
        <f>IFERROR(GETPIVOTDATA("Sum of qty",PT!$A$17,"product",A16,"FL/AZ","AZ"),0)</f>
        <v>8640</v>
      </c>
      <c r="H16" s="120">
        <f>8000/38808</f>
        <v>0.20614306328592044</v>
      </c>
      <c r="I16" s="89">
        <f t="shared" si="0"/>
        <v>1781.0760667903526</v>
      </c>
      <c r="J16" s="14">
        <f>IFERROR(G16-VLOOKUP(A16,'[1]FL+AZ - RM'!$A:$I,7,0),0)</f>
        <v>0</v>
      </c>
      <c r="K16" s="14"/>
      <c r="L16" s="157"/>
      <c r="M16" s="157"/>
      <c r="N16" s="157"/>
      <c r="O16" s="157"/>
      <c r="P16" s="157"/>
      <c r="Q16" s="157"/>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c r="CM16" s="157"/>
      <c r="CN16" s="157"/>
      <c r="CO16" s="157"/>
      <c r="CP16" s="157"/>
      <c r="CQ16" s="157"/>
      <c r="CR16" s="157"/>
    </row>
    <row r="17" spans="1:96">
      <c r="A17" s="165" t="s">
        <v>578</v>
      </c>
      <c r="B17" t="s">
        <v>579</v>
      </c>
      <c r="C17" s="228">
        <f>IFERROR(GETPIVOTDATA("Sum of qty",PT!$A$17,"product",A17,"FL/AZ","FL"),0)</f>
        <v>34000</v>
      </c>
      <c r="D17" s="403">
        <f>0</f>
        <v>0</v>
      </c>
      <c r="E17" s="89">
        <f t="shared" si="1"/>
        <v>0</v>
      </c>
      <c r="F17" s="280">
        <f>IFERROR(C17-VLOOKUP(A17,'[1]FL+AZ - RM'!$A:$F,3,0),0)</f>
        <v>7400</v>
      </c>
      <c r="G17" s="228">
        <f>IFERROR(GETPIVOTDATA("Sum of qty",PT!$A$17,"product",A17,"FL/AZ","AZ"),0)</f>
        <v>0</v>
      </c>
      <c r="H17" s="120"/>
      <c r="I17" s="89">
        <f t="shared" si="0"/>
        <v>0</v>
      </c>
      <c r="J17" s="14">
        <f>IFERROR(G17-VLOOKUP(A17,'[1]FL+AZ - RM'!$A:$I,7,0),0)</f>
        <v>0</v>
      </c>
      <c r="K17" s="14"/>
      <c r="L17" s="157"/>
      <c r="M17" s="157"/>
      <c r="N17" s="157"/>
      <c r="O17" s="157"/>
      <c r="P17" s="157"/>
      <c r="Q17" s="157"/>
      <c r="R17" s="157"/>
      <c r="S17" s="157"/>
      <c r="T17" s="157"/>
      <c r="U17" s="157"/>
      <c r="V17" s="157"/>
      <c r="W17" s="157"/>
      <c r="X17" s="157"/>
      <c r="Y17" s="157"/>
      <c r="Z17" s="157"/>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c r="CF17" s="157"/>
      <c r="CG17" s="157"/>
      <c r="CH17" s="157"/>
      <c r="CI17" s="157"/>
      <c r="CJ17" s="157"/>
      <c r="CK17" s="157"/>
      <c r="CL17" s="157"/>
      <c r="CM17" s="157"/>
      <c r="CN17" s="157"/>
      <c r="CO17" s="157"/>
      <c r="CP17" s="157"/>
      <c r="CQ17" s="157"/>
      <c r="CR17" s="157"/>
    </row>
    <row r="18" spans="1:96">
      <c r="A18" s="165" t="s">
        <v>743</v>
      </c>
      <c r="B18" t="s">
        <v>2818</v>
      </c>
      <c r="C18" s="228">
        <f>IFERROR(GETPIVOTDATA("Sum of qty",PT!$A$17,"product",A18,"FL/AZ","FL"),0)</f>
        <v>0</v>
      </c>
      <c r="D18" s="120"/>
      <c r="E18" s="89">
        <f t="shared" ref="E18" si="6">D18*C18</f>
        <v>0</v>
      </c>
      <c r="F18" s="280">
        <f>IFERROR(C18-VLOOKUP(A18,'[1]FL+AZ - RM'!$A:$F,3,0),0)</f>
        <v>0</v>
      </c>
      <c r="G18" s="228">
        <f>IFERROR(GETPIVOTDATA("Sum of qty",PT!$A$17,"product",A18,"FL/AZ","AZ"),0)</f>
        <v>0</v>
      </c>
      <c r="H18" s="120"/>
      <c r="I18" s="89">
        <f t="shared" ref="I18" si="7">H18*G18</f>
        <v>0</v>
      </c>
      <c r="J18" s="14">
        <f>IFERROR(G18-VLOOKUP(A18,'[1]FL+AZ - RM'!$A:$I,7,0),0)</f>
        <v>0</v>
      </c>
      <c r="K18" s="14"/>
      <c r="L18" s="157"/>
      <c r="M18" s="157"/>
      <c r="N18" s="157"/>
      <c r="O18" s="157"/>
      <c r="P18" s="157"/>
      <c r="Q18" s="157"/>
      <c r="R18" s="157"/>
      <c r="S18" s="157"/>
      <c r="T18" s="157"/>
      <c r="U18" s="157"/>
      <c r="V18" s="157"/>
      <c r="W18" s="157"/>
      <c r="X18" s="157"/>
      <c r="Y18" s="157"/>
      <c r="Z18" s="157"/>
      <c r="AA18" s="157"/>
      <c r="AB18" s="157"/>
      <c r="AC18" s="157"/>
      <c r="AD18" s="157"/>
      <c r="AE18" s="157"/>
      <c r="AF18" s="157"/>
      <c r="AG18" s="157"/>
      <c r="AH18" s="157"/>
      <c r="AI18" s="157"/>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c r="CF18" s="157"/>
      <c r="CG18" s="157"/>
      <c r="CH18" s="157"/>
      <c r="CI18" s="157"/>
      <c r="CJ18" s="157"/>
      <c r="CK18" s="157"/>
      <c r="CL18" s="157"/>
      <c r="CM18" s="157"/>
      <c r="CN18" s="157"/>
      <c r="CO18" s="157"/>
      <c r="CP18" s="157"/>
      <c r="CQ18" s="157"/>
      <c r="CR18" s="157"/>
    </row>
    <row r="19" spans="1:96">
      <c r="A19" s="165" t="s">
        <v>744</v>
      </c>
      <c r="B19" t="s">
        <v>745</v>
      </c>
      <c r="C19" s="228">
        <f>IFERROR(GETPIVOTDATA("Sum of qty",PT!$A$17,"product",A19,"FL/AZ","FL"),0)</f>
        <v>0</v>
      </c>
      <c r="D19" s="120">
        <v>0</v>
      </c>
      <c r="E19" s="89">
        <f t="shared" si="1"/>
        <v>0</v>
      </c>
      <c r="F19" s="280">
        <f>IFERROR(C19-VLOOKUP(A19,'[1]FL+AZ - RM'!$A:$F,3,0),0)</f>
        <v>0</v>
      </c>
      <c r="G19" s="228">
        <f>IFERROR(GETPIVOTDATA("Sum of qty",PT!$A$17,"product",A19,"FL/AZ","AZ"),0)</f>
        <v>0</v>
      </c>
      <c r="H19" s="120">
        <v>0</v>
      </c>
      <c r="I19" s="89">
        <f t="shared" si="0"/>
        <v>0</v>
      </c>
      <c r="J19" s="14">
        <f>IFERROR(G19-VLOOKUP(A19,'[1]FL+AZ - RM'!$A:$I,7,0),0)</f>
        <v>0</v>
      </c>
      <c r="K19" s="14"/>
      <c r="L19" s="157"/>
      <c r="M19" s="157"/>
      <c r="N19" s="157"/>
      <c r="O19" s="157"/>
      <c r="P19" s="157"/>
      <c r="Q19" s="157"/>
      <c r="R19" s="157"/>
      <c r="S19" s="157"/>
      <c r="T19" s="157"/>
      <c r="U19" s="157"/>
      <c r="V19" s="157"/>
      <c r="W19" s="157"/>
      <c r="X19" s="157"/>
      <c r="Y19" s="157"/>
      <c r="Z19" s="157"/>
      <c r="AA19" s="157"/>
      <c r="AB19" s="157"/>
      <c r="AC19" s="157"/>
      <c r="AD19" s="157"/>
      <c r="AE19" s="157"/>
      <c r="AF19" s="157"/>
      <c r="AG19" s="157"/>
      <c r="AH19" s="157"/>
      <c r="AI19" s="157"/>
      <c r="AJ19" s="157"/>
      <c r="AK19" s="157"/>
      <c r="AL19" s="157"/>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7"/>
      <c r="CF19" s="157"/>
      <c r="CG19" s="157"/>
      <c r="CH19" s="157"/>
      <c r="CI19" s="157"/>
      <c r="CJ19" s="157"/>
      <c r="CK19" s="157"/>
      <c r="CL19" s="157"/>
      <c r="CM19" s="157"/>
      <c r="CN19" s="157"/>
      <c r="CO19" s="157"/>
      <c r="CP19" s="157"/>
      <c r="CQ19" s="157"/>
      <c r="CR19" s="157"/>
    </row>
    <row r="20" spans="1:96">
      <c r="A20" s="165" t="s">
        <v>746</v>
      </c>
      <c r="B20" t="s">
        <v>747</v>
      </c>
      <c r="C20" s="228">
        <f>IFERROR(GETPIVOTDATA("Sum of qty",PT!$A$17,"product",A20,"FL/AZ","FL"),0)</f>
        <v>0</v>
      </c>
      <c r="D20" s="120"/>
      <c r="E20" s="89">
        <f t="shared" si="1"/>
        <v>0</v>
      </c>
      <c r="F20" s="280">
        <f>IFERROR(C20-VLOOKUP(A20,'[1]FL+AZ - RM'!$A:$F,3,0),0)</f>
        <v>0</v>
      </c>
      <c r="G20" s="228">
        <f>IFERROR(GETPIVOTDATA("Sum of qty",PT!$A$17,"product",A20,"FL/AZ","AZ"),0)</f>
        <v>0</v>
      </c>
      <c r="H20" s="120"/>
      <c r="I20" s="89">
        <f t="shared" si="0"/>
        <v>0</v>
      </c>
      <c r="J20" s="14">
        <f>IFERROR(G20-VLOOKUP(A20,'[1]FL+AZ - RM'!$A:$I,7,0),0)</f>
        <v>0</v>
      </c>
      <c r="K20" s="14"/>
      <c r="L20" s="157"/>
      <c r="M20" s="157"/>
      <c r="N20" s="157"/>
      <c r="O20" s="157"/>
      <c r="P20" s="157"/>
      <c r="Q20" s="157"/>
      <c r="R20" s="157"/>
      <c r="S20" s="157"/>
      <c r="T20" s="157"/>
      <c r="U20" s="157"/>
      <c r="V20" s="157"/>
      <c r="W20" s="157"/>
      <c r="X20" s="157"/>
      <c r="Y20" s="157"/>
      <c r="Z20" s="157"/>
      <c r="AA20" s="157"/>
      <c r="AB20" s="157"/>
      <c r="AC20" s="157"/>
      <c r="AD20" s="157"/>
      <c r="AE20" s="157"/>
      <c r="AF20" s="157"/>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c r="CR20" s="157"/>
    </row>
    <row r="21" spans="1:96">
      <c r="A21" s="165" t="s">
        <v>748</v>
      </c>
      <c r="B21" t="s">
        <v>749</v>
      </c>
      <c r="C21" s="228">
        <f>IFERROR(GETPIVOTDATA("Sum of qty",PT!$A$17,"product",A21,"FL/AZ","FL"),0)</f>
        <v>0</v>
      </c>
      <c r="D21" s="120"/>
      <c r="E21" s="89">
        <f t="shared" si="1"/>
        <v>0</v>
      </c>
      <c r="F21" s="280">
        <f>IFERROR(C21-VLOOKUP(A21,'[1]FL+AZ - RM'!$A:$F,3,0),0)</f>
        <v>0</v>
      </c>
      <c r="G21" s="228">
        <f>IFERROR(GETPIVOTDATA("Sum of qty",PT!$A$17,"product",A21,"FL/AZ","AZ"),0)</f>
        <v>0</v>
      </c>
      <c r="H21" s="120"/>
      <c r="I21" s="89">
        <f t="shared" si="0"/>
        <v>0</v>
      </c>
      <c r="J21" s="14">
        <f>IFERROR(G21-VLOOKUP(A21,'[1]FL+AZ - RM'!$A:$I,7,0),0)</f>
        <v>0</v>
      </c>
      <c r="K21" s="14"/>
      <c r="L21" s="157"/>
      <c r="M21" s="157"/>
      <c r="N21" s="157"/>
      <c r="O21" s="157"/>
      <c r="P21" s="157"/>
      <c r="Q21" s="157"/>
      <c r="R21" s="157"/>
      <c r="S21" s="157"/>
      <c r="T21" s="157"/>
      <c r="U21" s="157"/>
      <c r="V21" s="157"/>
      <c r="W21" s="157"/>
      <c r="X21" s="157"/>
      <c r="Y21" s="157"/>
      <c r="Z21" s="157"/>
      <c r="AA21" s="157"/>
      <c r="AB21" s="157"/>
      <c r="AC21" s="157"/>
      <c r="AD21" s="157"/>
      <c r="AE21" s="157"/>
      <c r="AF21" s="157"/>
      <c r="AG21" s="157"/>
      <c r="AH21" s="157"/>
      <c r="AI21" s="157"/>
      <c r="AJ21" s="157"/>
      <c r="AK21" s="157"/>
      <c r="AL21" s="157"/>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c r="CL21" s="157"/>
      <c r="CM21" s="157"/>
      <c r="CN21" s="157"/>
      <c r="CO21" s="157"/>
      <c r="CP21" s="157"/>
      <c r="CQ21" s="157"/>
      <c r="CR21" s="157"/>
    </row>
    <row r="22" spans="1:96">
      <c r="A22" s="165" t="s">
        <v>750</v>
      </c>
      <c r="B22" t="s">
        <v>751</v>
      </c>
      <c r="C22" s="228">
        <f>IFERROR(GETPIVOTDATA("Sum of qty",PT!$A$17,"product",A22,"FL/AZ","FL"),0)</f>
        <v>0</v>
      </c>
      <c r="D22" s="120"/>
      <c r="E22" s="89">
        <f t="shared" si="1"/>
        <v>0</v>
      </c>
      <c r="F22" s="280">
        <f>IFERROR(C22-VLOOKUP(A22,'[1]FL+AZ - RM'!$A:$F,3,0),0)</f>
        <v>0</v>
      </c>
      <c r="G22" s="228">
        <f>IFERROR(GETPIVOTDATA("Sum of qty",PT!$A$17,"product",A22,"FL/AZ","AZ"),0)</f>
        <v>0</v>
      </c>
      <c r="H22" s="120"/>
      <c r="I22" s="89">
        <f t="shared" si="0"/>
        <v>0</v>
      </c>
      <c r="J22" s="14">
        <f>IFERROR(G22-VLOOKUP(A22,'[1]FL+AZ - RM'!$A:$I,7,0),0)</f>
        <v>0</v>
      </c>
      <c r="K22" s="14"/>
      <c r="L22" s="157"/>
      <c r="M22" s="157"/>
      <c r="N22" s="157"/>
      <c r="O22" s="157"/>
      <c r="P22" s="157"/>
      <c r="Q22" s="157"/>
      <c r="R22" s="157"/>
      <c r="S22" s="157"/>
      <c r="T22" s="157"/>
      <c r="U22" s="157"/>
      <c r="V22" s="157"/>
      <c r="W22" s="157"/>
      <c r="X22" s="157"/>
      <c r="Y22" s="157"/>
      <c r="Z22" s="157"/>
      <c r="AA22" s="157"/>
      <c r="AB22" s="157"/>
      <c r="AC22" s="157"/>
      <c r="AD22" s="157"/>
      <c r="AE22" s="157"/>
      <c r="AF22" s="157"/>
      <c r="AG22" s="157"/>
      <c r="AH22" s="157"/>
      <c r="AI22" s="157"/>
      <c r="AJ22" s="157"/>
      <c r="AK22" s="157"/>
      <c r="AL22" s="157"/>
      <c r="AM22" s="157"/>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c r="CR22" s="157"/>
    </row>
    <row r="23" spans="1:96">
      <c r="A23" s="165" t="s">
        <v>170</v>
      </c>
      <c r="B23" t="s">
        <v>171</v>
      </c>
      <c r="C23" s="228">
        <f>IFERROR(GETPIVOTDATA("Sum of qty",PT!$A$17,"product",A23,"FL/AZ","FL"),0)</f>
        <v>66889.78</v>
      </c>
      <c r="D23" s="120">
        <v>0</v>
      </c>
      <c r="E23" s="89">
        <f t="shared" si="1"/>
        <v>0</v>
      </c>
      <c r="F23" s="280">
        <f>IFERROR(C23-VLOOKUP(A23,'[1]FL+AZ - RM'!$A:$F,3,0),0)</f>
        <v>-7737.3600000000006</v>
      </c>
      <c r="G23" s="228">
        <f>IFERROR(GETPIVOTDATA("Sum of qty",PT!$A$17,"product",A23,"FL/AZ","AZ"),0)</f>
        <v>0</v>
      </c>
      <c r="H23" s="120">
        <f>8000/38808</f>
        <v>0.20614306328592044</v>
      </c>
      <c r="I23" s="89">
        <f t="shared" si="0"/>
        <v>0</v>
      </c>
      <c r="J23" s="14">
        <f>IFERROR(G23-VLOOKUP(A23,'[1]FL+AZ - RM'!$A:$I,7,0),0)</f>
        <v>-36680</v>
      </c>
      <c r="K23" s="275"/>
      <c r="L23" s="157"/>
      <c r="M23" s="157"/>
      <c r="N23" s="157"/>
      <c r="O23" s="157"/>
      <c r="P23" s="157"/>
      <c r="Q23" s="157"/>
      <c r="R23" s="157"/>
      <c r="S23" s="157"/>
      <c r="T23" s="157"/>
      <c r="U23" s="157"/>
      <c r="V23" s="157"/>
      <c r="W23" s="157"/>
      <c r="X23" s="157"/>
      <c r="Y23" s="157"/>
      <c r="Z23" s="157"/>
      <c r="AA23" s="157"/>
      <c r="AB23" s="157"/>
      <c r="AC23" s="157"/>
      <c r="AD23" s="157"/>
      <c r="AE23" s="157"/>
      <c r="AF23" s="157"/>
      <c r="AG23" s="157"/>
      <c r="AH23" s="157"/>
      <c r="AI23" s="157"/>
      <c r="AJ23" s="157"/>
      <c r="AK23" s="157"/>
      <c r="AL23" s="157"/>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c r="CF23" s="157"/>
      <c r="CG23" s="157"/>
      <c r="CH23" s="157"/>
      <c r="CI23" s="157"/>
      <c r="CJ23" s="157"/>
      <c r="CK23" s="157"/>
      <c r="CL23" s="157"/>
      <c r="CM23" s="157"/>
      <c r="CN23" s="157"/>
      <c r="CO23" s="157"/>
      <c r="CP23" s="157"/>
      <c r="CQ23" s="157"/>
      <c r="CR23" s="157"/>
    </row>
    <row r="24" spans="1:96">
      <c r="A24" s="165" t="s">
        <v>135</v>
      </c>
      <c r="B24" t="s">
        <v>136</v>
      </c>
      <c r="C24" s="228">
        <f>IFERROR(GETPIVOTDATA("Sum of qty",PT!$A$17,"product",A24,"FL/AZ","FL"),0)</f>
        <v>46792.19</v>
      </c>
      <c r="D24" s="463">
        <f>(39840*0.0954)/C24</f>
        <v>8.1225862692043266E-2</v>
      </c>
      <c r="E24" s="89">
        <f>D24*C24</f>
        <v>3800.7360000000003</v>
      </c>
      <c r="F24" s="280">
        <f>IFERROR(C24-VLOOKUP(A24,'[1]FL+AZ - RM'!$A:$F,3,0),0)</f>
        <v>-60316.66</v>
      </c>
      <c r="G24" s="228">
        <f>IFERROR(GETPIVOTDATA("Sum of qty",PT!$A$17,"product",A24,"FL/AZ","AZ"),0)</f>
        <v>13427</v>
      </c>
      <c r="H24" s="120">
        <f>H8</f>
        <v>0.20614306328592044</v>
      </c>
      <c r="I24" s="89">
        <f t="shared" si="0"/>
        <v>2767.8829107400538</v>
      </c>
      <c r="J24" s="14">
        <f>IFERROR(G24-VLOOKUP(A24,'[1]FL+AZ - RM'!$A:$I,7,0),0)</f>
        <v>-6945</v>
      </c>
      <c r="K24" s="14"/>
      <c r="L24" s="157"/>
      <c r="M24" s="157"/>
      <c r="N24" s="157"/>
      <c r="O24" s="157"/>
      <c r="P24" s="157"/>
      <c r="Q24" s="157"/>
      <c r="R24" s="157"/>
      <c r="S24" s="157"/>
      <c r="T24" s="157"/>
      <c r="U24" s="157"/>
      <c r="V24" s="157"/>
      <c r="W24" s="157"/>
      <c r="X24" s="157"/>
      <c r="Y24" s="157"/>
      <c r="Z24" s="157"/>
      <c r="AA24" s="157"/>
      <c r="AB24" s="157"/>
      <c r="AC24" s="157"/>
      <c r="AD24" s="157"/>
      <c r="AE24" s="157"/>
      <c r="AF24" s="157"/>
      <c r="AG24" s="157"/>
      <c r="AH24" s="157"/>
      <c r="AI24" s="157"/>
      <c r="AJ24" s="157"/>
      <c r="AK24" s="157"/>
      <c r="AL24" s="157"/>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c r="CR24" s="157"/>
    </row>
    <row r="25" spans="1:96">
      <c r="A25" s="203" t="s">
        <v>752</v>
      </c>
      <c r="B25" t="s">
        <v>136</v>
      </c>
      <c r="C25" s="228">
        <f>IFERROR(GETPIVOTDATA("Sum of qty",PT!$A$17,"product",A25,"FL/AZ","FL"),0)</f>
        <v>0</v>
      </c>
      <c r="D25" s="120"/>
      <c r="E25" s="89">
        <f t="shared" si="1"/>
        <v>0</v>
      </c>
      <c r="F25" s="280">
        <f>IFERROR(C25-VLOOKUP(A25,'[1]FL+AZ - RM'!$A:$F,3,0),0)</f>
        <v>0</v>
      </c>
      <c r="G25" s="228">
        <f>IFERROR(GETPIVOTDATA("Sum of qty",PT!$A$17,"product",A25,"FL/AZ","AZ"),0)</f>
        <v>0</v>
      </c>
      <c r="H25" s="120"/>
      <c r="I25" s="89">
        <f t="shared" si="0"/>
        <v>0</v>
      </c>
      <c r="J25" s="14">
        <f>IFERROR(G25-VLOOKUP(A25,'[1]FL+AZ - RM'!$A:$I,7,0),0)</f>
        <v>0</v>
      </c>
      <c r="K25" s="14"/>
      <c r="L25" s="157"/>
      <c r="M25" s="157"/>
      <c r="N25" s="157"/>
      <c r="O25" s="157"/>
      <c r="P25" s="157"/>
      <c r="Q25" s="157"/>
      <c r="R25" s="157"/>
      <c r="S25" s="157"/>
      <c r="T25" s="157"/>
      <c r="U25" s="157"/>
      <c r="V25" s="157"/>
      <c r="W25" s="157"/>
      <c r="X25" s="157"/>
      <c r="Y25" s="157"/>
      <c r="Z25" s="157"/>
      <c r="AA25" s="157"/>
      <c r="AB25" s="157"/>
      <c r="AC25" s="157"/>
      <c r="AD25" s="157"/>
      <c r="AE25" s="157"/>
      <c r="AF25" s="157"/>
      <c r="AG25" s="157"/>
      <c r="AH25" s="157"/>
      <c r="AI25" s="157"/>
      <c r="AJ25" s="157"/>
      <c r="AK25" s="157"/>
      <c r="AL25" s="157"/>
      <c r="AM25" s="157"/>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c r="CF25" s="157"/>
      <c r="CG25" s="157"/>
      <c r="CH25" s="157"/>
      <c r="CI25" s="157"/>
      <c r="CJ25" s="157"/>
      <c r="CK25" s="157"/>
      <c r="CL25" s="157"/>
      <c r="CM25" s="157"/>
      <c r="CN25" s="157"/>
      <c r="CO25" s="157"/>
      <c r="CP25" s="157"/>
      <c r="CQ25" s="157"/>
      <c r="CR25" s="157"/>
    </row>
    <row r="26" spans="1:96">
      <c r="A26" s="165" t="s">
        <v>753</v>
      </c>
      <c r="B26" t="s">
        <v>754</v>
      </c>
      <c r="C26" s="228">
        <f>IFERROR(GETPIVOTDATA("Sum of qty",PT!$A$17,"product",A26,"FL/AZ","FL"),0)</f>
        <v>0</v>
      </c>
      <c r="D26" s="120"/>
      <c r="E26" s="89">
        <f t="shared" si="1"/>
        <v>0</v>
      </c>
      <c r="F26" s="280">
        <f>IFERROR(C26-VLOOKUP(A26,'[1]FL+AZ - RM'!$A:$F,3,0),0)</f>
        <v>0</v>
      </c>
      <c r="G26" s="228">
        <f>IFERROR(GETPIVOTDATA("Sum of qty",PT!$A$17,"product",A26,"FL/AZ","AZ"),0)</f>
        <v>0</v>
      </c>
      <c r="H26" s="120"/>
      <c r="I26" s="89">
        <f t="shared" si="0"/>
        <v>0</v>
      </c>
      <c r="J26" s="14">
        <f>IFERROR(G26-VLOOKUP(A26,'[1]FL+AZ - RM'!$A:$I,7,0),0)</f>
        <v>0</v>
      </c>
      <c r="K26" s="14"/>
      <c r="L26" s="157"/>
      <c r="M26" s="157"/>
      <c r="N26" s="157"/>
      <c r="O26" s="157"/>
      <c r="P26" s="157"/>
      <c r="Q26" s="157"/>
      <c r="R26" s="157"/>
      <c r="S26" s="157"/>
      <c r="T26" s="157"/>
      <c r="U26" s="157"/>
      <c r="V26" s="157"/>
      <c r="W26" s="157"/>
      <c r="X26" s="157"/>
      <c r="Y26" s="157"/>
      <c r="Z26" s="157"/>
      <c r="AA26" s="157"/>
      <c r="AB26" s="157"/>
      <c r="AC26" s="157"/>
      <c r="AD26" s="157"/>
      <c r="AE26" s="157"/>
      <c r="AF26" s="157"/>
      <c r="AG26" s="157"/>
      <c r="AH26" s="157"/>
      <c r="AI26" s="157"/>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c r="CF26" s="157"/>
      <c r="CG26" s="157"/>
      <c r="CH26" s="157"/>
      <c r="CI26" s="157"/>
      <c r="CJ26" s="157"/>
      <c r="CK26" s="157"/>
      <c r="CL26" s="157"/>
      <c r="CM26" s="157"/>
      <c r="CN26" s="157"/>
      <c r="CO26" s="157"/>
      <c r="CP26" s="157"/>
      <c r="CQ26" s="157"/>
      <c r="CR26" s="157"/>
    </row>
    <row r="27" spans="1:96">
      <c r="A27" s="165" t="s">
        <v>755</v>
      </c>
      <c r="B27" t="s">
        <v>756</v>
      </c>
      <c r="C27" s="228">
        <f>IFERROR(GETPIVOTDATA("Sum of qty",PT!$A$17,"product",A27,"FL/AZ","FL"),0)</f>
        <v>0</v>
      </c>
      <c r="D27" s="120"/>
      <c r="E27" s="89">
        <f t="shared" ref="E27" si="8">D27*C27</f>
        <v>0</v>
      </c>
      <c r="F27" s="280">
        <f>IFERROR(C27-VLOOKUP(A27,'[1]FL+AZ - RM'!$A:$F,3,0),0)</f>
        <v>0</v>
      </c>
      <c r="G27" s="228">
        <f>IFERROR(GETPIVOTDATA("Sum of qty",PT!$A$17,"product",A27,"FL/AZ","AZ"),0)</f>
        <v>0</v>
      </c>
      <c r="H27" s="120"/>
      <c r="I27" s="89">
        <f t="shared" ref="I27" si="9">H27*G27</f>
        <v>0</v>
      </c>
      <c r="J27" s="14">
        <f>IFERROR(G27-VLOOKUP(A27,'[1]FL+AZ - RM'!$A:$I,7,0),0)</f>
        <v>0</v>
      </c>
      <c r="K27" s="14"/>
      <c r="L27" s="157"/>
      <c r="M27" s="157"/>
      <c r="N27" s="157"/>
      <c r="O27" s="157"/>
      <c r="P27" s="157"/>
      <c r="Q27" s="157"/>
      <c r="R27" s="157"/>
      <c r="S27" s="157"/>
      <c r="T27" s="157"/>
      <c r="U27" s="157"/>
      <c r="V27" s="157"/>
      <c r="W27" s="157"/>
      <c r="X27" s="157"/>
      <c r="Y27" s="157"/>
      <c r="Z27" s="157"/>
      <c r="AA27" s="157"/>
      <c r="AB27" s="157"/>
      <c r="AC27" s="157"/>
      <c r="AD27" s="157"/>
      <c r="AE27" s="157"/>
      <c r="AF27" s="157"/>
      <c r="AG27" s="157"/>
      <c r="AH27" s="157"/>
      <c r="AI27" s="157"/>
      <c r="AJ27" s="157"/>
      <c r="AK27" s="157"/>
      <c r="AL27" s="157"/>
      <c r="AM27" s="157"/>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c r="CF27" s="157"/>
      <c r="CG27" s="157"/>
      <c r="CH27" s="157"/>
      <c r="CI27" s="157"/>
      <c r="CJ27" s="157"/>
      <c r="CK27" s="157"/>
      <c r="CL27" s="157"/>
      <c r="CM27" s="157"/>
      <c r="CN27" s="157"/>
      <c r="CO27" s="157"/>
      <c r="CP27" s="157"/>
      <c r="CQ27" s="157"/>
      <c r="CR27" s="157"/>
    </row>
    <row r="28" spans="1:96">
      <c r="A28" s="165" t="s">
        <v>757</v>
      </c>
      <c r="B28" t="s">
        <v>758</v>
      </c>
      <c r="C28" s="228">
        <f>IFERROR(GETPIVOTDATA("Sum of qty",PT!$A$17,"product",A28,"FL/AZ","FL"),0)</f>
        <v>0</v>
      </c>
      <c r="D28" s="120"/>
      <c r="E28" s="89">
        <f t="shared" si="1"/>
        <v>0</v>
      </c>
      <c r="F28" s="280">
        <f>IFERROR(C28-VLOOKUP(A28,'[1]FL+AZ - RM'!$A:$F,3,0),0)</f>
        <v>0</v>
      </c>
      <c r="G28" s="228">
        <f>IFERROR(GETPIVOTDATA("Sum of qty",PT!$A$17,"product",A28,"FL/AZ","AZ"),0)</f>
        <v>0</v>
      </c>
      <c r="H28" s="120"/>
      <c r="I28" s="89">
        <f t="shared" si="0"/>
        <v>0</v>
      </c>
      <c r="J28" s="14">
        <f>IFERROR(G28-VLOOKUP(A28,'[1]FL+AZ - RM'!$A:$I,7,0),0)</f>
        <v>0</v>
      </c>
      <c r="K28" s="14"/>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c r="CF28" s="157"/>
      <c r="CG28" s="157"/>
      <c r="CH28" s="157"/>
      <c r="CI28" s="157"/>
      <c r="CJ28" s="157"/>
      <c r="CK28" s="157"/>
      <c r="CL28" s="157"/>
      <c r="CM28" s="157"/>
      <c r="CN28" s="157"/>
      <c r="CO28" s="157"/>
      <c r="CP28" s="157"/>
      <c r="CQ28" s="157"/>
      <c r="CR28" s="157"/>
    </row>
    <row r="29" spans="1:96">
      <c r="A29" s="165" t="s">
        <v>759</v>
      </c>
      <c r="B29" t="s">
        <v>760</v>
      </c>
      <c r="C29" s="228">
        <f>IFERROR(GETPIVOTDATA("Sum of qty",PT!$A$17,"product",A29,"FL/AZ","FL"),0)</f>
        <v>0</v>
      </c>
      <c r="D29" s="120"/>
      <c r="E29" s="89">
        <f t="shared" si="1"/>
        <v>0</v>
      </c>
      <c r="F29" s="280">
        <f>IFERROR(C29-VLOOKUP(A29,'[1]FL+AZ - RM'!$A:$F,3,0),0)</f>
        <v>0</v>
      </c>
      <c r="G29" s="228">
        <f>IFERROR(GETPIVOTDATA("Sum of qty",PT!$A$17,"product",A29,"FL/AZ","AZ"),0)</f>
        <v>0</v>
      </c>
      <c r="H29" s="120"/>
      <c r="I29" s="89">
        <f t="shared" si="0"/>
        <v>0</v>
      </c>
      <c r="J29" s="14">
        <f>IFERROR(G29-VLOOKUP(A29,'[1]FL+AZ - RM'!$A:$I,7,0),0)</f>
        <v>0</v>
      </c>
      <c r="K29" s="14"/>
      <c r="L29" s="157"/>
      <c r="M29" s="157"/>
      <c r="N29" s="157"/>
      <c r="O29" s="157"/>
      <c r="P29" s="157"/>
      <c r="Q29" s="157"/>
      <c r="R29" s="157"/>
      <c r="S29" s="157"/>
      <c r="T29" s="157"/>
      <c r="U29" s="157"/>
      <c r="V29" s="157"/>
      <c r="W29" s="157"/>
      <c r="X29" s="157"/>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c r="CR29" s="157"/>
    </row>
    <row r="30" spans="1:96">
      <c r="A30" s="165" t="s">
        <v>761</v>
      </c>
      <c r="B30" t="s">
        <v>762</v>
      </c>
      <c r="C30" s="228">
        <f>IFERROR(GETPIVOTDATA("Sum of qty",PT!$A$17,"product",A30,"FL/AZ","FL"),0)</f>
        <v>0</v>
      </c>
      <c r="D30" s="120"/>
      <c r="E30" s="89">
        <f t="shared" si="1"/>
        <v>0</v>
      </c>
      <c r="F30" s="280">
        <f>IFERROR(C30-VLOOKUP(A30,'[1]FL+AZ - RM'!$A:$F,3,0),0)</f>
        <v>0</v>
      </c>
      <c r="G30" s="228">
        <f>IFERROR(GETPIVOTDATA("Sum of qty",PT!$A$17,"product",A30,"FL/AZ","AZ"),0)</f>
        <v>0</v>
      </c>
      <c r="H30" s="120"/>
      <c r="I30" s="89">
        <f t="shared" si="0"/>
        <v>0</v>
      </c>
      <c r="J30" s="14">
        <f>IFERROR(G30-VLOOKUP(A30,'[1]FL+AZ - RM'!$A:$I,7,0),0)</f>
        <v>0</v>
      </c>
      <c r="K30" s="14"/>
      <c r="L30" s="157"/>
      <c r="M30" s="157"/>
      <c r="N30" s="157"/>
      <c r="O30" s="157"/>
      <c r="P30" s="157"/>
      <c r="Q30" s="157"/>
      <c r="R30" s="157"/>
      <c r="S30" s="157"/>
      <c r="T30" s="157"/>
      <c r="U30" s="157"/>
      <c r="V30" s="157"/>
      <c r="W30" s="157"/>
      <c r="X30" s="157"/>
      <c r="Y30" s="157"/>
      <c r="Z30" s="157"/>
      <c r="AA30" s="157"/>
      <c r="AB30" s="157"/>
      <c r="AC30" s="157"/>
      <c r="AD30" s="157"/>
      <c r="AE30" s="157"/>
      <c r="AF30" s="157"/>
      <c r="AG30" s="157"/>
      <c r="AH30" s="157"/>
      <c r="AI30" s="157"/>
      <c r="AJ30" s="157"/>
      <c r="AK30" s="157"/>
      <c r="AL30" s="157"/>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c r="CF30" s="157"/>
      <c r="CG30" s="157"/>
      <c r="CH30" s="157"/>
      <c r="CI30" s="157"/>
      <c r="CJ30" s="157"/>
      <c r="CK30" s="157"/>
      <c r="CL30" s="157"/>
      <c r="CM30" s="157"/>
      <c r="CN30" s="157"/>
      <c r="CO30" s="157"/>
      <c r="CP30" s="157"/>
      <c r="CQ30" s="157"/>
      <c r="CR30" s="157"/>
    </row>
    <row r="31" spans="1:96">
      <c r="A31" s="165" t="s">
        <v>763</v>
      </c>
      <c r="B31" t="s">
        <v>764</v>
      </c>
      <c r="C31" s="228">
        <f>IFERROR(GETPIVOTDATA("Sum of qty",PT!$A$17,"product",A31,"FL/AZ","FL"),0)</f>
        <v>0</v>
      </c>
      <c r="D31" s="120"/>
      <c r="E31" s="89">
        <f t="shared" si="1"/>
        <v>0</v>
      </c>
      <c r="F31" s="280">
        <f>IFERROR(C31-VLOOKUP(A31,'[1]FL+AZ - RM'!$A:$F,3,0),0)</f>
        <v>0</v>
      </c>
      <c r="G31" s="228">
        <f>IFERROR(GETPIVOTDATA("Sum of qty",PT!$A$17,"product",A31,"FL/AZ","AZ"),0)</f>
        <v>0</v>
      </c>
      <c r="H31" s="120"/>
      <c r="I31" s="89">
        <f t="shared" si="0"/>
        <v>0</v>
      </c>
      <c r="J31" s="14">
        <f>IFERROR(G31-VLOOKUP(A31,'[1]FL+AZ - RM'!$A:$I,7,0),0)</f>
        <v>0</v>
      </c>
      <c r="K31" s="14"/>
      <c r="L31" s="157"/>
      <c r="M31" s="157"/>
      <c r="N31" s="157"/>
      <c r="O31" s="157"/>
      <c r="P31" s="157"/>
      <c r="Q31" s="157"/>
      <c r="R31" s="157"/>
      <c r="S31" s="157"/>
      <c r="T31" s="157"/>
      <c r="U31" s="157"/>
      <c r="V31" s="157"/>
      <c r="W31" s="157"/>
      <c r="X31" s="157"/>
      <c r="Y31" s="157"/>
      <c r="Z31" s="157"/>
      <c r="AA31" s="157"/>
      <c r="AB31" s="157"/>
      <c r="AC31" s="157"/>
      <c r="AD31" s="157"/>
      <c r="AE31" s="157"/>
      <c r="AF31" s="157"/>
      <c r="AG31" s="157"/>
      <c r="AH31" s="157"/>
      <c r="AI31" s="157"/>
      <c r="AJ31" s="157"/>
      <c r="AK31" s="157"/>
      <c r="AL31" s="157"/>
      <c r="AM31" s="157"/>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c r="CF31" s="157"/>
      <c r="CG31" s="157"/>
      <c r="CH31" s="157"/>
      <c r="CI31" s="157"/>
      <c r="CJ31" s="157"/>
      <c r="CK31" s="157"/>
      <c r="CL31" s="157"/>
      <c r="CM31" s="157"/>
      <c r="CN31" s="157"/>
      <c r="CO31" s="157"/>
      <c r="CP31" s="157"/>
      <c r="CQ31" s="157"/>
      <c r="CR31" s="157"/>
    </row>
    <row r="32" spans="1:96">
      <c r="A32" s="165" t="s">
        <v>150</v>
      </c>
      <c r="B32" t="s">
        <v>151</v>
      </c>
      <c r="C32" s="228">
        <f>IFERROR(GETPIVOTDATA("Sum of qty",PT!$A$17,"product",A32,"FL/AZ","FL"),0)</f>
        <v>131318</v>
      </c>
      <c r="D32" s="120"/>
      <c r="E32" s="89">
        <f t="shared" si="1"/>
        <v>0</v>
      </c>
      <c r="F32" s="280">
        <f>IFERROR(C32-VLOOKUP(A32,'[1]FL+AZ - RM'!$A:$F,3,0),0)</f>
        <v>-40292</v>
      </c>
      <c r="G32" s="228">
        <f>IFERROR(GETPIVOTDATA("Sum of qty",PT!$A$17,"product",A32,"FL/AZ","AZ"),0)</f>
        <v>0</v>
      </c>
      <c r="H32" s="120"/>
      <c r="I32" s="89">
        <f t="shared" si="0"/>
        <v>0</v>
      </c>
      <c r="J32" s="14">
        <f>IFERROR(G32-VLOOKUP(A32,'[1]FL+AZ - RM'!$A:$I,7,0),0)</f>
        <v>0</v>
      </c>
      <c r="K32" s="14"/>
      <c r="L32" s="157"/>
      <c r="M32" s="157"/>
      <c r="N32" s="157"/>
      <c r="O32" s="157"/>
      <c r="P32" s="157"/>
      <c r="Q32" s="157"/>
      <c r="R32" s="157"/>
      <c r="S32" s="157"/>
      <c r="T32" s="157"/>
      <c r="U32" s="157"/>
      <c r="V32" s="157"/>
      <c r="W32" s="157"/>
      <c r="X32" s="157"/>
      <c r="Y32" s="157"/>
      <c r="Z32" s="157"/>
      <c r="AA32" s="157"/>
      <c r="AB32" s="157"/>
      <c r="AC32" s="157"/>
      <c r="AD32" s="157"/>
      <c r="AE32" s="157"/>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c r="CM32" s="157"/>
      <c r="CN32" s="157"/>
      <c r="CO32" s="157"/>
      <c r="CP32" s="157"/>
      <c r="CQ32" s="157"/>
      <c r="CR32" s="157"/>
    </row>
    <row r="33" spans="1:96">
      <c r="A33" s="165" t="s">
        <v>765</v>
      </c>
      <c r="B33" t="s">
        <v>766</v>
      </c>
      <c r="C33" s="228">
        <f>IFERROR(GETPIVOTDATA("Sum of qty",PT!$A$17,"product",A33,"FL/AZ","FL"),0)</f>
        <v>0</v>
      </c>
      <c r="D33" s="120"/>
      <c r="E33" s="89">
        <f t="shared" ref="E33" si="10">D33*C33</f>
        <v>0</v>
      </c>
      <c r="F33" s="280">
        <f>IFERROR(C33-VLOOKUP(A33,'[1]FL+AZ - RM'!$A:$F,3,0),0)</f>
        <v>0</v>
      </c>
      <c r="G33" s="228">
        <f>IFERROR(GETPIVOTDATA("Sum of qty",PT!$A$17,"product",A33,"FL/AZ","AZ"),0)</f>
        <v>0</v>
      </c>
      <c r="H33" s="120"/>
      <c r="I33" s="89">
        <f t="shared" ref="I33" si="11">H33*G33</f>
        <v>0</v>
      </c>
      <c r="J33" s="14">
        <f>IFERROR(G33-VLOOKUP(A33,'[1]FL+AZ - RM'!$A:$I,7,0),0)</f>
        <v>0</v>
      </c>
      <c r="K33" s="14"/>
      <c r="L33" s="157"/>
      <c r="M33" s="157"/>
      <c r="N33" s="157"/>
      <c r="O33" s="157"/>
      <c r="P33" s="157"/>
      <c r="Q33" s="157"/>
      <c r="R33" s="157"/>
      <c r="S33" s="157"/>
      <c r="T33" s="157"/>
      <c r="U33" s="157"/>
      <c r="V33" s="157"/>
      <c r="W33" s="157"/>
      <c r="X33" s="157"/>
      <c r="Y33" s="157"/>
      <c r="Z33" s="157"/>
      <c r="AA33" s="157"/>
      <c r="AB33" s="157"/>
      <c r="AC33" s="157"/>
      <c r="AD33" s="157"/>
      <c r="AE33" s="157"/>
      <c r="AF33" s="157"/>
      <c r="AG33" s="157"/>
      <c r="AH33" s="157"/>
      <c r="AI33" s="157"/>
      <c r="AJ33" s="157"/>
      <c r="AK33" s="157"/>
      <c r="AL33" s="157"/>
      <c r="AM33" s="157"/>
      <c r="AN33" s="157"/>
      <c r="AO33" s="157"/>
      <c r="AP33" s="157"/>
      <c r="AQ33" s="157"/>
      <c r="AR33" s="157"/>
      <c r="AS33" s="157"/>
      <c r="AT33" s="157"/>
      <c r="AU33" s="157"/>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7"/>
      <c r="CF33" s="157"/>
      <c r="CG33" s="157"/>
      <c r="CH33" s="157"/>
      <c r="CI33" s="157"/>
      <c r="CJ33" s="157"/>
      <c r="CK33" s="157"/>
      <c r="CL33" s="157"/>
      <c r="CM33" s="157"/>
      <c r="CN33" s="157"/>
      <c r="CO33" s="157"/>
      <c r="CP33" s="157"/>
      <c r="CQ33" s="157"/>
      <c r="CR33" s="157"/>
    </row>
    <row r="34" spans="1:96">
      <c r="A34" s="165" t="s">
        <v>767</v>
      </c>
      <c r="B34" t="s">
        <v>768</v>
      </c>
      <c r="C34" s="228">
        <f>IFERROR(GETPIVOTDATA("Sum of qty",PT!$A$17,"product",A34,"FL/AZ","FL"),0)</f>
        <v>0</v>
      </c>
      <c r="D34" s="120"/>
      <c r="E34" s="89">
        <f t="shared" si="1"/>
        <v>0</v>
      </c>
      <c r="F34" s="280">
        <f>IFERROR(C34-VLOOKUP(A34,'[1]FL+AZ - RM'!$A:$F,3,0),0)</f>
        <v>0</v>
      </c>
      <c r="G34" s="228">
        <f>IFERROR(GETPIVOTDATA("Sum of qty",PT!$A$17,"product",A34,"FL/AZ","AZ"),0)</f>
        <v>0</v>
      </c>
      <c r="H34" s="120"/>
      <c r="I34" s="89">
        <f t="shared" si="0"/>
        <v>0</v>
      </c>
      <c r="J34" s="14">
        <f>IFERROR(G34-VLOOKUP(A34,'[1]FL+AZ - RM'!$A:$I,7,0),0)</f>
        <v>0</v>
      </c>
      <c r="K34" s="14"/>
      <c r="L34" s="157"/>
      <c r="M34" s="157"/>
      <c r="N34" s="157"/>
      <c r="O34" s="157"/>
      <c r="P34" s="157"/>
      <c r="Q34" s="157"/>
      <c r="R34" s="157"/>
      <c r="S34" s="157"/>
      <c r="T34" s="157"/>
      <c r="U34" s="157"/>
      <c r="V34" s="157"/>
      <c r="W34" s="157"/>
      <c r="X34" s="157"/>
      <c r="Y34" s="157"/>
      <c r="Z34" s="157"/>
      <c r="AA34" s="157"/>
      <c r="AB34" s="157"/>
      <c r="AC34" s="157"/>
      <c r="AD34" s="157"/>
      <c r="AE34" s="157"/>
      <c r="AF34" s="157"/>
      <c r="AG34" s="157"/>
      <c r="AH34" s="157"/>
      <c r="AI34" s="157"/>
      <c r="AJ34" s="157"/>
      <c r="AK34" s="157"/>
      <c r="AL34" s="157"/>
      <c r="AM34" s="157"/>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c r="BL34" s="157"/>
      <c r="BM34" s="157"/>
      <c r="BN34" s="157"/>
      <c r="BO34" s="157"/>
      <c r="BP34" s="157"/>
      <c r="BQ34" s="157"/>
      <c r="BR34" s="157"/>
      <c r="BS34" s="157"/>
      <c r="BT34" s="157"/>
      <c r="BU34" s="157"/>
      <c r="BV34" s="157"/>
      <c r="BW34" s="157"/>
      <c r="BX34" s="157"/>
      <c r="BY34" s="157"/>
      <c r="BZ34" s="157"/>
      <c r="CA34" s="157"/>
      <c r="CB34" s="157"/>
      <c r="CC34" s="157"/>
      <c r="CD34" s="157"/>
      <c r="CE34" s="157"/>
      <c r="CF34" s="157"/>
      <c r="CG34" s="157"/>
      <c r="CH34" s="157"/>
      <c r="CI34" s="157"/>
      <c r="CJ34" s="157"/>
      <c r="CK34" s="157"/>
      <c r="CL34" s="157"/>
      <c r="CM34" s="157"/>
      <c r="CN34" s="157"/>
      <c r="CO34" s="157"/>
      <c r="CP34" s="157"/>
      <c r="CQ34" s="157"/>
      <c r="CR34" s="157"/>
    </row>
    <row r="35" spans="1:96">
      <c r="A35" s="203" t="s">
        <v>769</v>
      </c>
      <c r="B35" t="s">
        <v>768</v>
      </c>
      <c r="C35" s="228">
        <f>IFERROR(GETPIVOTDATA("Sum of qty",PT!$A$17,"product",A35,"FL/AZ","FL"),0)</f>
        <v>0</v>
      </c>
      <c r="D35" s="120"/>
      <c r="E35" s="89">
        <f t="shared" ref="E35" si="12">D35*C35</f>
        <v>0</v>
      </c>
      <c r="F35" s="280">
        <f>IFERROR(C35-VLOOKUP(A35,'[1]FL+AZ - RM'!$A:$F,3,0),0)</f>
        <v>0</v>
      </c>
      <c r="G35" s="228">
        <f>IFERROR(GETPIVOTDATA("Sum of qty",PT!$A$17,"product",A35,"FL/AZ","AZ"),0)</f>
        <v>0</v>
      </c>
      <c r="H35" s="120"/>
      <c r="I35" s="89">
        <f t="shared" ref="I35" si="13">H35*G35</f>
        <v>0</v>
      </c>
      <c r="J35" s="14">
        <f>IFERROR(G35-VLOOKUP(A35,'[1]FL+AZ - RM'!$A:$I,7,0),0)</f>
        <v>0</v>
      </c>
      <c r="K35" s="14"/>
      <c r="L35" s="157"/>
      <c r="M35" s="157"/>
      <c r="N35" s="157"/>
      <c r="O35" s="157"/>
      <c r="P35" s="157"/>
      <c r="Q35" s="157"/>
      <c r="R35" s="157"/>
      <c r="S35" s="157"/>
      <c r="T35" s="157"/>
      <c r="U35" s="157"/>
      <c r="V35" s="157"/>
      <c r="W35" s="157"/>
      <c r="X35" s="157"/>
      <c r="Y35" s="157"/>
      <c r="Z35" s="157"/>
      <c r="AA35" s="157"/>
      <c r="AB35" s="157"/>
      <c r="AC35" s="157"/>
      <c r="AD35" s="157"/>
      <c r="AE35" s="157"/>
      <c r="AF35" s="157"/>
      <c r="AG35" s="157"/>
      <c r="AH35" s="157"/>
      <c r="AI35" s="157"/>
      <c r="AJ35" s="157"/>
      <c r="AK35" s="157"/>
      <c r="AL35" s="157"/>
      <c r="AM35" s="157"/>
      <c r="AN35" s="157"/>
      <c r="AO35" s="157"/>
      <c r="AP35" s="157"/>
      <c r="AQ35" s="157"/>
      <c r="AR35" s="157"/>
      <c r="AS35" s="157"/>
      <c r="AT35" s="157"/>
      <c r="AU35" s="157"/>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c r="CM35" s="157"/>
      <c r="CN35" s="157"/>
      <c r="CO35" s="157"/>
      <c r="CP35" s="157"/>
      <c r="CQ35" s="157"/>
      <c r="CR35" s="157"/>
    </row>
    <row r="36" spans="1:96">
      <c r="A36" s="165" t="s">
        <v>770</v>
      </c>
      <c r="B36" t="s">
        <v>771</v>
      </c>
      <c r="C36" s="228">
        <f>IFERROR(GETPIVOTDATA("Sum of qty",PT!$A$17,"product",A36,"FL/AZ","FL"),0)</f>
        <v>0</v>
      </c>
      <c r="D36" s="120"/>
      <c r="E36" s="89">
        <f t="shared" si="1"/>
        <v>0</v>
      </c>
      <c r="F36" s="280">
        <f>IFERROR(C36-VLOOKUP(A36,'[1]FL+AZ - RM'!$A:$F,3,0),0)</f>
        <v>0</v>
      </c>
      <c r="G36" s="228">
        <f>IFERROR(GETPIVOTDATA("Sum of qty",PT!$A$17,"product",A36,"FL/AZ","AZ"),0)</f>
        <v>0</v>
      </c>
      <c r="H36" s="120"/>
      <c r="I36" s="89">
        <f t="shared" si="0"/>
        <v>0</v>
      </c>
      <c r="J36" s="14">
        <f>IFERROR(G36-VLOOKUP(A36,'[1]FL+AZ - RM'!$A:$I,7,0),0)</f>
        <v>0</v>
      </c>
      <c r="K36" s="14"/>
      <c r="L36" s="157"/>
      <c r="M36" s="157"/>
      <c r="N36" s="157"/>
      <c r="O36" s="157"/>
      <c r="P36" s="157"/>
      <c r="Q36" s="157"/>
      <c r="R36" s="157"/>
      <c r="S36" s="157"/>
      <c r="T36" s="157"/>
      <c r="U36" s="157"/>
      <c r="V36" s="157"/>
      <c r="W36" s="157"/>
      <c r="X36" s="157"/>
      <c r="Y36" s="157"/>
      <c r="Z36" s="157"/>
      <c r="AA36" s="157"/>
      <c r="AB36" s="157"/>
      <c r="AC36" s="157"/>
      <c r="AD36" s="157"/>
      <c r="AE36" s="157"/>
      <c r="AF36" s="157"/>
      <c r="AG36" s="157"/>
      <c r="AH36" s="157"/>
      <c r="AI36" s="157"/>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c r="CR36" s="157"/>
    </row>
    <row r="37" spans="1:96">
      <c r="A37" s="165" t="s">
        <v>772</v>
      </c>
      <c r="B37" t="s">
        <v>773</v>
      </c>
      <c r="C37" s="228">
        <f>IFERROR(GETPIVOTDATA("Sum of qty",PT!$A$17,"product",A37,"FL/AZ","FL"),0)</f>
        <v>0</v>
      </c>
      <c r="D37" s="120"/>
      <c r="E37" s="89">
        <f t="shared" si="1"/>
        <v>0</v>
      </c>
      <c r="F37" s="280">
        <f>IFERROR(C37-VLOOKUP(A37,'[1]FL+AZ - RM'!$A:$F,3,0),0)</f>
        <v>0</v>
      </c>
      <c r="G37" s="228">
        <f>IFERROR(GETPIVOTDATA("Sum of qty",PT!$A$17,"product",A37,"FL/AZ","AZ"),0)</f>
        <v>0</v>
      </c>
      <c r="H37" s="120"/>
      <c r="I37" s="89">
        <f t="shared" si="0"/>
        <v>0</v>
      </c>
      <c r="J37" s="14">
        <f>IFERROR(G37-VLOOKUP(A37,'[1]FL+AZ - RM'!$A:$I,7,0),0)</f>
        <v>0</v>
      </c>
      <c r="K37" s="14"/>
      <c r="L37" s="157"/>
      <c r="M37" s="157"/>
      <c r="N37" s="157"/>
      <c r="O37" s="157"/>
      <c r="P37" s="157"/>
      <c r="Q37" s="157"/>
      <c r="R37" s="157"/>
      <c r="S37" s="157"/>
      <c r="T37" s="157"/>
      <c r="U37" s="157"/>
      <c r="V37" s="157"/>
      <c r="W37" s="157"/>
      <c r="X37" s="157"/>
      <c r="Y37" s="157"/>
      <c r="Z37" s="157"/>
      <c r="AA37" s="157"/>
      <c r="AB37" s="157"/>
      <c r="AC37" s="157"/>
      <c r="AD37" s="157"/>
      <c r="AE37" s="157"/>
      <c r="AF37" s="157"/>
      <c r="AG37" s="157"/>
      <c r="AH37" s="157"/>
      <c r="AI37" s="157"/>
      <c r="AJ37" s="157"/>
      <c r="AK37" s="157"/>
      <c r="AL37" s="157"/>
      <c r="AM37" s="157"/>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c r="BL37" s="157"/>
      <c r="BM37" s="157"/>
      <c r="BN37" s="157"/>
      <c r="BO37" s="157"/>
      <c r="BP37" s="157"/>
      <c r="BQ37" s="157"/>
      <c r="BR37" s="157"/>
      <c r="BS37" s="157"/>
      <c r="BT37" s="157"/>
      <c r="BU37" s="157"/>
      <c r="BV37" s="157"/>
      <c r="BW37" s="157"/>
      <c r="BX37" s="157"/>
      <c r="BY37" s="157"/>
      <c r="BZ37" s="157"/>
      <c r="CA37" s="157"/>
      <c r="CB37" s="157"/>
      <c r="CC37" s="157"/>
      <c r="CD37" s="157"/>
      <c r="CE37" s="157"/>
      <c r="CF37" s="157"/>
      <c r="CG37" s="157"/>
      <c r="CH37" s="157"/>
      <c r="CI37" s="157"/>
      <c r="CJ37" s="157"/>
      <c r="CK37" s="157"/>
      <c r="CL37" s="157"/>
      <c r="CM37" s="157"/>
      <c r="CN37" s="157"/>
      <c r="CO37" s="157"/>
      <c r="CP37" s="157"/>
      <c r="CQ37" s="157"/>
      <c r="CR37" s="157"/>
    </row>
    <row r="38" spans="1:96">
      <c r="A38" s="165" t="s">
        <v>774</v>
      </c>
      <c r="B38" t="s">
        <v>775</v>
      </c>
      <c r="C38" s="228">
        <f>IFERROR(GETPIVOTDATA("Sum of qty",PT!$A$17,"product",A38,"FL/AZ","FL"),0)</f>
        <v>0</v>
      </c>
      <c r="D38" s="120"/>
      <c r="E38" s="89">
        <f t="shared" si="1"/>
        <v>0</v>
      </c>
      <c r="F38" s="280">
        <f>IFERROR(C38-VLOOKUP(A38,'[1]FL+AZ - RM'!$A:$F,3,0),0)</f>
        <v>0</v>
      </c>
      <c r="G38" s="228">
        <f>IFERROR(GETPIVOTDATA("Sum of qty",PT!$A$17,"product",A38,"FL/AZ","AZ"),0)</f>
        <v>0</v>
      </c>
      <c r="H38" s="120"/>
      <c r="I38" s="89">
        <f t="shared" si="0"/>
        <v>0</v>
      </c>
      <c r="J38" s="14">
        <f>IFERROR(G38-VLOOKUP(A38,'[1]FL+AZ - RM'!$A:$I,7,0),0)</f>
        <v>0</v>
      </c>
      <c r="K38" s="14"/>
      <c r="L38" s="157"/>
      <c r="M38" s="157"/>
      <c r="N38" s="157"/>
      <c r="O38" s="157"/>
      <c r="P38" s="157"/>
      <c r="Q38" s="157"/>
      <c r="R38" s="157"/>
      <c r="S38" s="157"/>
      <c r="T38" s="157"/>
      <c r="U38" s="157"/>
      <c r="V38" s="157"/>
      <c r="W38" s="157"/>
      <c r="X38" s="157"/>
      <c r="Y38" s="157"/>
      <c r="Z38" s="157"/>
      <c r="AA38" s="157"/>
      <c r="AB38" s="157"/>
      <c r="AC38" s="157"/>
      <c r="AD38" s="157"/>
      <c r="AE38" s="157"/>
      <c r="AF38" s="157"/>
      <c r="AG38" s="157"/>
      <c r="AH38" s="157"/>
      <c r="AI38" s="157"/>
      <c r="AJ38" s="157"/>
      <c r="AK38" s="157"/>
      <c r="AL38" s="157"/>
      <c r="AM38" s="157"/>
      <c r="AN38" s="157"/>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57"/>
      <c r="BM38" s="157"/>
      <c r="BN38" s="157"/>
      <c r="BO38" s="157"/>
      <c r="BP38" s="157"/>
      <c r="BQ38" s="157"/>
      <c r="BR38" s="157"/>
      <c r="BS38" s="157"/>
      <c r="BT38" s="157"/>
      <c r="BU38" s="157"/>
      <c r="BV38" s="157"/>
      <c r="BW38" s="157"/>
      <c r="BX38" s="157"/>
      <c r="BY38" s="157"/>
      <c r="BZ38" s="157"/>
      <c r="CA38" s="157"/>
      <c r="CB38" s="157"/>
      <c r="CC38" s="157"/>
      <c r="CD38" s="157"/>
      <c r="CE38" s="157"/>
      <c r="CF38" s="157"/>
      <c r="CG38" s="157"/>
      <c r="CH38" s="157"/>
      <c r="CI38" s="157"/>
      <c r="CJ38" s="157"/>
      <c r="CK38" s="157"/>
      <c r="CL38" s="157"/>
      <c r="CM38" s="157"/>
      <c r="CN38" s="157"/>
      <c r="CO38" s="157"/>
      <c r="CP38" s="157"/>
      <c r="CQ38" s="157"/>
      <c r="CR38" s="157"/>
    </row>
    <row r="39" spans="1:96">
      <c r="A39" s="165" t="s">
        <v>776</v>
      </c>
      <c r="B39" t="s">
        <v>777</v>
      </c>
      <c r="C39" s="228">
        <f>IFERROR(GETPIVOTDATA("Sum of qty",PT!$A$17,"product",A39,"FL/AZ","FL"),0)</f>
        <v>0</v>
      </c>
      <c r="D39" s="120"/>
      <c r="E39" s="89">
        <f t="shared" si="1"/>
        <v>0</v>
      </c>
      <c r="F39" s="280">
        <f>IFERROR(C39-VLOOKUP(A39,'[1]FL+AZ - RM'!$A:$F,3,0),0)</f>
        <v>0</v>
      </c>
      <c r="G39" s="228">
        <f>IFERROR(GETPIVOTDATA("Sum of qty",PT!$A$17,"product",A39,"FL/AZ","AZ"),0)</f>
        <v>0</v>
      </c>
      <c r="H39" s="120"/>
      <c r="I39" s="89">
        <f t="shared" si="0"/>
        <v>0</v>
      </c>
      <c r="J39" s="14">
        <f>IFERROR(G39-VLOOKUP(A39,'[1]FL+AZ - RM'!$A:$I,7,0),0)</f>
        <v>0</v>
      </c>
      <c r="K39" s="14"/>
      <c r="L39" s="157"/>
      <c r="M39" s="157"/>
      <c r="N39" s="157"/>
      <c r="O39" s="157"/>
      <c r="P39" s="157"/>
      <c r="Q39" s="157"/>
      <c r="R39" s="157"/>
      <c r="S39" s="157"/>
      <c r="T39" s="157"/>
      <c r="U39" s="157"/>
      <c r="V39" s="157"/>
      <c r="W39" s="157"/>
      <c r="X39" s="157"/>
      <c r="Y39" s="157"/>
      <c r="Z39" s="157"/>
      <c r="AA39" s="157"/>
      <c r="AB39" s="157"/>
      <c r="AC39" s="157"/>
      <c r="AD39" s="157"/>
      <c r="AE39" s="157"/>
      <c r="AF39" s="157"/>
      <c r="AG39" s="157"/>
      <c r="AH39" s="157"/>
      <c r="AI39" s="157"/>
      <c r="AJ39" s="157"/>
      <c r="AK39" s="157"/>
      <c r="AL39" s="157"/>
      <c r="AM39" s="157"/>
      <c r="AN39" s="157"/>
      <c r="AO39" s="157"/>
      <c r="AP39" s="157"/>
      <c r="AQ39" s="157"/>
      <c r="AR39" s="157"/>
      <c r="AS39" s="157"/>
      <c r="AT39" s="157"/>
      <c r="AU39" s="157"/>
      <c r="AV39" s="157"/>
      <c r="AW39" s="157"/>
      <c r="AX39" s="157"/>
      <c r="AY39" s="157"/>
      <c r="AZ39" s="157"/>
      <c r="BA39" s="157"/>
      <c r="BB39" s="157"/>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c r="CB39" s="157"/>
      <c r="CC39" s="157"/>
      <c r="CD39" s="157"/>
      <c r="CE39" s="157"/>
      <c r="CF39" s="157"/>
      <c r="CG39" s="157"/>
      <c r="CH39" s="157"/>
      <c r="CI39" s="157"/>
      <c r="CJ39" s="157"/>
      <c r="CK39" s="157"/>
      <c r="CL39" s="157"/>
      <c r="CM39" s="157"/>
      <c r="CN39" s="157"/>
      <c r="CO39" s="157"/>
      <c r="CP39" s="157"/>
      <c r="CQ39" s="157"/>
      <c r="CR39" s="157"/>
    </row>
    <row r="40" spans="1:96">
      <c r="A40" s="165" t="s">
        <v>778</v>
      </c>
      <c r="B40" t="s">
        <v>779</v>
      </c>
      <c r="C40" s="228">
        <f>IFERROR(GETPIVOTDATA("Sum of qty",PT!$A$17,"product",A40,"FL/AZ","FL"),0)</f>
        <v>0</v>
      </c>
      <c r="D40" s="120"/>
      <c r="E40" s="89">
        <f t="shared" si="1"/>
        <v>0</v>
      </c>
      <c r="F40" s="280">
        <f>IFERROR(C40-VLOOKUP(A40,'[1]FL+AZ - RM'!$A:$F,3,0),0)</f>
        <v>0</v>
      </c>
      <c r="G40" s="228">
        <f>IFERROR(GETPIVOTDATA("Sum of qty",PT!$A$17,"product",A40,"FL/AZ","AZ"),0)</f>
        <v>0</v>
      </c>
      <c r="H40" s="120"/>
      <c r="I40" s="89">
        <f t="shared" si="0"/>
        <v>0</v>
      </c>
      <c r="J40" s="14">
        <f>IFERROR(G40-VLOOKUP(A40,'[1]FL+AZ - RM'!$A:$I,7,0),0)</f>
        <v>0</v>
      </c>
      <c r="K40" s="14"/>
      <c r="L40" s="157"/>
      <c r="M40" s="157"/>
      <c r="N40" s="157"/>
      <c r="O40" s="157"/>
      <c r="P40" s="157"/>
      <c r="Q40" s="157"/>
      <c r="R40" s="157"/>
      <c r="S40" s="157"/>
      <c r="T40" s="157"/>
      <c r="U40" s="157"/>
      <c r="V40" s="157"/>
      <c r="W40" s="157"/>
      <c r="X40" s="157"/>
      <c r="Y40" s="157"/>
      <c r="Z40" s="157"/>
      <c r="AA40" s="157"/>
      <c r="AB40" s="157"/>
      <c r="AC40" s="157"/>
      <c r="AD40" s="157"/>
      <c r="AE40" s="157"/>
      <c r="AF40" s="157"/>
      <c r="AG40" s="157"/>
      <c r="AH40" s="157"/>
      <c r="AI40" s="157"/>
      <c r="AJ40" s="157"/>
      <c r="AK40" s="157"/>
      <c r="AL40" s="157"/>
      <c r="AM40" s="157"/>
      <c r="AN40" s="157"/>
      <c r="AO40" s="157"/>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c r="CB40" s="157"/>
      <c r="CC40" s="157"/>
      <c r="CD40" s="157"/>
      <c r="CE40" s="157"/>
      <c r="CF40" s="157"/>
      <c r="CG40" s="157"/>
      <c r="CH40" s="157"/>
      <c r="CI40" s="157"/>
      <c r="CJ40" s="157"/>
      <c r="CK40" s="157"/>
      <c r="CL40" s="157"/>
      <c r="CM40" s="157"/>
      <c r="CN40" s="157"/>
      <c r="CO40" s="157"/>
      <c r="CP40" s="157"/>
      <c r="CQ40" s="157"/>
      <c r="CR40" s="157"/>
    </row>
    <row r="41" spans="1:96">
      <c r="A41" s="165" t="s">
        <v>780</v>
      </c>
      <c r="B41" t="s">
        <v>781</v>
      </c>
      <c r="C41" s="228">
        <f>IFERROR(GETPIVOTDATA("Sum of qty",PT!$A$17,"product",A41,"FL/AZ","FL"),0)</f>
        <v>0</v>
      </c>
      <c r="D41" s="120"/>
      <c r="E41" s="89">
        <f t="shared" si="1"/>
        <v>0</v>
      </c>
      <c r="F41" s="280">
        <f>IFERROR(C41-VLOOKUP(A41,'[1]FL+AZ - RM'!$A:$F,3,0),0)</f>
        <v>0</v>
      </c>
      <c r="G41" s="228">
        <f>IFERROR(GETPIVOTDATA("Sum of qty",PT!$A$17,"product",A41,"FL/AZ","AZ"),0)</f>
        <v>0</v>
      </c>
      <c r="H41" s="120"/>
      <c r="I41" s="89">
        <f t="shared" si="0"/>
        <v>0</v>
      </c>
      <c r="J41" s="14">
        <f>IFERROR(G41-VLOOKUP(A41,'[1]FL+AZ - RM'!$A:$I,7,0),0)</f>
        <v>0</v>
      </c>
      <c r="K41" s="14"/>
      <c r="L41" s="157"/>
      <c r="M41" s="157"/>
      <c r="N41" s="157"/>
      <c r="O41" s="157"/>
      <c r="P41" s="157"/>
      <c r="Q41" s="157"/>
      <c r="R41" s="157"/>
      <c r="S41" s="157"/>
      <c r="T41" s="157"/>
      <c r="U41" s="157"/>
      <c r="V41" s="157"/>
      <c r="W41" s="157"/>
      <c r="X41" s="157"/>
      <c r="Y41" s="157"/>
      <c r="Z41" s="157"/>
      <c r="AA41" s="157"/>
      <c r="AB41" s="157"/>
      <c r="AC41" s="157"/>
      <c r="AD41" s="157"/>
      <c r="AE41" s="157"/>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c r="CA41" s="157"/>
      <c r="CB41" s="157"/>
      <c r="CC41" s="157"/>
      <c r="CD41" s="157"/>
      <c r="CE41" s="157"/>
      <c r="CF41" s="157"/>
      <c r="CG41" s="157"/>
      <c r="CH41" s="157"/>
      <c r="CI41" s="157"/>
      <c r="CJ41" s="157"/>
      <c r="CK41" s="157"/>
      <c r="CL41" s="157"/>
      <c r="CM41" s="157"/>
      <c r="CN41" s="157"/>
      <c r="CO41" s="157"/>
      <c r="CP41" s="157"/>
      <c r="CQ41" s="157"/>
      <c r="CR41" s="157"/>
    </row>
    <row r="42" spans="1:96">
      <c r="A42" s="165" t="s">
        <v>782</v>
      </c>
      <c r="B42" t="s">
        <v>783</v>
      </c>
      <c r="C42" s="228">
        <f>IFERROR(GETPIVOTDATA("Sum of qty",PT!$A$17,"product",A42,"FL/AZ","FL"),0)</f>
        <v>0</v>
      </c>
      <c r="D42" s="120"/>
      <c r="E42" s="89">
        <f t="shared" si="1"/>
        <v>0</v>
      </c>
      <c r="F42" s="280">
        <f>IFERROR(C42-VLOOKUP(A42,'[1]FL+AZ - RM'!$A:$F,3,0),0)</f>
        <v>0</v>
      </c>
      <c r="G42" s="228">
        <f>IFERROR(GETPIVOTDATA("Sum of qty",PT!$A$17,"product",A42,"FL/AZ","AZ"),0)</f>
        <v>0</v>
      </c>
      <c r="H42" s="120"/>
      <c r="I42" s="89">
        <f t="shared" si="0"/>
        <v>0</v>
      </c>
      <c r="J42" s="14">
        <f>IFERROR(G42-VLOOKUP(A42,'[1]FL+AZ - RM'!$A:$I,7,0),0)</f>
        <v>0</v>
      </c>
      <c r="K42" s="14"/>
      <c r="L42" s="157"/>
      <c r="M42" s="157"/>
      <c r="N42" s="157"/>
      <c r="O42" s="157"/>
      <c r="P42" s="157"/>
      <c r="Q42" s="157"/>
      <c r="R42" s="157"/>
      <c r="S42" s="157"/>
      <c r="T42" s="157"/>
      <c r="U42" s="157"/>
      <c r="V42" s="157"/>
      <c r="W42" s="157"/>
      <c r="X42" s="157"/>
      <c r="Y42" s="157"/>
      <c r="Z42" s="157"/>
      <c r="AA42" s="157"/>
      <c r="AB42" s="157"/>
      <c r="AC42" s="157"/>
      <c r="AD42" s="157"/>
      <c r="AE42" s="157"/>
      <c r="AF42" s="157"/>
      <c r="AG42" s="157"/>
      <c r="AH42" s="157"/>
      <c r="AI42" s="157"/>
      <c r="AJ42" s="157"/>
      <c r="AK42" s="157"/>
      <c r="AL42" s="157"/>
      <c r="AM42" s="157"/>
      <c r="AN42" s="157"/>
      <c r="AO42" s="157"/>
      <c r="AP42" s="157"/>
      <c r="AQ42" s="157"/>
      <c r="AR42" s="157"/>
      <c r="AS42" s="157"/>
      <c r="AT42" s="157"/>
      <c r="AU42" s="157"/>
      <c r="AV42" s="157"/>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c r="CA42" s="157"/>
      <c r="CB42" s="157"/>
      <c r="CC42" s="157"/>
      <c r="CD42" s="157"/>
      <c r="CE42" s="157"/>
      <c r="CF42" s="157"/>
      <c r="CG42" s="157"/>
      <c r="CH42" s="157"/>
      <c r="CI42" s="157"/>
      <c r="CJ42" s="157"/>
      <c r="CK42" s="157"/>
      <c r="CL42" s="157"/>
      <c r="CM42" s="157"/>
      <c r="CN42" s="157"/>
      <c r="CO42" s="157"/>
      <c r="CP42" s="157"/>
      <c r="CQ42" s="157"/>
      <c r="CR42" s="157"/>
    </row>
    <row r="43" spans="1:96">
      <c r="A43" s="165" t="s">
        <v>784</v>
      </c>
      <c r="B43" t="s">
        <v>785</v>
      </c>
      <c r="C43" s="228">
        <f>IFERROR(GETPIVOTDATA("Sum of qty",PT!$A$17,"product",A43,"FL/AZ","FL"),0)</f>
        <v>0</v>
      </c>
      <c r="D43" s="120"/>
      <c r="E43" s="89">
        <f t="shared" si="1"/>
        <v>0</v>
      </c>
      <c r="F43" s="280">
        <f>IFERROR(C43-VLOOKUP(A43,'[1]FL+AZ - RM'!$A:$F,3,0),0)</f>
        <v>0</v>
      </c>
      <c r="G43" s="228">
        <f>IFERROR(GETPIVOTDATA("Sum of qty",PT!$A$17,"product",A43,"FL/AZ","AZ"),0)</f>
        <v>0</v>
      </c>
      <c r="H43" s="120"/>
      <c r="I43" s="89">
        <f t="shared" si="0"/>
        <v>0</v>
      </c>
      <c r="J43" s="14">
        <f>IFERROR(G43-VLOOKUP(A43,'[1]FL+AZ - RM'!$A:$I,7,0),0)</f>
        <v>0</v>
      </c>
      <c r="K43" s="14"/>
      <c r="L43" s="157"/>
      <c r="M43" s="157"/>
      <c r="N43" s="157"/>
      <c r="O43" s="157"/>
      <c r="P43" s="157"/>
      <c r="Q43" s="157"/>
      <c r="R43" s="157"/>
      <c r="S43" s="157"/>
      <c r="T43" s="157"/>
      <c r="U43" s="157"/>
      <c r="V43" s="157"/>
      <c r="W43" s="157"/>
      <c r="X43" s="157"/>
      <c r="Y43" s="157"/>
      <c r="Z43" s="157"/>
      <c r="AA43" s="157"/>
      <c r="AB43" s="157"/>
      <c r="AC43" s="157"/>
      <c r="AD43" s="157"/>
      <c r="AE43" s="157"/>
      <c r="AF43" s="157"/>
      <c r="AG43" s="157"/>
      <c r="AH43" s="157"/>
      <c r="AI43" s="157"/>
      <c r="AJ43" s="157"/>
      <c r="AK43" s="157"/>
      <c r="AL43" s="157"/>
      <c r="AM43" s="157"/>
      <c r="AN43" s="157"/>
      <c r="AO43" s="157"/>
      <c r="AP43" s="157"/>
      <c r="AQ43" s="157"/>
      <c r="AR43" s="157"/>
      <c r="AS43" s="157"/>
      <c r="AT43" s="157"/>
      <c r="AU43" s="157"/>
      <c r="AV43" s="157"/>
      <c r="AW43" s="157"/>
      <c r="AX43" s="157"/>
      <c r="AY43" s="157"/>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c r="CA43" s="157"/>
      <c r="CB43" s="157"/>
      <c r="CC43" s="157"/>
      <c r="CD43" s="157"/>
      <c r="CE43" s="157"/>
      <c r="CF43" s="157"/>
      <c r="CG43" s="157"/>
      <c r="CH43" s="157"/>
      <c r="CI43" s="157"/>
      <c r="CJ43" s="157"/>
      <c r="CK43" s="157"/>
      <c r="CL43" s="157"/>
      <c r="CM43" s="157"/>
      <c r="CN43" s="157"/>
      <c r="CO43" s="157"/>
      <c r="CP43" s="157"/>
      <c r="CQ43" s="157"/>
      <c r="CR43" s="157"/>
    </row>
    <row r="44" spans="1:96">
      <c r="A44" s="165" t="s">
        <v>376</v>
      </c>
      <c r="B44" t="s">
        <v>377</v>
      </c>
      <c r="C44" s="228">
        <f>IFERROR(GETPIVOTDATA("Sum of qty",PT!$A$17,"product",A44,"FL/AZ","FL"),0)</f>
        <v>381234</v>
      </c>
      <c r="D44" s="343"/>
      <c r="E44" s="89">
        <f t="shared" si="1"/>
        <v>0</v>
      </c>
      <c r="F44" s="280">
        <f>IFERROR(C44-VLOOKUP(A44,'[1]FL+AZ - RM'!$A:$F,3,0),0)</f>
        <v>194658</v>
      </c>
      <c r="G44" s="228">
        <f>IFERROR(GETPIVOTDATA("Sum of qty",PT!$A$17,"product",A44,"FL/AZ","AZ"),0)</f>
        <v>25791</v>
      </c>
      <c r="H44" s="120">
        <f>H8</f>
        <v>0.20614306328592044</v>
      </c>
      <c r="I44" s="89">
        <f t="shared" si="0"/>
        <v>5316.6357452071743</v>
      </c>
      <c r="J44" s="14">
        <f>IFERROR(G44-VLOOKUP(A44,'[1]FL+AZ - RM'!$A:$I,7,0),0)</f>
        <v>0</v>
      </c>
      <c r="K44" s="14"/>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7"/>
      <c r="AL44" s="157"/>
      <c r="AM44" s="157"/>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c r="BL44" s="157"/>
      <c r="BM44" s="157"/>
      <c r="BN44" s="157"/>
      <c r="BO44" s="157"/>
      <c r="BP44" s="157"/>
      <c r="BQ44" s="157"/>
      <c r="BR44" s="157"/>
      <c r="BS44" s="157"/>
      <c r="BT44" s="157"/>
      <c r="BU44" s="157"/>
      <c r="BV44" s="157"/>
      <c r="BW44" s="157"/>
      <c r="BX44" s="157"/>
      <c r="BY44" s="157"/>
      <c r="BZ44" s="157"/>
      <c r="CA44" s="157"/>
      <c r="CB44" s="157"/>
      <c r="CC44" s="157"/>
      <c r="CD44" s="157"/>
      <c r="CE44" s="157"/>
      <c r="CF44" s="157"/>
      <c r="CG44" s="157"/>
      <c r="CH44" s="157"/>
      <c r="CI44" s="157"/>
      <c r="CJ44" s="157"/>
      <c r="CK44" s="157"/>
      <c r="CL44" s="157"/>
      <c r="CM44" s="157"/>
      <c r="CN44" s="157"/>
      <c r="CO44" s="157"/>
      <c r="CP44" s="157"/>
      <c r="CQ44" s="157"/>
      <c r="CR44" s="157"/>
    </row>
    <row r="45" spans="1:96">
      <c r="A45" s="165" t="s">
        <v>786</v>
      </c>
      <c r="B45" t="s">
        <v>787</v>
      </c>
      <c r="C45" s="228">
        <f>IFERROR(GETPIVOTDATA("Sum of qty",PT!$A$17,"product",A45,"FL/AZ","FL"),0)</f>
        <v>0</v>
      </c>
      <c r="D45" s="120">
        <v>0</v>
      </c>
      <c r="E45" s="89">
        <f t="shared" ref="E45" si="14">D45*C45</f>
        <v>0</v>
      </c>
      <c r="F45" s="280">
        <f>IFERROR(C45-VLOOKUP(A45,'[1]FL+AZ - RM'!$A:$F,3,0),0)</f>
        <v>0</v>
      </c>
      <c r="G45" s="228">
        <f>IFERROR(GETPIVOTDATA("Sum of qty",PT!$A$17,"product",A45,"FL/AZ","AZ"),0)</f>
        <v>0</v>
      </c>
      <c r="H45" s="120"/>
      <c r="I45" s="89">
        <f t="shared" ref="I45" si="15">H45*G45</f>
        <v>0</v>
      </c>
      <c r="J45" s="14">
        <f>IFERROR(G45-VLOOKUP(A45,'[1]FL+AZ - RM'!$A:$I,7,0),0)</f>
        <v>0</v>
      </c>
      <c r="K45" s="14"/>
      <c r="L45" s="157"/>
      <c r="M45" s="157"/>
      <c r="N45" s="157"/>
      <c r="O45" s="157"/>
      <c r="P45" s="157"/>
      <c r="Q45" s="157"/>
      <c r="R45" s="157"/>
      <c r="S45" s="157"/>
      <c r="T45" s="157"/>
      <c r="U45" s="157"/>
      <c r="V45" s="157"/>
      <c r="W45" s="157"/>
      <c r="X45" s="157"/>
      <c r="Y45" s="157"/>
      <c r="Z45" s="157"/>
      <c r="AA45" s="157"/>
      <c r="AB45" s="157"/>
      <c r="AC45" s="157"/>
      <c r="AD45" s="157"/>
      <c r="AE45" s="157"/>
      <c r="AF45" s="157"/>
      <c r="AG45" s="157"/>
      <c r="AH45" s="157"/>
      <c r="AI45" s="157"/>
      <c r="AJ45" s="157"/>
      <c r="AK45" s="157"/>
      <c r="AL45" s="157"/>
      <c r="AM45" s="157"/>
      <c r="AN45" s="157"/>
      <c r="AO45" s="157"/>
      <c r="AP45" s="157"/>
      <c r="AQ45" s="157"/>
      <c r="AR45" s="157"/>
      <c r="AS45" s="157"/>
      <c r="AT45" s="157"/>
      <c r="AU45" s="157"/>
      <c r="AV45" s="157"/>
      <c r="AW45" s="157"/>
      <c r="AX45" s="157"/>
      <c r="AY45" s="157"/>
      <c r="AZ45" s="157"/>
      <c r="BA45" s="157"/>
      <c r="BB45" s="157"/>
      <c r="BC45" s="157"/>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c r="CA45" s="157"/>
      <c r="CB45" s="157"/>
      <c r="CC45" s="157"/>
      <c r="CD45" s="157"/>
      <c r="CE45" s="157"/>
      <c r="CF45" s="157"/>
      <c r="CG45" s="157"/>
      <c r="CH45" s="157"/>
      <c r="CI45" s="157"/>
      <c r="CJ45" s="157"/>
      <c r="CK45" s="157"/>
      <c r="CL45" s="157"/>
      <c r="CM45" s="157"/>
      <c r="CN45" s="157"/>
      <c r="CO45" s="157"/>
      <c r="CP45" s="157"/>
      <c r="CQ45" s="157"/>
      <c r="CR45" s="157"/>
    </row>
    <row r="46" spans="1:96">
      <c r="A46" s="203" t="s">
        <v>788</v>
      </c>
      <c r="B46" t="s">
        <v>789</v>
      </c>
      <c r="C46" s="228">
        <f>IFERROR(GETPIVOTDATA("Sum of qty",PT!$A$17,"product",A46,"FL/AZ","FL"),0)</f>
        <v>0</v>
      </c>
      <c r="D46" s="120"/>
      <c r="E46" s="89">
        <f t="shared" si="1"/>
        <v>0</v>
      </c>
      <c r="F46" s="280">
        <f>IFERROR(C46-VLOOKUP(A46,'[1]FL+AZ - RM'!$A:$F,3,0),0)</f>
        <v>0</v>
      </c>
      <c r="G46" s="228">
        <f>IFERROR(GETPIVOTDATA("Sum of qty",PT!$A$17,"product",A46,"FL/AZ","AZ"),0)</f>
        <v>0</v>
      </c>
      <c r="H46" s="120"/>
      <c r="I46" s="89">
        <f t="shared" si="0"/>
        <v>0</v>
      </c>
      <c r="J46" s="14">
        <f>IFERROR(G46-VLOOKUP(A46,'[1]FL+AZ - RM'!$A:$I,7,0),0)</f>
        <v>0</v>
      </c>
      <c r="K46" s="14"/>
      <c r="L46" s="157"/>
      <c r="M46" s="157"/>
      <c r="N46" s="365"/>
      <c r="O46" s="157"/>
      <c r="P46" s="157"/>
      <c r="Q46" s="157"/>
      <c r="R46" s="157"/>
      <c r="S46" s="157"/>
      <c r="T46" s="157"/>
      <c r="U46" s="157"/>
      <c r="V46" s="157"/>
      <c r="W46" s="157"/>
      <c r="X46" s="157"/>
      <c r="Y46" s="157"/>
      <c r="Z46" s="157"/>
      <c r="AA46" s="157"/>
      <c r="AB46" s="157"/>
      <c r="AC46" s="157"/>
      <c r="AD46" s="157"/>
      <c r="AE46" s="157"/>
      <c r="AF46" s="157"/>
      <c r="AG46" s="157"/>
      <c r="AH46" s="157"/>
      <c r="AI46" s="157"/>
      <c r="AJ46" s="157"/>
      <c r="AK46" s="157"/>
      <c r="AL46" s="157"/>
      <c r="AM46" s="157"/>
      <c r="AN46" s="157"/>
      <c r="AO46" s="157"/>
      <c r="AP46" s="157"/>
      <c r="AQ46" s="157"/>
      <c r="AR46" s="157"/>
      <c r="AS46" s="157"/>
      <c r="AT46" s="157"/>
      <c r="AU46" s="157"/>
      <c r="AV46" s="157"/>
      <c r="AW46" s="157"/>
      <c r="AX46" s="157"/>
      <c r="AY46" s="157"/>
      <c r="AZ46" s="157"/>
      <c r="BA46" s="157"/>
      <c r="BB46" s="157"/>
      <c r="BC46" s="157"/>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c r="CA46" s="157"/>
      <c r="CB46" s="157"/>
      <c r="CC46" s="157"/>
      <c r="CD46" s="157"/>
      <c r="CE46" s="157"/>
      <c r="CF46" s="157"/>
      <c r="CG46" s="157"/>
      <c r="CH46" s="157"/>
      <c r="CI46" s="157"/>
      <c r="CJ46" s="157"/>
      <c r="CK46" s="157"/>
      <c r="CL46" s="157"/>
      <c r="CM46" s="157"/>
      <c r="CN46" s="157"/>
      <c r="CO46" s="157"/>
      <c r="CP46" s="157"/>
      <c r="CQ46" s="157"/>
      <c r="CR46" s="157"/>
    </row>
    <row r="47" spans="1:96">
      <c r="A47" s="203" t="s">
        <v>790</v>
      </c>
      <c r="B47" t="s">
        <v>791</v>
      </c>
      <c r="C47" s="228">
        <f>IFERROR(GETPIVOTDATA("Sum of qty",PT!$A$17,"product",A47,"FL/AZ","FL"),0)</f>
        <v>0</v>
      </c>
      <c r="D47" s="120"/>
      <c r="E47" s="89">
        <f t="shared" ref="E47:E49" si="16">D47*C47</f>
        <v>0</v>
      </c>
      <c r="F47" s="280">
        <f>IFERROR(C47-VLOOKUP(A47,'[1]FL+AZ - RM'!$A:$F,3,0),0)</f>
        <v>0</v>
      </c>
      <c r="G47" s="228">
        <f>IFERROR(GETPIVOTDATA("Sum of qty",PT!$A$17,"product",A47,"FL/AZ","AZ"),0)</f>
        <v>0</v>
      </c>
      <c r="H47" s="120"/>
      <c r="I47" s="89">
        <f t="shared" ref="I47:I49" si="17">H47*G47</f>
        <v>0</v>
      </c>
      <c r="J47" s="14">
        <f>IFERROR(G47-VLOOKUP(A47,'[1]FL+AZ - RM'!$A:$I,7,0),0)</f>
        <v>0</v>
      </c>
      <c r="K47" s="14"/>
      <c r="L47" s="157"/>
      <c r="M47" s="157"/>
      <c r="N47" s="157"/>
      <c r="O47" s="157"/>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7"/>
      <c r="AM47" s="157"/>
      <c r="AN47" s="157"/>
      <c r="AO47" s="157"/>
      <c r="AP47" s="157"/>
      <c r="AQ47" s="157"/>
      <c r="AR47" s="157"/>
      <c r="AS47" s="157"/>
      <c r="AT47" s="157"/>
      <c r="AU47" s="157"/>
      <c r="AV47" s="157"/>
      <c r="AW47" s="157"/>
      <c r="AX47" s="157"/>
      <c r="AY47" s="157"/>
      <c r="AZ47" s="157"/>
      <c r="BA47" s="157"/>
      <c r="BB47" s="157"/>
      <c r="BC47" s="157"/>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c r="BZ47" s="157"/>
      <c r="CA47" s="157"/>
      <c r="CB47" s="157"/>
      <c r="CC47" s="157"/>
      <c r="CD47" s="157"/>
      <c r="CE47" s="157"/>
      <c r="CF47" s="157"/>
      <c r="CG47" s="157"/>
      <c r="CH47" s="157"/>
      <c r="CI47" s="157"/>
      <c r="CJ47" s="157"/>
      <c r="CK47" s="157"/>
      <c r="CL47" s="157"/>
      <c r="CM47" s="157"/>
      <c r="CN47" s="157"/>
      <c r="CO47" s="157"/>
      <c r="CP47" s="157"/>
      <c r="CQ47" s="157"/>
      <c r="CR47" s="157"/>
    </row>
    <row r="48" spans="1:96">
      <c r="A48" s="203" t="s">
        <v>792</v>
      </c>
      <c r="B48" t="s">
        <v>793</v>
      </c>
      <c r="C48" s="228">
        <f>IFERROR(GETPIVOTDATA("Sum of qty",PT!$A$17,"product",A48,"FL/AZ","FL"),0)</f>
        <v>0</v>
      </c>
      <c r="D48" s="120"/>
      <c r="E48" s="89">
        <f t="shared" si="16"/>
        <v>0</v>
      </c>
      <c r="F48" s="280">
        <f>IFERROR(C48-VLOOKUP(A48,'[1]FL+AZ - RM'!$A:$F,3,0),0)</f>
        <v>0</v>
      </c>
      <c r="G48" s="228">
        <f>IFERROR(GETPIVOTDATA("Sum of qty",PT!$A$17,"product",A48,"FL/AZ","AZ"),0)</f>
        <v>0</v>
      </c>
      <c r="H48" s="120"/>
      <c r="I48" s="89">
        <f t="shared" si="17"/>
        <v>0</v>
      </c>
      <c r="J48" s="14">
        <f>IFERROR(G48-VLOOKUP(A48,'[1]FL+AZ - RM'!$A:$I,7,0),0)</f>
        <v>0</v>
      </c>
      <c r="K48" s="14"/>
      <c r="L48" s="157"/>
      <c r="M48" s="157"/>
      <c r="N48" s="157"/>
      <c r="O48" s="157"/>
      <c r="P48" s="157"/>
      <c r="Q48" s="157"/>
      <c r="R48" s="157"/>
      <c r="S48" s="157"/>
      <c r="T48" s="157"/>
      <c r="U48" s="157"/>
      <c r="V48" s="157"/>
      <c r="W48" s="157"/>
      <c r="X48" s="157"/>
      <c r="Y48" s="157"/>
      <c r="Z48" s="157"/>
      <c r="AA48" s="157"/>
      <c r="AB48" s="157"/>
      <c r="AC48" s="157"/>
      <c r="AD48" s="157"/>
      <c r="AE48" s="157"/>
      <c r="AF48" s="157"/>
      <c r="AG48" s="157"/>
      <c r="AH48" s="157"/>
      <c r="AI48" s="157"/>
      <c r="AJ48" s="157"/>
      <c r="AK48" s="157"/>
      <c r="AL48" s="157"/>
      <c r="AM48" s="157"/>
      <c r="AN48" s="157"/>
      <c r="AO48" s="157"/>
      <c r="AP48" s="157"/>
      <c r="AQ48" s="157"/>
      <c r="AR48" s="157"/>
      <c r="AS48" s="157"/>
      <c r="AT48" s="157"/>
      <c r="AU48" s="157"/>
      <c r="AV48" s="157"/>
      <c r="AW48" s="157"/>
      <c r="AX48" s="157"/>
      <c r="AY48" s="157"/>
      <c r="AZ48" s="157"/>
      <c r="BA48" s="157"/>
      <c r="BB48" s="157"/>
      <c r="BC48" s="157"/>
      <c r="BD48" s="157"/>
      <c r="BE48" s="157"/>
      <c r="BF48" s="157"/>
      <c r="BG48" s="157"/>
      <c r="BH48" s="157"/>
      <c r="BI48" s="157"/>
      <c r="BJ48" s="157"/>
      <c r="BK48" s="157"/>
      <c r="BL48" s="157"/>
      <c r="BM48" s="157"/>
      <c r="BN48" s="157"/>
      <c r="BO48" s="157"/>
      <c r="BP48" s="157"/>
      <c r="BQ48" s="157"/>
      <c r="BR48" s="157"/>
      <c r="BS48" s="157"/>
      <c r="BT48" s="157"/>
      <c r="BU48" s="157"/>
      <c r="BV48" s="157"/>
      <c r="BW48" s="157"/>
      <c r="BX48" s="157"/>
      <c r="BY48" s="157"/>
      <c r="BZ48" s="157"/>
      <c r="CA48" s="157"/>
      <c r="CB48" s="157"/>
      <c r="CC48" s="157"/>
      <c r="CD48" s="157"/>
      <c r="CE48" s="157"/>
      <c r="CF48" s="157"/>
      <c r="CG48" s="157"/>
      <c r="CH48" s="157"/>
      <c r="CI48" s="157"/>
      <c r="CJ48" s="157"/>
      <c r="CK48" s="157"/>
      <c r="CL48" s="157"/>
      <c r="CM48" s="157"/>
      <c r="CN48" s="157"/>
      <c r="CO48" s="157"/>
      <c r="CP48" s="157"/>
      <c r="CQ48" s="157"/>
      <c r="CR48" s="157"/>
    </row>
    <row r="49" spans="1:96">
      <c r="A49" s="203" t="s">
        <v>794</v>
      </c>
      <c r="B49" t="s">
        <v>795</v>
      </c>
      <c r="C49" s="228">
        <f>IFERROR(GETPIVOTDATA("Sum of qty",PT!$A$17,"product",A49,"FL/AZ","FL"),0)</f>
        <v>0</v>
      </c>
      <c r="D49" s="120"/>
      <c r="E49" s="89">
        <f t="shared" si="16"/>
        <v>0</v>
      </c>
      <c r="F49" s="280">
        <f>IFERROR(C49-VLOOKUP(A49,'[1]FL+AZ - RM'!$A:$F,3,0),0)</f>
        <v>0</v>
      </c>
      <c r="G49" s="228">
        <f>IFERROR(GETPIVOTDATA("Sum of qty",PT!$A$17,"product",A49,"FL/AZ","AZ"),0)</f>
        <v>0</v>
      </c>
      <c r="H49" s="120"/>
      <c r="I49" s="89">
        <f t="shared" si="17"/>
        <v>0</v>
      </c>
      <c r="J49" s="14">
        <f>IFERROR(G49-VLOOKUP(A49,'[1]FL+AZ - RM'!$A:$I,7,0),0)</f>
        <v>0</v>
      </c>
      <c r="K49" s="14"/>
      <c r="L49" s="157"/>
      <c r="M49" s="157"/>
      <c r="N49" s="157"/>
      <c r="O49" s="157"/>
      <c r="P49" s="157"/>
      <c r="Q49" s="157"/>
      <c r="R49" s="157"/>
      <c r="S49" s="157"/>
      <c r="T49" s="157"/>
      <c r="U49" s="157"/>
      <c r="V49" s="157"/>
      <c r="W49" s="157"/>
      <c r="X49" s="157"/>
      <c r="Y49" s="157"/>
      <c r="Z49" s="157"/>
      <c r="AA49" s="157"/>
      <c r="AB49" s="157"/>
      <c r="AC49" s="157"/>
      <c r="AD49" s="157"/>
      <c r="AE49" s="157"/>
      <c r="AF49" s="157"/>
      <c r="AG49" s="157"/>
      <c r="AH49" s="157"/>
      <c r="AI49" s="157"/>
      <c r="AJ49" s="157"/>
      <c r="AK49" s="157"/>
      <c r="AL49" s="157"/>
      <c r="AM49" s="157"/>
      <c r="AN49" s="157"/>
      <c r="AO49" s="157"/>
      <c r="AP49" s="157"/>
      <c r="AQ49" s="157"/>
      <c r="AR49" s="157"/>
      <c r="AS49" s="157"/>
      <c r="AT49" s="157"/>
      <c r="AU49" s="157"/>
      <c r="AV49" s="157"/>
      <c r="AW49" s="157"/>
      <c r="AX49" s="157"/>
      <c r="AY49" s="157"/>
      <c r="AZ49" s="157"/>
      <c r="BA49" s="157"/>
      <c r="BB49" s="157"/>
      <c r="BC49" s="157"/>
      <c r="BD49" s="157"/>
      <c r="BE49" s="157"/>
      <c r="BF49" s="157"/>
      <c r="BG49" s="157"/>
      <c r="BH49" s="157"/>
      <c r="BI49" s="157"/>
      <c r="BJ49" s="157"/>
      <c r="BK49" s="157"/>
      <c r="BL49" s="157"/>
      <c r="BM49" s="157"/>
      <c r="BN49" s="157"/>
      <c r="BO49" s="157"/>
      <c r="BP49" s="157"/>
      <c r="BQ49" s="157"/>
      <c r="BR49" s="157"/>
      <c r="BS49" s="157"/>
      <c r="BT49" s="157"/>
      <c r="BU49" s="157"/>
      <c r="BV49" s="157"/>
      <c r="BW49" s="157"/>
      <c r="BX49" s="157"/>
      <c r="BY49" s="157"/>
      <c r="BZ49" s="157"/>
      <c r="CA49" s="157"/>
      <c r="CB49" s="157"/>
      <c r="CC49" s="157"/>
      <c r="CD49" s="157"/>
      <c r="CE49" s="157"/>
      <c r="CF49" s="157"/>
      <c r="CG49" s="157"/>
      <c r="CH49" s="157"/>
      <c r="CI49" s="157"/>
      <c r="CJ49" s="157"/>
      <c r="CK49" s="157"/>
      <c r="CL49" s="157"/>
      <c r="CM49" s="157"/>
      <c r="CN49" s="157"/>
      <c r="CO49" s="157"/>
      <c r="CP49" s="157"/>
      <c r="CQ49" s="157"/>
      <c r="CR49" s="157"/>
    </row>
    <row r="50" spans="1:96">
      <c r="A50" s="203" t="s">
        <v>796</v>
      </c>
      <c r="B50" t="s">
        <v>797</v>
      </c>
      <c r="C50" s="228">
        <f>IFERROR(GETPIVOTDATA("Sum of qty",PT!$A$17,"product",A50,"FL/AZ","FL"),0)</f>
        <v>0</v>
      </c>
      <c r="D50" s="120"/>
      <c r="E50" s="89">
        <f t="shared" ref="E50" si="18">D50*C50</f>
        <v>0</v>
      </c>
      <c r="F50" s="280">
        <f>IFERROR(C50-VLOOKUP(A50,'[1]FL+AZ - RM'!$A:$F,3,0),0)</f>
        <v>0</v>
      </c>
      <c r="G50" s="228">
        <f>IFERROR(GETPIVOTDATA("Sum of qty",PT!$A$17,"product",A50,"FL/AZ","AZ"),0)</f>
        <v>0</v>
      </c>
      <c r="H50" s="120"/>
      <c r="I50" s="89">
        <f t="shared" ref="I50" si="19">H50*G50</f>
        <v>0</v>
      </c>
      <c r="J50" s="14">
        <f>IFERROR(G50-VLOOKUP(A50,'[1]FL+AZ - RM'!$A:$I,7,0),0)</f>
        <v>0</v>
      </c>
      <c r="K50" s="14"/>
      <c r="L50" s="276"/>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c r="BI50" s="157"/>
      <c r="BJ50" s="157"/>
      <c r="BK50" s="157"/>
      <c r="BL50" s="157"/>
      <c r="BM50" s="157"/>
      <c r="BN50" s="157"/>
      <c r="BO50" s="157"/>
      <c r="BP50" s="157"/>
      <c r="BQ50" s="157"/>
      <c r="BR50" s="157"/>
      <c r="BS50" s="157"/>
      <c r="BT50" s="157"/>
      <c r="BU50" s="157"/>
      <c r="BV50" s="157"/>
      <c r="BW50" s="157"/>
      <c r="BX50" s="157"/>
      <c r="BY50" s="157"/>
      <c r="BZ50" s="157"/>
      <c r="CA50" s="157"/>
      <c r="CB50" s="157"/>
      <c r="CC50" s="157"/>
      <c r="CD50" s="157"/>
      <c r="CE50" s="157"/>
      <c r="CF50" s="157"/>
      <c r="CG50" s="157"/>
      <c r="CH50" s="157"/>
      <c r="CI50" s="157"/>
      <c r="CJ50" s="157"/>
      <c r="CK50" s="157"/>
      <c r="CL50" s="157"/>
      <c r="CM50" s="157"/>
      <c r="CN50" s="157"/>
      <c r="CO50" s="157"/>
      <c r="CP50" s="157"/>
      <c r="CQ50" s="157"/>
      <c r="CR50" s="157"/>
    </row>
    <row r="51" spans="1:96">
      <c r="A51" s="203" t="s">
        <v>798</v>
      </c>
      <c r="B51" t="s">
        <v>799</v>
      </c>
      <c r="C51" s="228">
        <f>IFERROR(GETPIVOTDATA("Sum of qty",PT!$A$17,"product",A51,"FL/AZ","FL"),0)</f>
        <v>0</v>
      </c>
      <c r="D51" s="120"/>
      <c r="E51" s="89">
        <f t="shared" ref="E51" si="20">D51*C51</f>
        <v>0</v>
      </c>
      <c r="F51" s="280">
        <f>IFERROR(C51-VLOOKUP(A51,'[1]FL+AZ - RM'!$A:$F,3,0),0)</f>
        <v>0</v>
      </c>
      <c r="G51" s="228">
        <f>IFERROR(GETPIVOTDATA("Sum of qty",PT!$A$17,"product",A51,"FL/AZ","AZ"),0)</f>
        <v>0</v>
      </c>
      <c r="H51" s="120"/>
      <c r="I51" s="89">
        <f t="shared" ref="I51" si="21">H51*G51</f>
        <v>0</v>
      </c>
      <c r="J51" s="14">
        <f>IFERROR(G51-VLOOKUP(A51,'[1]FL+AZ - RM'!$A:$I,7,0),0)</f>
        <v>0</v>
      </c>
      <c r="K51" s="14"/>
      <c r="L51" s="157"/>
      <c r="M51" s="276"/>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c r="CR51" s="157"/>
    </row>
    <row r="52" spans="1:96">
      <c r="A52" s="203" t="s">
        <v>800</v>
      </c>
      <c r="B52" s="157" t="s">
        <v>801</v>
      </c>
      <c r="C52" s="228">
        <f>IFERROR(GETPIVOTDATA("Sum of qty",PT!$A$17,"product",A52,"FL/AZ","FL"),0)</f>
        <v>0</v>
      </c>
      <c r="D52" s="120"/>
      <c r="E52" s="89">
        <f>D52*C52</f>
        <v>0</v>
      </c>
      <c r="F52" s="280">
        <f>IFERROR(C52-VLOOKUP(A52,'[1]FL+AZ - RM'!$A:$F,3,0),0)</f>
        <v>0</v>
      </c>
      <c r="G52" s="228">
        <f>IFERROR(GETPIVOTDATA("Sum of qty",PT!$A$17,"product",A52,"FL/AZ","AZ"),0)</f>
        <v>0</v>
      </c>
      <c r="H52" s="120"/>
      <c r="I52" s="89">
        <f t="shared" si="0"/>
        <v>0</v>
      </c>
      <c r="J52" s="14">
        <f>IFERROR(G52-VLOOKUP(A52,'[1]FL+AZ - RM'!$A:$I,7,0),0)</f>
        <v>0</v>
      </c>
      <c r="K52" s="14"/>
      <c r="L52" s="157"/>
      <c r="M52" s="157"/>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57"/>
      <c r="AK52" s="157"/>
      <c r="AL52" s="157"/>
      <c r="AM52" s="157"/>
      <c r="AN52" s="157"/>
      <c r="AO52" s="157"/>
      <c r="AP52" s="157"/>
      <c r="AQ52" s="157"/>
      <c r="AR52" s="157"/>
      <c r="AS52" s="157"/>
      <c r="AT52" s="157"/>
      <c r="AU52" s="157"/>
      <c r="AV52" s="157"/>
      <c r="AW52" s="157"/>
      <c r="AX52" s="157"/>
      <c r="AY52" s="157"/>
      <c r="AZ52" s="157"/>
      <c r="BA52" s="157"/>
      <c r="BB52" s="157"/>
      <c r="BC52" s="157"/>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c r="CC52" s="157"/>
      <c r="CD52" s="157"/>
      <c r="CE52" s="157"/>
      <c r="CF52" s="157"/>
      <c r="CG52" s="157"/>
      <c r="CH52" s="157"/>
      <c r="CI52" s="157"/>
      <c r="CJ52" s="157"/>
      <c r="CK52" s="157"/>
      <c r="CL52" s="157"/>
      <c r="CM52" s="157"/>
      <c r="CN52" s="157"/>
      <c r="CO52" s="157"/>
      <c r="CP52" s="157"/>
      <c r="CQ52" s="157"/>
      <c r="CR52" s="157"/>
    </row>
    <row r="53" spans="1:96">
      <c r="A53" s="203" t="s">
        <v>399</v>
      </c>
      <c r="B53" s="157" t="s">
        <v>400</v>
      </c>
      <c r="C53" s="228">
        <f>IFERROR(GETPIVOTDATA("Sum of qty",PT!$A$17,"product",A53,"FL/AZ","FL"),0)</f>
        <v>85748.45</v>
      </c>
      <c r="D53" s="120"/>
      <c r="E53" s="89">
        <f>D53*C53</f>
        <v>0</v>
      </c>
      <c r="F53" s="280">
        <f>IFERROR(C53-VLOOKUP(A53,'[1]FL+AZ - RM'!$A:$F,3,0),0)</f>
        <v>30723.93</v>
      </c>
      <c r="G53" s="228">
        <f>IFERROR(GETPIVOTDATA("Sum of qty",PT!$A$17,"product",A53,"FL/AZ","AZ"),0)</f>
        <v>0</v>
      </c>
      <c r="H53" s="120"/>
      <c r="I53" s="89">
        <f t="shared" ref="I53" si="22">H53*G53</f>
        <v>0</v>
      </c>
      <c r="J53" s="14">
        <f>IFERROR(G53-VLOOKUP(A53,'[1]FL+AZ - RM'!$A:$I,7,0),0)</f>
        <v>0</v>
      </c>
      <c r="K53" s="14"/>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7"/>
      <c r="AL53" s="157"/>
      <c r="AM53" s="157"/>
      <c r="AN53" s="157"/>
      <c r="AO53" s="157"/>
      <c r="AP53" s="157"/>
      <c r="AQ53" s="157"/>
      <c r="AR53" s="157"/>
      <c r="AS53" s="157"/>
      <c r="AT53" s="157"/>
      <c r="AU53" s="157"/>
      <c r="AV53" s="157"/>
      <c r="AW53" s="157"/>
      <c r="AX53" s="157"/>
      <c r="AY53" s="157"/>
      <c r="AZ53" s="157"/>
      <c r="BA53" s="157"/>
      <c r="BB53" s="157"/>
      <c r="BC53" s="157"/>
      <c r="BD53" s="157"/>
      <c r="BE53" s="157"/>
      <c r="BF53" s="157"/>
      <c r="BG53" s="157"/>
      <c r="BH53" s="157"/>
      <c r="BI53" s="157"/>
      <c r="BJ53" s="157"/>
      <c r="BK53" s="157"/>
      <c r="BL53" s="157"/>
      <c r="BM53" s="157"/>
      <c r="BN53" s="157"/>
      <c r="BO53" s="157"/>
      <c r="BP53" s="157"/>
      <c r="BQ53" s="157"/>
      <c r="BR53" s="157"/>
      <c r="BS53" s="157"/>
      <c r="BT53" s="157"/>
      <c r="BU53" s="157"/>
      <c r="BV53" s="157"/>
      <c r="BW53" s="157"/>
      <c r="BX53" s="157"/>
      <c r="BY53" s="157"/>
      <c r="BZ53" s="157"/>
      <c r="CA53" s="157"/>
      <c r="CB53" s="157"/>
      <c r="CC53" s="157"/>
      <c r="CD53" s="157"/>
      <c r="CE53" s="157"/>
      <c r="CF53" s="157"/>
      <c r="CG53" s="157"/>
      <c r="CH53" s="157"/>
      <c r="CI53" s="157"/>
      <c r="CJ53" s="157"/>
      <c r="CK53" s="157"/>
      <c r="CL53" s="157"/>
      <c r="CM53" s="157"/>
      <c r="CN53" s="157"/>
      <c r="CO53" s="157"/>
      <c r="CP53" s="157"/>
      <c r="CQ53" s="157"/>
      <c r="CR53" s="157"/>
    </row>
    <row r="54" spans="1:96">
      <c r="A54" s="203" t="s">
        <v>303</v>
      </c>
      <c r="B54" s="157" t="s">
        <v>304</v>
      </c>
      <c r="C54" s="228">
        <f>IFERROR(GETPIVOTDATA("Sum of qty",PT!$A$17,"product",A54,"FL/AZ","FL"),0)</f>
        <v>50</v>
      </c>
      <c r="D54" s="120">
        <v>1.59</v>
      </c>
      <c r="E54" s="89">
        <f>D54*C54</f>
        <v>79.5</v>
      </c>
      <c r="F54" s="280">
        <f>IFERROR(C54-VLOOKUP(A54,'[1]FL+AZ - RM'!$A:$F,3,0),0)</f>
        <v>0</v>
      </c>
      <c r="G54" s="228">
        <f>IFERROR(GETPIVOTDATA("Sum of qty",PT!$A$17,"product",A54,"FL/AZ","AZ"),0)</f>
        <v>3400</v>
      </c>
      <c r="H54" s="120">
        <v>0.55559999999999998</v>
      </c>
      <c r="I54" s="89">
        <f t="shared" ref="I54:I56" si="23">H54*G54</f>
        <v>1889.04</v>
      </c>
      <c r="J54" s="14">
        <f>IFERROR(G54-VLOOKUP(A54,'[1]FL+AZ - RM'!$A:$I,7,0),0)</f>
        <v>1200</v>
      </c>
      <c r="K54" s="14"/>
      <c r="L54" s="157"/>
      <c r="M54" s="157"/>
      <c r="N54" s="462"/>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7"/>
      <c r="AL54" s="157"/>
      <c r="AM54" s="157"/>
      <c r="AN54" s="157"/>
      <c r="AO54" s="157"/>
      <c r="AP54" s="157"/>
      <c r="AQ54" s="157"/>
      <c r="AR54" s="157"/>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c r="BZ54" s="157"/>
      <c r="CA54" s="157"/>
      <c r="CB54" s="157"/>
      <c r="CC54" s="157"/>
      <c r="CD54" s="157"/>
      <c r="CE54" s="157"/>
      <c r="CF54" s="157"/>
      <c r="CG54" s="157"/>
      <c r="CH54" s="157"/>
      <c r="CI54" s="157"/>
      <c r="CJ54" s="157"/>
      <c r="CK54" s="157"/>
      <c r="CL54" s="157"/>
      <c r="CM54" s="157"/>
      <c r="CN54" s="157"/>
      <c r="CO54" s="157"/>
      <c r="CP54" s="157"/>
      <c r="CQ54" s="157"/>
      <c r="CR54" s="157"/>
    </row>
    <row r="55" spans="1:96">
      <c r="A55" s="203" t="s">
        <v>182</v>
      </c>
      <c r="B55" s="157" t="s">
        <v>183</v>
      </c>
      <c r="C55" s="228">
        <f>IFERROR(GETPIVOTDATA("Sum of qty",PT!$A$17,"product",A55,"FL/AZ","FL"),0)</f>
        <v>3522</v>
      </c>
      <c r="D55" s="120"/>
      <c r="E55" s="89">
        <f>D55*C55</f>
        <v>0</v>
      </c>
      <c r="F55" s="280">
        <f>IFERROR(C55-VLOOKUP(A55,'[1]FL+AZ - RM'!$A:$F,3,0),0)</f>
        <v>-7536</v>
      </c>
      <c r="G55" s="228">
        <f>IFERROR(GETPIVOTDATA("Sum of qty",PT!$A$17,"product",A55,"FL/AZ","AZ"),0)</f>
        <v>0</v>
      </c>
      <c r="H55" s="120"/>
      <c r="I55" s="89">
        <f t="shared" si="23"/>
        <v>0</v>
      </c>
      <c r="J55" s="14">
        <f>IFERROR(G55-VLOOKUP(A55,'[1]FL+AZ - RM'!$A:$I,7,0),0)</f>
        <v>0</v>
      </c>
      <c r="K55" s="14"/>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7"/>
      <c r="AL55" s="157"/>
      <c r="AM55" s="157"/>
      <c r="AN55" s="157"/>
      <c r="AO55" s="157"/>
      <c r="AP55" s="157"/>
      <c r="AQ55" s="157"/>
      <c r="AR55" s="157"/>
      <c r="AS55" s="157"/>
      <c r="AT55" s="157"/>
      <c r="AU55" s="157"/>
      <c r="AV55" s="157"/>
      <c r="AW55" s="157"/>
      <c r="AX55" s="157"/>
      <c r="AY55" s="157"/>
      <c r="AZ55" s="157"/>
      <c r="BA55" s="157"/>
      <c r="BB55" s="157"/>
      <c r="BC55" s="157"/>
      <c r="BD55" s="157"/>
      <c r="BE55" s="157"/>
      <c r="BF55" s="157"/>
      <c r="BG55" s="157"/>
      <c r="BH55" s="157"/>
      <c r="BI55" s="157"/>
      <c r="BJ55" s="157"/>
      <c r="BK55" s="157"/>
      <c r="BL55" s="157"/>
      <c r="BM55" s="157"/>
      <c r="BN55" s="157"/>
      <c r="BO55" s="157"/>
      <c r="BP55" s="157"/>
      <c r="BQ55" s="157"/>
      <c r="BR55" s="157"/>
      <c r="BS55" s="157"/>
      <c r="BT55" s="157"/>
      <c r="BU55" s="157"/>
      <c r="BV55" s="157"/>
      <c r="BW55" s="157"/>
      <c r="BX55" s="157"/>
      <c r="BY55" s="157"/>
      <c r="BZ55" s="157"/>
      <c r="CA55" s="157"/>
      <c r="CB55" s="157"/>
      <c r="CC55" s="157"/>
      <c r="CD55" s="157"/>
      <c r="CE55" s="157"/>
      <c r="CF55" s="157"/>
      <c r="CG55" s="157"/>
      <c r="CH55" s="157"/>
      <c r="CI55" s="157"/>
      <c r="CJ55" s="157"/>
      <c r="CK55" s="157"/>
      <c r="CL55" s="157"/>
      <c r="CM55" s="157"/>
      <c r="CN55" s="157"/>
      <c r="CO55" s="157"/>
      <c r="CP55" s="157"/>
      <c r="CQ55" s="157"/>
      <c r="CR55" s="157"/>
    </row>
    <row r="56" spans="1:96" ht="13.5" customHeight="1">
      <c r="A56" s="203" t="s">
        <v>802</v>
      </c>
      <c r="B56" s="157" t="s">
        <v>803</v>
      </c>
      <c r="C56" s="228">
        <f>IFERROR(GETPIVOTDATA("Sum of qty",PT!$A$17,"product",A56,"FL/AZ","FL"),0)</f>
        <v>0</v>
      </c>
      <c r="D56" s="120">
        <v>1.5764</v>
      </c>
      <c r="E56" s="89">
        <f>D56*C56</f>
        <v>0</v>
      </c>
      <c r="F56" s="280">
        <f>IFERROR(C56-VLOOKUP(A56,'[1]FL+AZ - RM'!$A:$F,3,0),0)</f>
        <v>0</v>
      </c>
      <c r="G56" s="228">
        <f>IFERROR(GETPIVOTDATA("Sum of qty",PT!$A$17,"product",A56,"FL/AZ","AZ"),0)</f>
        <v>0</v>
      </c>
      <c r="H56" s="120"/>
      <c r="I56" s="89">
        <f t="shared" si="23"/>
        <v>0</v>
      </c>
      <c r="J56" s="14">
        <f>IFERROR(G56-VLOOKUP(A56,'[1]FL+AZ - RM'!$A:$I,7,0),0)</f>
        <v>0</v>
      </c>
      <c r="K56" s="14"/>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7"/>
      <c r="AL56" s="157"/>
      <c r="AM56" s="157"/>
      <c r="AN56" s="157"/>
      <c r="AO56" s="157"/>
      <c r="AP56" s="157"/>
      <c r="AQ56" s="157"/>
      <c r="AR56" s="157"/>
      <c r="AS56" s="157"/>
      <c r="AT56" s="157"/>
      <c r="AU56" s="157"/>
      <c r="AV56" s="157"/>
      <c r="AW56" s="157"/>
      <c r="AX56" s="157"/>
      <c r="AY56" s="157"/>
      <c r="AZ56" s="157"/>
      <c r="BA56" s="157"/>
      <c r="BB56" s="157"/>
      <c r="BC56" s="157"/>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c r="CA56" s="157"/>
      <c r="CB56" s="157"/>
      <c r="CC56" s="157"/>
      <c r="CD56" s="157"/>
      <c r="CE56" s="157"/>
      <c r="CF56" s="157"/>
      <c r="CG56" s="157"/>
      <c r="CH56" s="157"/>
      <c r="CI56" s="157"/>
      <c r="CJ56" s="157"/>
      <c r="CK56" s="157"/>
      <c r="CL56" s="157"/>
      <c r="CM56" s="157"/>
      <c r="CN56" s="157"/>
      <c r="CO56" s="157"/>
      <c r="CP56" s="157"/>
      <c r="CQ56" s="157"/>
      <c r="CR56" s="157"/>
    </row>
    <row r="57" spans="1:96">
      <c r="A57" s="203" t="s">
        <v>343</v>
      </c>
      <c r="B57" t="s">
        <v>344</v>
      </c>
      <c r="C57" s="228">
        <f>IFERROR(GETPIVOTDATA("Sum of qty",PT!$A$17,"product",A57,"FL/AZ","FL"),0)</f>
        <v>28746</v>
      </c>
      <c r="D57" s="343">
        <f>((22000*0.1542)+((C57-22000)*0.1452))/C57</f>
        <v>0.15208791484032563</v>
      </c>
      <c r="E57" s="89">
        <f>D57*C57</f>
        <v>4371.9192000000003</v>
      </c>
      <c r="F57" s="280">
        <f>IFERROR(C57-VLOOKUP(A57,'[1]FL+AZ - RM'!$A:$F,3,0),0)</f>
        <v>10192.400000000001</v>
      </c>
      <c r="G57" s="228">
        <f>IFERROR(GETPIVOTDATA("Sum of qty",PT!$A$17,"product",A57,"FL/AZ","AZ"),0)</f>
        <v>0</v>
      </c>
      <c r="H57" s="120"/>
      <c r="I57" s="89">
        <f t="shared" ref="I57:I59" si="24">H57*G57</f>
        <v>0</v>
      </c>
      <c r="J57" s="14">
        <f>IFERROR(G57-VLOOKUP(A57,'[1]FL+AZ - RM'!$A:$I,7,0),0)</f>
        <v>0</v>
      </c>
      <c r="K57" s="14"/>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c r="AM57" s="157"/>
      <c r="AN57" s="157"/>
      <c r="AO57" s="157"/>
      <c r="AP57" s="157"/>
      <c r="AQ57" s="157"/>
      <c r="AR57" s="157"/>
      <c r="AS57" s="157"/>
      <c r="AT57" s="157"/>
      <c r="AU57" s="157"/>
      <c r="AV57" s="157"/>
      <c r="AW57" s="157"/>
      <c r="AX57" s="157"/>
      <c r="AY57" s="157"/>
      <c r="AZ57" s="157"/>
      <c r="BA57" s="157"/>
      <c r="BB57" s="157"/>
      <c r="BC57" s="157"/>
      <c r="BD57" s="157"/>
      <c r="BE57" s="157"/>
      <c r="BF57" s="157"/>
      <c r="BG57" s="157"/>
      <c r="BH57" s="157"/>
      <c r="BI57" s="157"/>
      <c r="BJ57" s="157"/>
      <c r="BK57" s="157"/>
      <c r="BL57" s="157"/>
      <c r="BM57" s="157"/>
      <c r="BN57" s="157"/>
      <c r="BO57" s="157"/>
      <c r="BP57" s="157"/>
      <c r="BQ57" s="157"/>
      <c r="BR57" s="157"/>
      <c r="BS57" s="157"/>
      <c r="BT57" s="157"/>
      <c r="BU57" s="157"/>
      <c r="BV57" s="157"/>
      <c r="BW57" s="157"/>
      <c r="BX57" s="157"/>
      <c r="BY57" s="157"/>
      <c r="BZ57" s="157"/>
      <c r="CA57" s="157"/>
      <c r="CB57" s="157"/>
      <c r="CC57" s="157"/>
      <c r="CD57" s="157"/>
      <c r="CE57" s="157"/>
      <c r="CF57" s="157"/>
      <c r="CG57" s="157"/>
      <c r="CH57" s="157"/>
      <c r="CI57" s="157"/>
      <c r="CJ57" s="157"/>
      <c r="CK57" s="157"/>
      <c r="CL57" s="157"/>
      <c r="CM57" s="157"/>
      <c r="CN57" s="157"/>
      <c r="CO57" s="157"/>
      <c r="CP57" s="157"/>
      <c r="CQ57" s="157"/>
      <c r="CR57" s="157"/>
    </row>
    <row r="58" spans="1:96">
      <c r="A58" s="203" t="s">
        <v>247</v>
      </c>
      <c r="B58" s="157" t="s">
        <v>804</v>
      </c>
      <c r="C58" s="228">
        <f>IFERROR(GETPIVOTDATA("Sum of qty",PT!$A$17,"product",A58,"FL/AZ","FL"),0)</f>
        <v>52725</v>
      </c>
      <c r="D58" s="120">
        <v>0</v>
      </c>
      <c r="E58" s="89">
        <f t="shared" ref="E57:E64" si="25">D58*C58</f>
        <v>0</v>
      </c>
      <c r="F58" s="280">
        <f>IFERROR(C58-VLOOKUP(A58,'[1]FL+AZ - RM'!$A:$F,3,0),0)</f>
        <v>-66675</v>
      </c>
      <c r="G58" s="228">
        <f>IFERROR(GETPIVOTDATA("Sum of qty",PT!$A$17,"product",A58,"FL/AZ","AZ"),0)</f>
        <v>0</v>
      </c>
      <c r="H58" s="120">
        <v>7.3300000000000004E-2</v>
      </c>
      <c r="I58" s="89">
        <f t="shared" ref="I58" si="26">H58*G58</f>
        <v>0</v>
      </c>
      <c r="J58" s="14">
        <f>IFERROR(G58-VLOOKUP(A58,'[1]FL+AZ - RM'!$A:$I,7,0),0)</f>
        <v>0</v>
      </c>
      <c r="K58" s="14"/>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c r="AM58" s="157"/>
      <c r="AN58" s="157"/>
      <c r="AO58" s="157"/>
      <c r="AP58" s="157"/>
      <c r="AQ58" s="157"/>
      <c r="AR58" s="157"/>
      <c r="AS58" s="157"/>
      <c r="AT58" s="157"/>
      <c r="AU58" s="157"/>
      <c r="AV58" s="157"/>
      <c r="AW58" s="157"/>
      <c r="AX58" s="157"/>
      <c r="AY58" s="157"/>
      <c r="AZ58" s="157"/>
      <c r="BA58" s="157"/>
      <c r="BB58" s="157"/>
      <c r="BC58" s="157"/>
      <c r="BD58" s="157"/>
      <c r="BE58" s="157"/>
      <c r="BF58" s="157"/>
      <c r="BG58" s="157"/>
      <c r="BH58" s="157"/>
      <c r="BI58" s="157"/>
      <c r="BJ58" s="157"/>
      <c r="BK58" s="157"/>
      <c r="BL58" s="157"/>
      <c r="BM58" s="157"/>
      <c r="BN58" s="157"/>
      <c r="BO58" s="157"/>
      <c r="BP58" s="157"/>
      <c r="BQ58" s="157"/>
      <c r="BR58" s="157"/>
      <c r="BS58" s="157"/>
      <c r="BT58" s="157"/>
      <c r="BU58" s="157"/>
      <c r="BV58" s="157"/>
      <c r="BW58" s="157"/>
      <c r="BX58" s="157"/>
      <c r="BY58" s="157"/>
      <c r="BZ58" s="157"/>
      <c r="CA58" s="157"/>
      <c r="CB58" s="157"/>
      <c r="CC58" s="157"/>
      <c r="CD58" s="157"/>
      <c r="CE58" s="157"/>
      <c r="CF58" s="157"/>
      <c r="CG58" s="157"/>
      <c r="CH58" s="157"/>
      <c r="CI58" s="157"/>
      <c r="CJ58" s="157"/>
      <c r="CK58" s="157"/>
      <c r="CL58" s="157"/>
      <c r="CM58" s="157"/>
      <c r="CN58" s="157"/>
      <c r="CO58" s="157"/>
      <c r="CP58" s="157"/>
      <c r="CQ58" s="157"/>
      <c r="CR58" s="157"/>
    </row>
    <row r="59" spans="1:96">
      <c r="A59" s="203" t="s">
        <v>805</v>
      </c>
      <c r="B59" t="s">
        <v>806</v>
      </c>
      <c r="C59" s="228">
        <f>IFERROR(GETPIVOTDATA("Sum of qty",PT!$A$17,"product",A59,"FL/AZ","FL"),0)</f>
        <v>0</v>
      </c>
      <c r="D59" s="120">
        <v>0</v>
      </c>
      <c r="E59" s="89">
        <f t="shared" si="25"/>
        <v>0</v>
      </c>
      <c r="F59" s="280">
        <f>IFERROR(C59-VLOOKUP(A59,'[1]FL+AZ - RM'!$A:$F,3,0),0)</f>
        <v>0</v>
      </c>
      <c r="G59" s="228">
        <f>IFERROR(GETPIVOTDATA("Sum of qty",PT!$A$17,"product",A59,"FL/AZ","AZ"),0)</f>
        <v>0</v>
      </c>
      <c r="H59" s="120">
        <v>7.3300000000000004E-2</v>
      </c>
      <c r="I59" s="89">
        <f t="shared" si="24"/>
        <v>0</v>
      </c>
      <c r="J59" s="14">
        <f>IFERROR(G59-VLOOKUP(A59,'[1]FL+AZ - RM'!$A:$I,7,0),0)</f>
        <v>0</v>
      </c>
      <c r="K59" s="14"/>
      <c r="L59" s="157"/>
      <c r="M59" s="157"/>
      <c r="N59" s="157"/>
      <c r="O59" s="157"/>
      <c r="P59" s="157"/>
      <c r="Q59" s="157"/>
      <c r="R59" s="157"/>
      <c r="S59" s="157"/>
      <c r="T59" s="157"/>
      <c r="U59" s="157"/>
      <c r="V59" s="157"/>
      <c r="W59" s="157"/>
      <c r="X59" s="157"/>
      <c r="Y59" s="157"/>
      <c r="Z59" s="157"/>
      <c r="AA59" s="157"/>
      <c r="AB59" s="157"/>
      <c r="AC59" s="157"/>
      <c r="AD59" s="157"/>
      <c r="AE59" s="157"/>
      <c r="AF59" s="157"/>
      <c r="AG59" s="157"/>
      <c r="AH59" s="157"/>
      <c r="AI59" s="157"/>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c r="BV59" s="157"/>
      <c r="BW59" s="157"/>
      <c r="BX59" s="157"/>
      <c r="BY59" s="157"/>
      <c r="BZ59" s="157"/>
      <c r="CA59" s="157"/>
      <c r="CB59" s="157"/>
      <c r="CC59" s="157"/>
      <c r="CD59" s="157"/>
      <c r="CE59" s="157"/>
      <c r="CF59" s="157"/>
      <c r="CG59" s="157"/>
      <c r="CH59" s="157"/>
      <c r="CI59" s="157"/>
      <c r="CJ59" s="157"/>
      <c r="CK59" s="157"/>
      <c r="CL59" s="157"/>
      <c r="CM59" s="157"/>
      <c r="CN59" s="157"/>
      <c r="CO59" s="157"/>
      <c r="CP59" s="157"/>
      <c r="CQ59" s="157"/>
      <c r="CR59" s="157"/>
    </row>
    <row r="60" spans="1:96">
      <c r="A60" s="203" t="s">
        <v>391</v>
      </c>
      <c r="B60" s="157" t="s">
        <v>392</v>
      </c>
      <c r="C60" s="228">
        <f>IFERROR(GETPIVOTDATA("Sum of qty",PT!$A$17,"product",A60,"FL/AZ","FL"),0)</f>
        <v>75677.259999999995</v>
      </c>
      <c r="D60" s="120">
        <v>0</v>
      </c>
      <c r="E60" s="89">
        <f t="shared" ref="E60" si="27">D60*C60</f>
        <v>0</v>
      </c>
      <c r="F60" s="280">
        <f>IFERROR(C60-VLOOKUP(A60,'[1]FL+AZ - RM'!$A:$F,3,0),0)</f>
        <v>-33266.380000000005</v>
      </c>
      <c r="G60" s="228">
        <f>IFERROR(GETPIVOTDATA("Sum of qty",PT!$A$17,"product",A60,"FL/AZ","AZ"),0)</f>
        <v>46829</v>
      </c>
      <c r="H60" s="120"/>
      <c r="I60" s="89">
        <f t="shared" ref="I60" si="28">H60*G60</f>
        <v>0</v>
      </c>
      <c r="J60" s="14">
        <f>IFERROR(G60-VLOOKUP(A60,'[1]FL+AZ - RM'!$A:$I,7,0),0)</f>
        <v>37818</v>
      </c>
      <c r="K60" s="14"/>
      <c r="L60" s="157"/>
      <c r="M60" s="157"/>
      <c r="N60" s="157"/>
      <c r="O60" s="157"/>
      <c r="P60" s="157"/>
      <c r="Q60" s="157"/>
      <c r="R60" s="157"/>
      <c r="S60" s="157"/>
      <c r="T60" s="157"/>
      <c r="U60" s="157"/>
      <c r="V60" s="157"/>
      <c r="W60" s="157"/>
      <c r="X60" s="157"/>
      <c r="Y60" s="157"/>
      <c r="Z60" s="157"/>
      <c r="AA60" s="157"/>
      <c r="AB60" s="157"/>
      <c r="AC60" s="157"/>
      <c r="AD60" s="157"/>
      <c r="AE60" s="157"/>
      <c r="AF60" s="157"/>
      <c r="AG60" s="157"/>
      <c r="AH60" s="157"/>
      <c r="AI60" s="157"/>
      <c r="AJ60" s="157"/>
      <c r="AK60" s="157"/>
      <c r="AL60" s="157"/>
      <c r="AM60" s="157"/>
      <c r="AN60" s="157"/>
      <c r="AO60" s="157"/>
      <c r="AP60" s="157"/>
      <c r="AQ60" s="157"/>
      <c r="AR60" s="157"/>
      <c r="AS60" s="157"/>
      <c r="AT60" s="157"/>
      <c r="AU60" s="157"/>
      <c r="AV60" s="157"/>
      <c r="AW60" s="157"/>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c r="CA60" s="157"/>
      <c r="CB60" s="157"/>
      <c r="CC60" s="157"/>
      <c r="CD60" s="157"/>
      <c r="CE60" s="157"/>
      <c r="CF60" s="157"/>
      <c r="CG60" s="157"/>
      <c r="CH60" s="157"/>
      <c r="CI60" s="157"/>
      <c r="CJ60" s="157"/>
      <c r="CK60" s="157"/>
      <c r="CL60" s="157"/>
      <c r="CM60" s="157"/>
      <c r="CN60" s="157"/>
      <c r="CO60" s="157"/>
      <c r="CP60" s="157"/>
      <c r="CQ60" s="157"/>
      <c r="CR60" s="157"/>
    </row>
    <row r="61" spans="1:96">
      <c r="A61" s="203" t="s">
        <v>807</v>
      </c>
      <c r="B61" s="157" t="s">
        <v>808</v>
      </c>
      <c r="C61" s="228">
        <f>IFERROR(GETPIVOTDATA("Sum of qty",PT!$A$17,"product",A61,"FL/AZ","FL"),0)</f>
        <v>0</v>
      </c>
      <c r="D61" s="120">
        <v>0</v>
      </c>
      <c r="E61" s="89">
        <f t="shared" si="25"/>
        <v>0</v>
      </c>
      <c r="F61" s="280">
        <f>IFERROR(C61-VLOOKUP(A61,'[1]FL+AZ - RM'!$A:$F,3,0),0)</f>
        <v>0</v>
      </c>
      <c r="G61" s="228">
        <f>IFERROR(GETPIVOTDATA("Sum of qty",PT!$A$17,"product",A61,"FL/AZ","AZ"),0)</f>
        <v>0</v>
      </c>
      <c r="H61" s="120">
        <v>0.08</v>
      </c>
      <c r="I61" s="89">
        <f t="shared" ref="I61:I62" si="29">H61*G61</f>
        <v>0</v>
      </c>
      <c r="J61" s="14">
        <f>IFERROR(G61-VLOOKUP(A61,'[1]FL+AZ - RM'!$A:$I,7,0),0)</f>
        <v>0</v>
      </c>
      <c r="K61" s="14"/>
      <c r="L61" s="157"/>
      <c r="M61" s="157"/>
      <c r="N61" s="157"/>
      <c r="O61" s="157"/>
      <c r="P61" s="157"/>
      <c r="Q61" s="157"/>
      <c r="R61" s="157"/>
      <c r="S61" s="157"/>
      <c r="T61" s="157"/>
      <c r="U61" s="157"/>
      <c r="V61" s="157"/>
      <c r="W61" s="157"/>
      <c r="X61" s="157"/>
      <c r="Y61" s="157"/>
      <c r="Z61" s="157"/>
      <c r="AA61" s="157"/>
      <c r="AB61" s="157"/>
      <c r="AC61" s="157"/>
      <c r="AD61" s="157"/>
      <c r="AE61" s="157"/>
      <c r="AF61" s="157"/>
      <c r="AG61" s="157"/>
      <c r="AH61" s="157"/>
      <c r="AI61" s="157"/>
      <c r="AJ61" s="157"/>
      <c r="AK61" s="157"/>
      <c r="AL61" s="157"/>
      <c r="AM61" s="157"/>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c r="BR61" s="157"/>
      <c r="BS61" s="157"/>
      <c r="BT61" s="157"/>
      <c r="BU61" s="157"/>
      <c r="BV61" s="157"/>
      <c r="BW61" s="157"/>
      <c r="BX61" s="157"/>
      <c r="BY61" s="157"/>
      <c r="BZ61" s="157"/>
      <c r="CA61" s="157"/>
      <c r="CB61" s="157"/>
      <c r="CC61" s="157"/>
      <c r="CD61" s="157"/>
      <c r="CE61" s="157"/>
      <c r="CF61" s="157"/>
      <c r="CG61" s="157"/>
      <c r="CH61" s="157"/>
      <c r="CI61" s="157"/>
      <c r="CJ61" s="157"/>
      <c r="CK61" s="157"/>
      <c r="CL61" s="157"/>
      <c r="CM61" s="157"/>
      <c r="CN61" s="157"/>
      <c r="CO61" s="157"/>
      <c r="CP61" s="157"/>
      <c r="CQ61" s="157"/>
      <c r="CR61" s="157"/>
    </row>
    <row r="62" spans="1:96">
      <c r="A62" s="203" t="s">
        <v>199</v>
      </c>
      <c r="B62" s="157" t="s">
        <v>809</v>
      </c>
      <c r="C62" s="228">
        <f>IFERROR(GETPIVOTDATA("Sum of qty",PT!$A$17,"product",A62,"FL/AZ","FL"),0)</f>
        <v>48400</v>
      </c>
      <c r="D62" s="120"/>
      <c r="E62" s="89">
        <f t="shared" si="25"/>
        <v>0</v>
      </c>
      <c r="F62" s="280">
        <f>IFERROR(C62-VLOOKUP(A62,'[1]FL+AZ - RM'!$A:$F,3,0),0)</f>
        <v>-48400</v>
      </c>
      <c r="G62" s="228">
        <f>IFERROR(GETPIVOTDATA("Sum of qty",PT!$A$17,"product",A62,"FL/AZ","AZ"),0)</f>
        <v>48003</v>
      </c>
      <c r="H62" s="343">
        <v>9.5500000000000002E-2</v>
      </c>
      <c r="I62" s="89">
        <f t="shared" si="29"/>
        <v>4584.2865000000002</v>
      </c>
      <c r="J62" s="14">
        <f>IFERROR(G62-VLOOKUP(A62,'[1]FL+AZ - RM'!$A:$I,7,0),0)</f>
        <v>36032</v>
      </c>
      <c r="K62" s="14"/>
      <c r="L62" s="157"/>
      <c r="M62" s="157"/>
      <c r="N62" s="157"/>
      <c r="O62" s="157"/>
      <c r="P62" s="157"/>
      <c r="Q62" s="157"/>
      <c r="R62" s="157"/>
      <c r="S62" s="157"/>
      <c r="T62" s="157"/>
      <c r="U62" s="157"/>
      <c r="V62" s="157"/>
      <c r="W62" s="157"/>
      <c r="X62" s="157"/>
      <c r="Y62" s="157"/>
      <c r="Z62" s="157"/>
      <c r="AA62" s="157"/>
      <c r="AB62" s="157"/>
      <c r="AC62" s="157"/>
      <c r="AD62" s="157"/>
      <c r="AE62" s="157"/>
      <c r="AF62" s="157"/>
      <c r="AG62" s="157"/>
      <c r="AH62" s="157"/>
      <c r="AI62" s="157"/>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c r="CA62" s="157"/>
      <c r="CB62" s="157"/>
      <c r="CC62" s="157"/>
      <c r="CD62" s="157"/>
      <c r="CE62" s="157"/>
      <c r="CF62" s="157"/>
      <c r="CG62" s="157"/>
      <c r="CH62" s="157"/>
      <c r="CI62" s="157"/>
      <c r="CJ62" s="157"/>
      <c r="CK62" s="157"/>
      <c r="CL62" s="157"/>
      <c r="CM62" s="157"/>
      <c r="CN62" s="157"/>
      <c r="CO62" s="157"/>
      <c r="CP62" s="157"/>
      <c r="CQ62" s="157"/>
      <c r="CR62" s="157"/>
    </row>
    <row r="63" spans="1:96">
      <c r="A63" s="203" t="s">
        <v>138</v>
      </c>
      <c r="B63" s="157" t="s">
        <v>139</v>
      </c>
      <c r="C63" s="228">
        <f>IFERROR(GETPIVOTDATA("Sum of qty",PT!$A$17,"product",A63,"FL/AZ","FL"),0)</f>
        <v>296720.38</v>
      </c>
      <c r="D63" s="120"/>
      <c r="E63" s="89">
        <f t="shared" si="25"/>
        <v>0</v>
      </c>
      <c r="F63" s="280">
        <f>IFERROR(C63-VLOOKUP(A63,'[1]FL+AZ - RM'!$A:$F,3,0),0)</f>
        <v>-28109.780000000028</v>
      </c>
      <c r="G63" s="228">
        <f>IFERROR(GETPIVOTDATA("Sum of qty",PT!$A$17,"product",A63,"FL/AZ","AZ"),0)</f>
        <v>193493.8</v>
      </c>
      <c r="H63" s="120"/>
      <c r="I63" s="89">
        <f>H63*G63</f>
        <v>0</v>
      </c>
      <c r="J63" s="14">
        <f>IFERROR(G63-VLOOKUP(A63,'[1]FL+AZ - RM'!$A:$I,7,0),0)</f>
        <v>-128188.19999999995</v>
      </c>
      <c r="K63" s="14"/>
      <c r="L63" s="157"/>
      <c r="M63" s="157"/>
      <c r="N63" s="157"/>
      <c r="O63" s="157"/>
      <c r="P63" s="157"/>
      <c r="Q63" s="157"/>
      <c r="R63" s="157"/>
      <c r="S63" s="157"/>
      <c r="T63" s="157"/>
      <c r="U63" s="157"/>
      <c r="V63" s="157"/>
      <c r="W63" s="157"/>
      <c r="X63" s="157"/>
      <c r="Y63" s="157"/>
      <c r="Z63" s="157"/>
      <c r="AA63" s="157"/>
      <c r="AB63" s="157"/>
      <c r="AC63" s="157"/>
      <c r="AD63" s="157"/>
      <c r="AE63" s="157"/>
      <c r="AF63" s="157"/>
      <c r="AG63" s="157"/>
      <c r="AH63" s="157"/>
      <c r="AI63" s="157"/>
      <c r="AJ63" s="157"/>
      <c r="AK63" s="157"/>
      <c r="AL63" s="157"/>
      <c r="AM63" s="157"/>
      <c r="AN63" s="157"/>
      <c r="AO63" s="157"/>
      <c r="AP63" s="157"/>
      <c r="AQ63" s="157"/>
      <c r="AR63" s="157"/>
      <c r="AS63" s="157"/>
      <c r="AT63" s="157"/>
      <c r="AU63" s="157"/>
      <c r="AV63" s="157"/>
      <c r="AW63" s="157"/>
      <c r="AX63" s="157"/>
      <c r="AY63" s="157"/>
      <c r="AZ63" s="157"/>
      <c r="BA63" s="157"/>
      <c r="BB63" s="157"/>
      <c r="BC63" s="157"/>
      <c r="BD63" s="157"/>
      <c r="BE63" s="157"/>
      <c r="BF63" s="157"/>
      <c r="BG63" s="157"/>
      <c r="BH63" s="157"/>
      <c r="BI63" s="157"/>
      <c r="BJ63" s="157"/>
      <c r="BK63" s="157"/>
      <c r="BL63" s="157"/>
      <c r="BM63" s="157"/>
      <c r="BN63" s="157"/>
      <c r="BO63" s="157"/>
      <c r="BP63" s="157"/>
      <c r="BQ63" s="157"/>
      <c r="BR63" s="157"/>
      <c r="BS63" s="157"/>
      <c r="BT63" s="157"/>
      <c r="BU63" s="157"/>
      <c r="BV63" s="157"/>
      <c r="BW63" s="157"/>
      <c r="BX63" s="157"/>
      <c r="BY63" s="157"/>
      <c r="BZ63" s="157"/>
      <c r="CA63" s="157"/>
      <c r="CB63" s="157"/>
      <c r="CC63" s="157"/>
      <c r="CD63" s="157"/>
      <c r="CE63" s="157"/>
      <c r="CF63" s="157"/>
      <c r="CG63" s="157"/>
      <c r="CH63" s="157"/>
      <c r="CI63" s="157"/>
      <c r="CJ63" s="157"/>
      <c r="CK63" s="157"/>
      <c r="CL63" s="157"/>
      <c r="CM63" s="157"/>
      <c r="CN63" s="157"/>
      <c r="CO63" s="157"/>
      <c r="CP63" s="157"/>
      <c r="CQ63" s="157"/>
      <c r="CR63" s="157"/>
    </row>
    <row r="64" spans="1:96">
      <c r="A64" s="203" t="s">
        <v>486</v>
      </c>
      <c r="B64" s="157" t="s">
        <v>487</v>
      </c>
      <c r="C64" s="228">
        <f>IFERROR(GETPIVOTDATA("Sum of qty",PT!$A$17,"product",A64,"FL/AZ","FL"),0)</f>
        <v>1534</v>
      </c>
      <c r="D64" s="120">
        <v>0.24060000000000001</v>
      </c>
      <c r="E64" s="89">
        <f t="shared" si="25"/>
        <v>369.0804</v>
      </c>
      <c r="F64" s="280">
        <f>IFERROR(C64-VLOOKUP(A64,'[1]FL+AZ - RM'!$A:$F,3,0),0)</f>
        <v>944</v>
      </c>
      <c r="G64" s="228">
        <f>IFERROR(GETPIVOTDATA("Sum of qty",PT!$A$17,"product",A64,"FL/AZ","AZ"),0)</f>
        <v>472</v>
      </c>
      <c r="H64" s="120">
        <v>0.34499999999999997</v>
      </c>
      <c r="I64" s="89">
        <f>H64*G64</f>
        <v>162.83999999999997</v>
      </c>
      <c r="J64" s="14">
        <f>IFERROR(G64-VLOOKUP(A64,'[1]FL+AZ - RM'!$A:$I,7,0),0)</f>
        <v>-2006</v>
      </c>
      <c r="K64" s="14"/>
      <c r="L64" s="157"/>
      <c r="M64" s="157"/>
      <c r="N64" s="157"/>
      <c r="O64" s="157"/>
      <c r="P64" s="157"/>
      <c r="Q64" s="157"/>
      <c r="R64" s="157"/>
      <c r="S64" s="157"/>
      <c r="T64" s="157"/>
      <c r="U64" s="157"/>
      <c r="V64" s="157"/>
      <c r="W64" s="157"/>
      <c r="X64" s="157"/>
      <c r="Y64" s="157"/>
      <c r="Z64" s="157"/>
      <c r="AA64" s="157"/>
      <c r="AB64" s="157"/>
      <c r="AC64" s="157"/>
      <c r="AD64" s="157"/>
      <c r="AE64" s="157"/>
      <c r="AF64" s="157"/>
      <c r="AG64" s="157"/>
      <c r="AH64" s="157"/>
      <c r="AI64" s="157"/>
      <c r="AJ64" s="157"/>
      <c r="AK64" s="157"/>
      <c r="AL64" s="157"/>
      <c r="AM64" s="157"/>
      <c r="AN64" s="157"/>
      <c r="AO64" s="157"/>
      <c r="AP64" s="157"/>
      <c r="AQ64" s="157"/>
      <c r="AR64" s="157"/>
      <c r="AS64" s="157"/>
      <c r="AT64" s="157"/>
      <c r="AU64" s="157"/>
      <c r="AV64" s="157"/>
      <c r="AW64" s="157"/>
      <c r="AX64" s="157"/>
      <c r="AY64" s="157"/>
      <c r="AZ64" s="157"/>
      <c r="BA64" s="157"/>
      <c r="BB64" s="157"/>
      <c r="BC64" s="157"/>
      <c r="BD64" s="157"/>
      <c r="BE64" s="157"/>
      <c r="BF64" s="157"/>
      <c r="BG64" s="157"/>
      <c r="BH64" s="157"/>
      <c r="BI64" s="157"/>
      <c r="BJ64" s="157"/>
      <c r="BK64" s="157"/>
      <c r="BL64" s="157"/>
      <c r="BM64" s="157"/>
      <c r="BN64" s="157"/>
      <c r="BO64" s="157"/>
      <c r="BP64" s="157"/>
      <c r="BQ64" s="157"/>
      <c r="BR64" s="157"/>
      <c r="BS64" s="157"/>
      <c r="BT64" s="157"/>
      <c r="BU64" s="157"/>
      <c r="BV64" s="157"/>
      <c r="BW64" s="157"/>
      <c r="BX64" s="157"/>
      <c r="BY64" s="157"/>
      <c r="BZ64" s="157"/>
      <c r="CA64" s="157"/>
      <c r="CB64" s="157"/>
      <c r="CC64" s="157"/>
      <c r="CD64" s="157"/>
      <c r="CE64" s="157"/>
      <c r="CF64" s="157"/>
      <c r="CG64" s="157"/>
      <c r="CH64" s="157"/>
      <c r="CI64" s="157"/>
      <c r="CJ64" s="157"/>
      <c r="CK64" s="157"/>
      <c r="CL64" s="157"/>
      <c r="CM64" s="157"/>
      <c r="CN64" s="157"/>
      <c r="CO64" s="157"/>
      <c r="CP64" s="157"/>
      <c r="CQ64" s="157"/>
      <c r="CR64" s="157"/>
    </row>
    <row r="65" spans="1:96">
      <c r="A65" s="279" t="s">
        <v>217</v>
      </c>
      <c r="B65" s="157" t="s">
        <v>218</v>
      </c>
      <c r="C65" s="228">
        <f>IFERROR(GETPIVOTDATA("Sum of qty",PT!$A$17,"product",A65,"FL/AZ","FL"),0)</f>
        <v>77</v>
      </c>
      <c r="D65" s="120">
        <v>0.96089999999999998</v>
      </c>
      <c r="E65" s="89">
        <f t="shared" ref="E65" si="30">D65*C65</f>
        <v>73.9893</v>
      </c>
      <c r="F65" s="280">
        <f>IFERROR(C65-VLOOKUP(A65,'[1]FL+AZ - RM'!$A:$F,3,0),0)</f>
        <v>11</v>
      </c>
      <c r="G65" s="228">
        <f>IFERROR(GETPIVOTDATA("Sum of qty",PT!$A$17,"product",A65,"FL/AZ","AZ"),0)</f>
        <v>42.1</v>
      </c>
      <c r="H65" s="120">
        <v>0.97226999999999997</v>
      </c>
      <c r="I65" s="89">
        <f t="shared" ref="I65" si="31">H65*G65</f>
        <v>40.932566999999999</v>
      </c>
      <c r="J65" s="14">
        <f>IFERROR(G65-VLOOKUP(A65,'[1]FL+AZ - RM'!$A:$I,7,0),0)</f>
        <v>11.100000000000001</v>
      </c>
      <c r="K65" s="14"/>
      <c r="L65" s="157"/>
      <c r="M65" s="157"/>
      <c r="N65" s="157"/>
      <c r="O65" s="157"/>
      <c r="P65" s="157"/>
      <c r="Q65" s="157"/>
      <c r="R65" s="157"/>
      <c r="S65" s="157"/>
      <c r="T65" s="157"/>
      <c r="U65" s="157"/>
      <c r="V65" s="157"/>
      <c r="W65" s="157"/>
      <c r="X65" s="157"/>
      <c r="Y65" s="157"/>
      <c r="Z65" s="157"/>
      <c r="AA65" s="157"/>
      <c r="AB65" s="157"/>
      <c r="AC65" s="157"/>
      <c r="AD65" s="157"/>
      <c r="AE65" s="157"/>
      <c r="AF65" s="157"/>
      <c r="AG65" s="157"/>
      <c r="AH65" s="157"/>
      <c r="AI65" s="157"/>
      <c r="AJ65" s="157"/>
      <c r="AK65" s="157"/>
      <c r="AL65" s="157"/>
      <c r="AM65" s="157"/>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c r="CG65" s="157"/>
      <c r="CH65" s="157"/>
      <c r="CI65" s="157"/>
      <c r="CJ65" s="157"/>
      <c r="CK65" s="157"/>
      <c r="CL65" s="157"/>
      <c r="CM65" s="157"/>
      <c r="CN65" s="157"/>
      <c r="CO65" s="157"/>
      <c r="CP65" s="157"/>
      <c r="CQ65" s="157"/>
      <c r="CR65" s="157"/>
    </row>
    <row r="66" spans="1:96" ht="13.5" thickBot="1">
      <c r="A66"/>
      <c r="B66"/>
      <c r="C66"/>
      <c r="D66"/>
      <c r="E66" s="282"/>
      <c r="F66" s="6"/>
      <c r="G66" s="282"/>
      <c r="H66" s="282" t="s">
        <v>2921</v>
      </c>
      <c r="I66" s="282"/>
      <c r="J66" s="157"/>
      <c r="K66" s="157"/>
      <c r="L66" s="157"/>
      <c r="M66" s="157"/>
      <c r="N66" s="157"/>
      <c r="O66" s="157"/>
      <c r="P66" s="157"/>
      <c r="Q66" s="157"/>
      <c r="R66" s="157"/>
      <c r="S66" s="157"/>
      <c r="T66" s="157"/>
      <c r="U66" s="157"/>
      <c r="V66" s="157"/>
      <c r="W66" s="157"/>
      <c r="X66" s="157"/>
      <c r="Y66" s="157"/>
      <c r="Z66" s="157"/>
      <c r="AA66" s="157"/>
      <c r="AB66" s="157"/>
      <c r="AC66" s="157"/>
      <c r="AD66" s="157"/>
      <c r="AE66" s="157"/>
      <c r="AF66" s="157"/>
      <c r="AG66" s="157"/>
      <c r="AH66" s="157"/>
      <c r="AI66" s="157"/>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c r="CM66" s="157"/>
      <c r="CN66" s="157"/>
      <c r="CO66" s="157"/>
      <c r="CP66" s="157"/>
      <c r="CQ66" s="157"/>
      <c r="CR66" s="157"/>
    </row>
    <row r="67" spans="1:96" ht="13.5" thickBot="1">
      <c r="A67"/>
      <c r="B67" s="85" t="s">
        <v>810</v>
      </c>
      <c r="C67" s="157"/>
      <c r="D67" s="249">
        <f>Detail!C3</f>
        <v>45869</v>
      </c>
      <c r="E67" s="207">
        <f>SUM(E8:E66)</f>
        <v>14013.956700000001</v>
      </c>
      <c r="F67" s="166"/>
      <c r="G67" s="11"/>
      <c r="H67" s="11"/>
      <c r="I67" s="207">
        <f>SUM(I8:I66)</f>
        <v>19149.813789737585</v>
      </c>
      <c r="J67" s="166"/>
      <c r="K67" s="166"/>
      <c r="L67" s="157"/>
      <c r="M67" s="157"/>
      <c r="N67" s="157"/>
      <c r="O67" s="157"/>
      <c r="P67" s="157"/>
      <c r="Q67" s="157"/>
      <c r="R67" s="157"/>
      <c r="S67" s="157"/>
      <c r="T67" s="157"/>
      <c r="U67" s="157"/>
      <c r="V67" s="157"/>
      <c r="W67" s="157"/>
      <c r="X67" s="157"/>
      <c r="Y67" s="157"/>
      <c r="Z67" s="157"/>
      <c r="AA67" s="157"/>
      <c r="AB67" s="157"/>
      <c r="AC67" s="157"/>
      <c r="AD67" s="157"/>
      <c r="AE67" s="157"/>
      <c r="AF67" s="157"/>
      <c r="AG67" s="157"/>
      <c r="AH67" s="157"/>
      <c r="AI67" s="157"/>
      <c r="AJ67" s="157"/>
      <c r="AK67" s="157"/>
      <c r="AL67" s="157"/>
      <c r="AM67" s="157"/>
      <c r="AN67" s="157"/>
      <c r="AO67" s="157"/>
      <c r="AP67" s="157"/>
      <c r="AQ67" s="157"/>
      <c r="AR67" s="157"/>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c r="CA67" s="157"/>
      <c r="CB67" s="157"/>
      <c r="CC67" s="157"/>
      <c r="CD67" s="157"/>
      <c r="CE67" s="157"/>
      <c r="CF67" s="157"/>
      <c r="CG67" s="157"/>
      <c r="CH67" s="157"/>
      <c r="CI67" s="157"/>
      <c r="CJ67" s="157"/>
      <c r="CK67" s="157"/>
      <c r="CL67" s="157"/>
      <c r="CM67" s="157"/>
      <c r="CN67" s="157"/>
      <c r="CO67" s="157"/>
      <c r="CP67" s="157"/>
      <c r="CQ67" s="157"/>
      <c r="CR67" s="157"/>
    </row>
    <row r="68" spans="1:96">
      <c r="A68"/>
      <c r="B68" s="15"/>
      <c r="C68" s="14"/>
      <c r="D68" s="249">
        <f>Detail!C2</f>
        <v>45838</v>
      </c>
      <c r="E68" s="117">
        <v>13643.772719999997</v>
      </c>
      <c r="F68" s="166"/>
      <c r="G68" s="11"/>
      <c r="H68" s="11"/>
      <c r="I68" s="117">
        <v>22683.620158585862</v>
      </c>
      <c r="J68" s="157"/>
      <c r="K68" s="157"/>
      <c r="L68" s="157"/>
      <c r="M68" s="157"/>
      <c r="N68" s="157"/>
      <c r="O68" s="157"/>
      <c r="P68" s="157"/>
      <c r="Q68" s="157"/>
      <c r="R68" s="157"/>
      <c r="S68" s="157"/>
      <c r="T68" s="157"/>
      <c r="U68" s="157"/>
      <c r="V68" s="157"/>
      <c r="W68" s="157"/>
      <c r="X68" s="157"/>
      <c r="Y68" s="157"/>
      <c r="Z68" s="157"/>
      <c r="AA68" s="157"/>
      <c r="AB68" s="157"/>
      <c r="AC68" s="157"/>
      <c r="AD68" s="157"/>
      <c r="AE68" s="157"/>
      <c r="AF68" s="157"/>
      <c r="AG68" s="157"/>
      <c r="AH68" s="157"/>
      <c r="AI68" s="157"/>
      <c r="AJ68" s="157"/>
      <c r="AK68" s="157"/>
      <c r="AL68" s="157"/>
      <c r="AM68" s="157"/>
      <c r="AN68" s="157"/>
      <c r="AO68" s="157"/>
      <c r="AP68" s="157"/>
      <c r="AQ68" s="157"/>
      <c r="AR68" s="157"/>
      <c r="AS68" s="157"/>
      <c r="AT68" s="157"/>
      <c r="AU68" s="157"/>
      <c r="AV68" s="157"/>
      <c r="AW68" s="157"/>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c r="BU68" s="157"/>
      <c r="BV68" s="157"/>
      <c r="BW68" s="157"/>
      <c r="BX68" s="157"/>
      <c r="BY68" s="157"/>
      <c r="BZ68" s="157"/>
      <c r="CA68" s="157"/>
      <c r="CB68" s="157"/>
      <c r="CC68" s="157"/>
      <c r="CD68" s="157"/>
      <c r="CE68" s="157"/>
      <c r="CF68" s="157"/>
      <c r="CG68" s="157"/>
      <c r="CH68" s="157"/>
      <c r="CI68" s="157"/>
      <c r="CJ68" s="157"/>
      <c r="CK68" s="157"/>
      <c r="CL68" s="157"/>
      <c r="CM68" s="157"/>
      <c r="CN68" s="157"/>
      <c r="CO68" s="157"/>
      <c r="CP68" s="157"/>
      <c r="CQ68" s="157"/>
      <c r="CR68" s="157"/>
    </row>
    <row r="69" spans="1:96">
      <c r="A69" s="157"/>
      <c r="B69" s="157"/>
      <c r="C69" s="157"/>
      <c r="D69" s="157" t="s">
        <v>811</v>
      </c>
      <c r="E69" s="278">
        <f>E67-E68</f>
        <v>370.18398000000343</v>
      </c>
      <c r="F69" s="157" t="s">
        <v>2924</v>
      </c>
      <c r="G69" s="157"/>
      <c r="H69" s="157"/>
      <c r="I69" s="278">
        <f>I67-I68</f>
        <v>-3533.8063688482762</v>
      </c>
      <c r="J69" s="157"/>
      <c r="K69" s="157"/>
      <c r="L69" s="157"/>
      <c r="M69" s="157"/>
      <c r="N69" s="157"/>
      <c r="O69" s="157"/>
      <c r="P69" s="157"/>
      <c r="Q69" s="157"/>
      <c r="R69" s="157"/>
      <c r="S69" s="157"/>
      <c r="T69" s="157"/>
      <c r="U69" s="157"/>
      <c r="V69" s="157"/>
      <c r="W69" s="157"/>
      <c r="X69" s="157"/>
      <c r="Y69" s="157"/>
      <c r="Z69" s="157"/>
      <c r="AA69" s="157"/>
      <c r="AB69" s="157"/>
      <c r="AC69" s="157"/>
      <c r="AD69" s="157"/>
      <c r="AE69" s="157"/>
      <c r="AF69" s="157"/>
      <c r="AG69" s="157"/>
      <c r="AH69" s="157"/>
      <c r="AI69" s="157"/>
      <c r="AJ69" s="157"/>
      <c r="AK69" s="157"/>
      <c r="AL69" s="157"/>
      <c r="AM69" s="157"/>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57"/>
      <c r="BK69" s="157"/>
      <c r="BL69" s="157"/>
      <c r="BM69" s="157"/>
      <c r="BN69" s="157"/>
      <c r="BO69" s="157"/>
      <c r="BP69" s="157"/>
      <c r="BQ69" s="157"/>
      <c r="BR69" s="157"/>
      <c r="BS69" s="157"/>
      <c r="BT69" s="157"/>
      <c r="BU69" s="157"/>
      <c r="BV69" s="157"/>
      <c r="BW69" s="157"/>
      <c r="BX69" s="157"/>
      <c r="BY69" s="157"/>
      <c r="BZ69" s="157"/>
      <c r="CA69" s="157"/>
      <c r="CB69" s="157"/>
      <c r="CC69" s="157"/>
      <c r="CD69" s="157"/>
      <c r="CE69" s="157"/>
      <c r="CF69" s="157"/>
      <c r="CG69" s="157"/>
      <c r="CH69" s="157"/>
      <c r="CI69" s="157"/>
      <c r="CJ69" s="157"/>
      <c r="CK69" s="157"/>
      <c r="CL69" s="157"/>
      <c r="CM69" s="157"/>
      <c r="CN69" s="157"/>
      <c r="CO69" s="157"/>
      <c r="CP69" s="157"/>
      <c r="CQ69" s="157"/>
      <c r="CR69" s="157"/>
    </row>
    <row r="70" spans="1:96">
      <c r="A70" s="157"/>
      <c r="B70" s="157"/>
      <c r="C70" s="157"/>
      <c r="D70" s="15"/>
      <c r="E70" s="157"/>
      <c r="F70" s="157"/>
      <c r="G70" s="275"/>
      <c r="H70" s="157"/>
      <c r="I70" s="157"/>
      <c r="J70" s="157" t="s">
        <v>2922</v>
      </c>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57"/>
      <c r="AI70" s="157"/>
      <c r="AJ70" s="157"/>
      <c r="AK70" s="157"/>
      <c r="AL70" s="157"/>
      <c r="AM70" s="157"/>
      <c r="AN70" s="157"/>
      <c r="AO70" s="157"/>
      <c r="AP70" s="157"/>
      <c r="AQ70" s="157"/>
      <c r="AR70" s="157"/>
      <c r="AS70" s="157"/>
      <c r="AT70" s="157"/>
      <c r="AU70" s="157"/>
      <c r="AV70" s="157"/>
      <c r="AW70" s="157"/>
      <c r="AX70" s="157"/>
      <c r="AY70" s="157"/>
      <c r="AZ70" s="157"/>
      <c r="BA70" s="157"/>
      <c r="BB70" s="157"/>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c r="CA70" s="157"/>
      <c r="CB70" s="157"/>
      <c r="CC70" s="157"/>
      <c r="CD70" s="157"/>
      <c r="CE70" s="157"/>
      <c r="CF70" s="157"/>
      <c r="CG70" s="157"/>
      <c r="CH70" s="157"/>
      <c r="CI70" s="157"/>
      <c r="CJ70" s="157"/>
      <c r="CK70" s="157"/>
      <c r="CL70" s="157"/>
      <c r="CM70" s="157"/>
      <c r="CN70" s="157"/>
      <c r="CO70" s="157"/>
      <c r="CP70" s="157"/>
      <c r="CQ70" s="157"/>
      <c r="CR70" s="157"/>
    </row>
    <row r="71" spans="1:96">
      <c r="A71" s="157"/>
      <c r="B71" s="157"/>
      <c r="C71" s="157"/>
      <c r="D71" s="157"/>
      <c r="E71" s="15"/>
      <c r="F71" s="157"/>
      <c r="G71" s="157"/>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7"/>
      <c r="AF71" s="157"/>
      <c r="AG71" s="157"/>
      <c r="AH71" s="157"/>
      <c r="AI71" s="157"/>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c r="CK71" s="157"/>
      <c r="CL71" s="157"/>
      <c r="CM71" s="157"/>
      <c r="CN71" s="157"/>
      <c r="CO71" s="157"/>
      <c r="CP71" s="157"/>
      <c r="CQ71" s="157"/>
      <c r="CR71" s="157"/>
    </row>
    <row r="72" spans="1:96">
      <c r="A72" s="157"/>
      <c r="B72" s="85" t="s">
        <v>812</v>
      </c>
      <c r="C72" s="157"/>
      <c r="D72" s="157"/>
      <c r="E72" s="157"/>
      <c r="F72" s="157"/>
      <c r="G72" s="157"/>
      <c r="H72" s="157"/>
      <c r="I72" s="157"/>
      <c r="J72" s="157"/>
      <c r="K72" s="157"/>
      <c r="L72" s="157"/>
      <c r="M72" s="157"/>
      <c r="N72" s="157"/>
      <c r="O72" s="157"/>
      <c r="P72" s="157"/>
      <c r="Q72" s="157"/>
      <c r="R72" s="157"/>
      <c r="S72" s="157"/>
      <c r="T72" s="157"/>
      <c r="U72" s="157"/>
      <c r="V72" s="157"/>
      <c r="W72" s="157"/>
      <c r="X72" s="157"/>
      <c r="Y72" s="157"/>
      <c r="Z72" s="157"/>
      <c r="AA72" s="157"/>
      <c r="AB72" s="157"/>
      <c r="AC72" s="157"/>
      <c r="AD72" s="157"/>
      <c r="AE72" s="157"/>
      <c r="AF72" s="157"/>
      <c r="AG72" s="157"/>
      <c r="AH72" s="157"/>
      <c r="AI72" s="157"/>
      <c r="AJ72" s="157"/>
      <c r="AK72" s="157"/>
      <c r="AL72" s="157"/>
      <c r="AM72" s="157"/>
      <c r="AN72" s="157"/>
      <c r="AO72" s="157"/>
      <c r="AP72" s="157"/>
      <c r="AQ72" s="157"/>
      <c r="AR72" s="157"/>
      <c r="AS72" s="157"/>
      <c r="AT72" s="157"/>
      <c r="AU72" s="157"/>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c r="CA72" s="157"/>
      <c r="CB72" s="157"/>
      <c r="CC72" s="157"/>
      <c r="CD72" s="157"/>
      <c r="CE72" s="157"/>
      <c r="CF72" s="157"/>
      <c r="CG72" s="157"/>
      <c r="CH72" s="157"/>
      <c r="CI72" s="157"/>
      <c r="CJ72" s="157"/>
      <c r="CK72" s="157"/>
      <c r="CL72" s="157"/>
      <c r="CM72" s="157"/>
      <c r="CN72" s="157"/>
      <c r="CO72" s="157"/>
      <c r="CP72" s="157"/>
      <c r="CQ72" s="157"/>
      <c r="CR72" s="157"/>
    </row>
    <row r="73" spans="1:96" ht="13.5" thickBot="1">
      <c r="A73" s="157"/>
      <c r="B73" s="157" t="s">
        <v>813</v>
      </c>
      <c r="C73" s="157">
        <f>(19.95*2+16.8+12.08+11.25)/(4*400)</f>
        <v>5.0018750000000001E-2</v>
      </c>
      <c r="D73" s="276"/>
      <c r="E73" s="157"/>
      <c r="F73" s="157"/>
      <c r="G73" s="283">
        <f>'[2]Alameda Capitalization'!$M$455</f>
        <v>1.9077685263846653E-2</v>
      </c>
      <c r="H73" s="276"/>
      <c r="I73" s="157"/>
      <c r="K73" s="157"/>
      <c r="L73" s="157"/>
      <c r="M73" s="157"/>
      <c r="N73" s="157"/>
      <c r="O73" s="157"/>
      <c r="P73" s="157"/>
      <c r="Q73" s="157"/>
      <c r="R73" s="157"/>
      <c r="S73" s="157"/>
      <c r="T73" s="157"/>
      <c r="U73" s="157"/>
      <c r="V73" s="157"/>
      <c r="W73" s="157"/>
      <c r="X73" s="157"/>
      <c r="Y73" s="157"/>
      <c r="Z73" s="157"/>
      <c r="AA73" s="157"/>
      <c r="AB73" s="157"/>
      <c r="AC73" s="157"/>
      <c r="AD73" s="157"/>
      <c r="AE73" s="157"/>
      <c r="AF73" s="157"/>
      <c r="AG73" s="157"/>
      <c r="AH73" s="157"/>
      <c r="AI73" s="157"/>
      <c r="AJ73" s="157"/>
      <c r="AK73" s="157"/>
      <c r="AL73" s="157"/>
      <c r="AM73" s="157"/>
      <c r="AN73" s="157"/>
      <c r="AO73" s="157"/>
      <c r="AP73" s="157"/>
      <c r="AQ73" s="157"/>
      <c r="AR73" s="157"/>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c r="CA73" s="157"/>
      <c r="CB73" s="157"/>
      <c r="CC73" s="157"/>
      <c r="CD73" s="157"/>
      <c r="CE73" s="157"/>
      <c r="CF73" s="157"/>
      <c r="CG73" s="157"/>
      <c r="CH73" s="157"/>
      <c r="CI73" s="157"/>
      <c r="CJ73" s="157"/>
      <c r="CK73" s="157"/>
      <c r="CL73" s="157"/>
      <c r="CM73" s="157"/>
      <c r="CN73" s="157"/>
      <c r="CO73" s="157"/>
      <c r="CP73" s="157"/>
      <c r="CQ73" s="157"/>
      <c r="CR73" s="157"/>
    </row>
    <row r="74" spans="1:96" ht="13.5" thickBot="1">
      <c r="A74" s="157"/>
      <c r="B74" s="157" t="s">
        <v>814</v>
      </c>
      <c r="C74" s="207">
        <f>C73*SUM(C8:C53)</f>
        <v>70904.8658574375</v>
      </c>
      <c r="D74" s="156">
        <f t="shared" ref="D74:D75" si="32">D67</f>
        <v>45869</v>
      </c>
      <c r="E74" s="157"/>
      <c r="F74" s="157"/>
      <c r="G74" s="207">
        <f>G73*SUM(G8:G53)</f>
        <v>1626.5252902250379</v>
      </c>
      <c r="H74" s="156">
        <f t="shared" ref="H74:H75" si="33">D67</f>
        <v>45869</v>
      </c>
      <c r="I74" s="157"/>
      <c r="J74" s="157"/>
      <c r="K74" s="157"/>
      <c r="L74" s="157"/>
      <c r="M74" s="157"/>
      <c r="N74" s="157"/>
      <c r="O74" s="157"/>
      <c r="P74" s="157"/>
      <c r="Q74" s="157"/>
      <c r="R74" s="157"/>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c r="AT74" s="157"/>
      <c r="AU74" s="157"/>
      <c r="AV74" s="157"/>
      <c r="AW74" s="157"/>
      <c r="AX74" s="157"/>
      <c r="AY74" s="157"/>
      <c r="AZ74" s="157"/>
      <c r="BA74" s="157"/>
      <c r="BB74" s="157"/>
      <c r="BC74" s="157"/>
      <c r="BD74" s="157"/>
      <c r="BE74" s="157"/>
      <c r="BF74" s="157"/>
      <c r="BG74" s="157"/>
      <c r="BH74" s="157"/>
      <c r="BI74" s="157"/>
      <c r="BJ74" s="157"/>
      <c r="BK74" s="157"/>
      <c r="BL74" s="157"/>
      <c r="BM74" s="157"/>
      <c r="BN74" s="157"/>
      <c r="BO74" s="157"/>
      <c r="BP74" s="157"/>
      <c r="BQ74" s="157"/>
      <c r="BR74" s="157"/>
      <c r="BS74" s="157"/>
      <c r="BT74" s="157"/>
      <c r="BU74" s="157"/>
      <c r="BV74" s="157"/>
      <c r="BW74" s="157"/>
      <c r="BX74" s="157"/>
      <c r="BY74" s="157"/>
      <c r="BZ74" s="157"/>
      <c r="CA74" s="157"/>
      <c r="CB74" s="157"/>
      <c r="CC74" s="157"/>
      <c r="CD74" s="157"/>
      <c r="CE74" s="157"/>
      <c r="CF74" s="157"/>
      <c r="CG74" s="157"/>
      <c r="CH74" s="157"/>
      <c r="CI74" s="157"/>
      <c r="CJ74" s="157"/>
      <c r="CK74" s="157"/>
      <c r="CL74" s="157"/>
      <c r="CM74" s="157"/>
      <c r="CN74" s="157"/>
      <c r="CO74" s="157"/>
      <c r="CP74" s="157"/>
      <c r="CQ74" s="157"/>
      <c r="CR74" s="157"/>
    </row>
    <row r="75" spans="1:96">
      <c r="A75" s="157"/>
      <c r="B75" s="157"/>
      <c r="C75" s="117">
        <v>75149.515504374998</v>
      </c>
      <c r="D75" s="156">
        <f t="shared" si="32"/>
        <v>45838</v>
      </c>
      <c r="E75" s="157"/>
      <c r="F75" s="157"/>
      <c r="G75" s="117">
        <v>2081.0511416361846</v>
      </c>
      <c r="H75" s="156">
        <f t="shared" si="33"/>
        <v>45838</v>
      </c>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c r="CM75" s="157"/>
      <c r="CN75" s="157"/>
      <c r="CO75" s="157"/>
      <c r="CP75" s="157"/>
      <c r="CQ75" s="157"/>
      <c r="CR75" s="157"/>
    </row>
    <row r="76" spans="1:96">
      <c r="A76" s="157"/>
      <c r="B76" s="157"/>
      <c r="C76" s="278">
        <f>C74-C75</f>
        <v>-4244.6496469374979</v>
      </c>
      <c r="D76" s="157"/>
      <c r="E76" s="157" t="s">
        <v>2923</v>
      </c>
      <c r="F76" s="157"/>
      <c r="G76" s="278">
        <f>G74-G75</f>
        <v>-454.52585141114673</v>
      </c>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c r="CM76" s="157"/>
      <c r="CN76" s="157"/>
      <c r="CO76" s="157"/>
      <c r="CP76" s="157"/>
      <c r="CQ76" s="157"/>
      <c r="CR76" s="157"/>
    </row>
    <row r="78" spans="1:96">
      <c r="A78" s="157"/>
      <c r="B78" s="157" t="s">
        <v>2802</v>
      </c>
      <c r="C78" s="15">
        <f>(19.95*2+16.8+12.08+11.25)/(4*400)</f>
        <v>5.0018750000000001E-2</v>
      </c>
      <c r="D78" s="157"/>
      <c r="E78" s="157"/>
      <c r="F78" s="157"/>
      <c r="G78" s="392">
        <f>'[2]Alameda Capitalization'!$M$455</f>
        <v>1.9077685263846653E-2</v>
      </c>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c r="AF78" s="157"/>
      <c r="AG78" s="157"/>
      <c r="AH78" s="157"/>
      <c r="AI78" s="157"/>
      <c r="AJ78" s="157"/>
      <c r="AK78" s="157"/>
      <c r="AL78" s="157"/>
      <c r="AM78" s="157"/>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c r="CM78" s="157"/>
      <c r="CN78" s="157"/>
      <c r="CO78" s="157"/>
      <c r="CP78" s="157"/>
      <c r="CQ78" s="157"/>
      <c r="CR78" s="157"/>
    </row>
    <row r="80" spans="1:96">
      <c r="C80"/>
      <c r="D80"/>
      <c r="E80"/>
      <c r="F80"/>
      <c r="G80"/>
      <c r="H80"/>
      <c r="I80"/>
      <c r="J80"/>
    </row>
  </sheetData>
  <sortState xmlns:xlrd2="http://schemas.microsoft.com/office/spreadsheetml/2017/richdata2" ref="A8:A70">
    <sortCondition ref="A8"/>
  </sortState>
  <mergeCells count="5">
    <mergeCell ref="A1:F1"/>
    <mergeCell ref="A2:E2"/>
    <mergeCell ref="C5:E5"/>
    <mergeCell ref="G5:I5"/>
    <mergeCell ref="A3:F3"/>
  </mergeCells>
  <pageMargins left="0.27" right="0.28999999999999998" top="0.5" bottom="0.5" header="0.5" footer="0.5"/>
  <pageSetup scale="67"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0"/>
    <pageSetUpPr fitToPage="1"/>
  </sheetPr>
  <dimension ref="A1:P284"/>
  <sheetViews>
    <sheetView workbookViewId="0">
      <pane xSplit="2" ySplit="6" topLeftCell="C79" activePane="bottomRight" state="frozen"/>
      <selection pane="topRight" activeCell="C1" sqref="C1"/>
      <selection pane="bottomLeft" activeCell="A7" sqref="A7"/>
      <selection pane="bottomRight" activeCell="G97" sqref="G97"/>
    </sheetView>
  </sheetViews>
  <sheetFormatPr defaultColWidth="9.140625" defaultRowHeight="12.75"/>
  <cols>
    <col min="1" max="1" width="6.85546875" bestFit="1" customWidth="1"/>
    <col min="2" max="2" width="46.7109375" customWidth="1"/>
    <col min="3" max="3" width="15.42578125" style="49" customWidth="1"/>
    <col min="4" max="4" width="16.140625" bestFit="1" customWidth="1"/>
    <col min="5" max="5" width="17" bestFit="1" customWidth="1"/>
    <col min="6" max="6" width="18.7109375" bestFit="1" customWidth="1"/>
    <col min="7" max="7" width="16.7109375" customWidth="1"/>
    <col min="8" max="8" width="17.140625" style="18" customWidth="1"/>
    <col min="9" max="9" width="19.5703125" bestFit="1" customWidth="1"/>
    <col min="10" max="10" width="12" style="81" bestFit="1" customWidth="1"/>
    <col min="11" max="11" width="13.140625" bestFit="1" customWidth="1"/>
    <col min="12" max="12" width="12.140625" style="2" bestFit="1" customWidth="1"/>
    <col min="13" max="13" width="11.42578125" style="2" customWidth="1"/>
    <col min="14" max="14" width="12.28515625" style="2" customWidth="1"/>
    <col min="15" max="16" width="11.28515625" style="2" bestFit="1" customWidth="1"/>
  </cols>
  <sheetData>
    <row r="1" spans="1:14">
      <c r="A1" s="435" t="s">
        <v>815</v>
      </c>
      <c r="B1" s="435"/>
      <c r="C1" s="435"/>
      <c r="D1" s="435"/>
      <c r="E1" s="435"/>
      <c r="F1" s="435"/>
    </row>
    <row r="2" spans="1:14">
      <c r="A2" s="435" t="s">
        <v>816</v>
      </c>
      <c r="B2" s="435"/>
      <c r="C2" s="435"/>
      <c r="D2" s="435"/>
      <c r="E2" s="435"/>
      <c r="F2" s="435"/>
    </row>
    <row r="3" spans="1:14">
      <c r="A3" s="435" t="str">
        <f>'FL+AZ - RM'!A3</f>
        <v>As of July 31st 2025</v>
      </c>
      <c r="B3" s="435"/>
      <c r="C3" s="435"/>
      <c r="D3" s="435"/>
      <c r="E3" s="435"/>
      <c r="F3" s="435"/>
    </row>
    <row r="4" spans="1:14">
      <c r="C4" s="157"/>
      <c r="F4" s="1"/>
    </row>
    <row r="5" spans="1:14">
      <c r="C5" s="5" t="s">
        <v>734</v>
      </c>
      <c r="D5" s="5" t="s">
        <v>817</v>
      </c>
      <c r="E5" s="5" t="s">
        <v>818</v>
      </c>
      <c r="F5" s="20" t="s">
        <v>818</v>
      </c>
      <c r="G5" s="5" t="s">
        <v>819</v>
      </c>
      <c r="H5" s="74" t="s">
        <v>819</v>
      </c>
      <c r="I5" s="79" t="s">
        <v>812</v>
      </c>
      <c r="J5" s="82" t="s">
        <v>812</v>
      </c>
      <c r="K5" t="s">
        <v>820</v>
      </c>
    </row>
    <row r="6" spans="1:14" ht="13.5" thickBot="1">
      <c r="C6" s="7"/>
      <c r="D6" s="7"/>
      <c r="E6" s="7" t="s">
        <v>821</v>
      </c>
      <c r="F6" s="21" t="s">
        <v>822</v>
      </c>
      <c r="G6" s="7" t="s">
        <v>823</v>
      </c>
      <c r="H6" s="75" t="s">
        <v>9</v>
      </c>
      <c r="I6" s="80" t="s">
        <v>824</v>
      </c>
      <c r="J6" s="83" t="s">
        <v>822</v>
      </c>
      <c r="L6" s="2" t="s">
        <v>825</v>
      </c>
    </row>
    <row r="7" spans="1:14">
      <c r="C7" s="157"/>
      <c r="F7" s="1"/>
      <c r="G7">
        <f>IFERROR(VLOOKUP(ROUND(A7,0),'[3]Alameda Capitalization'!$A$7:$N$289,14,0),0)</f>
        <v>0</v>
      </c>
    </row>
    <row r="8" spans="1:14">
      <c r="A8" s="157" t="s">
        <v>826</v>
      </c>
      <c r="B8" s="157" t="s">
        <v>827</v>
      </c>
      <c r="C8" s="228">
        <f>IFERROR(GETPIVOTDATA("Sum of qty",PT!$A$17,"product",A8,"FL/AZ","AZ"),0)</f>
        <v>0</v>
      </c>
      <c r="D8" s="2">
        <f>C8</f>
        <v>0</v>
      </c>
      <c r="E8" s="117"/>
      <c r="F8" s="1">
        <f t="shared" ref="F8:F53" si="0">D8*E8</f>
        <v>0</v>
      </c>
      <c r="G8" s="117"/>
      <c r="H8" s="18">
        <f t="shared" ref="H8:H53" si="1">D8*G8</f>
        <v>0</v>
      </c>
      <c r="I8" s="117">
        <f>IFERROR(VLOOKUP(A8,'[2]Alameda Capitalization'!$A:$M,13,0),0)</f>
        <v>0</v>
      </c>
      <c r="J8" s="81">
        <f>C8*I8</f>
        <v>0</v>
      </c>
      <c r="K8" t="s">
        <v>828</v>
      </c>
      <c r="L8" s="2">
        <f>D8-IFERROR(VLOOKUP(A8,'[1]AZ WIP'!$A:$F,4,0),0)</f>
        <v>0</v>
      </c>
    </row>
    <row r="9" spans="1:14">
      <c r="A9" s="157" t="s">
        <v>829</v>
      </c>
      <c r="B9" s="22" t="s">
        <v>830</v>
      </c>
      <c r="C9" s="228">
        <f>IFERROR(GETPIVOTDATA("Sum of qty",PT!$A$17,"product",A9,"FL/AZ","AZ"),0)</f>
        <v>0</v>
      </c>
      <c r="D9" s="2">
        <f>C9</f>
        <v>0</v>
      </c>
      <c r="E9" s="117"/>
      <c r="F9" s="1">
        <f t="shared" ref="F9" si="2">D9*E9</f>
        <v>0</v>
      </c>
      <c r="G9" s="117">
        <v>0</v>
      </c>
      <c r="H9" s="18">
        <f>D9*G9</f>
        <v>0</v>
      </c>
      <c r="I9" s="117">
        <f>IFERROR(VLOOKUP(A9,'[2]Alameda Capitalization'!$A:$M,13,0),0)</f>
        <v>9.5381080837459109E-2</v>
      </c>
      <c r="J9" s="81">
        <f t="shared" ref="J9" si="3">C9*I9</f>
        <v>0</v>
      </c>
      <c r="K9" t="s">
        <v>828</v>
      </c>
      <c r="L9" s="2">
        <f>D9-IFERROR(VLOOKUP(A9,'[1]AZ WIP'!$A:$F,4,0),0)</f>
        <v>0</v>
      </c>
    </row>
    <row r="10" spans="1:14">
      <c r="A10" t="s">
        <v>633</v>
      </c>
      <c r="B10" s="22" t="s">
        <v>831</v>
      </c>
      <c r="C10" s="228">
        <f>IFERROR(GETPIVOTDATA("Sum of qty",PT!$A$17,"product",A10,"FL/AZ","AZ"),0)</f>
        <v>0</v>
      </c>
      <c r="D10" s="2">
        <f>C10*48</f>
        <v>0</v>
      </c>
      <c r="E10" s="382">
        <f>'[4]2024'!$Q$41</f>
        <v>0.93172360877594329</v>
      </c>
      <c r="F10" s="1">
        <f t="shared" si="0"/>
        <v>0</v>
      </c>
      <c r="G10" s="117">
        <f>0.02/(101.6/2000)</f>
        <v>0.39370078740157483</v>
      </c>
      <c r="H10" s="18">
        <f>D10*G10</f>
        <v>0</v>
      </c>
      <c r="I10" s="117">
        <f>IFERROR(VLOOKUP(A10,'[2]Alameda Capitalization'!$A:$M,13,0),0)</f>
        <v>4.5653344503484199</v>
      </c>
      <c r="J10" s="81">
        <f t="shared" ref="J10:J53" si="4">C10*I10</f>
        <v>0</v>
      </c>
      <c r="K10" t="s">
        <v>828</v>
      </c>
      <c r="L10" s="2">
        <f>D10-IFERROR(VLOOKUP(A10,'[1]AZ WIP'!$A:$F,4,0),0)</f>
        <v>0</v>
      </c>
    </row>
    <row r="11" spans="1:14" ht="13.5" customHeight="1">
      <c r="A11" t="s">
        <v>832</v>
      </c>
      <c r="B11" s="22" t="s">
        <v>833</v>
      </c>
      <c r="C11" s="228">
        <f>IFERROR(GETPIVOTDATA("Sum of qty",PT!$A$17,"product",A11,"FL/AZ","AZ"),0)</f>
        <v>0</v>
      </c>
      <c r="D11" s="2">
        <f>C11*46</f>
        <v>0</v>
      </c>
      <c r="E11" s="117">
        <f t="shared" ref="E11:E111" si="5">+$E$10</f>
        <v>0.93172360877594329</v>
      </c>
      <c r="F11" s="1">
        <f t="shared" si="0"/>
        <v>0</v>
      </c>
      <c r="G11" s="117">
        <v>0</v>
      </c>
      <c r="H11" s="18">
        <f t="shared" si="1"/>
        <v>0</v>
      </c>
      <c r="I11" s="117">
        <f>IFERROR(VLOOKUP(A11,'[2]Alameda Capitalization'!$A:$M,13,0),0)</f>
        <v>4.7107272672384974</v>
      </c>
      <c r="J11" s="81">
        <f>C11*I11</f>
        <v>0</v>
      </c>
      <c r="K11" t="s">
        <v>828</v>
      </c>
      <c r="L11" s="2">
        <f>D11-IFERROR(VLOOKUP(A11,'[1]AZ WIP'!$A:$F,4,0),0)</f>
        <v>0</v>
      </c>
    </row>
    <row r="12" spans="1:14" ht="13.5" customHeight="1">
      <c r="A12" t="s">
        <v>834</v>
      </c>
      <c r="B12" s="22" t="s">
        <v>835</v>
      </c>
      <c r="C12" s="228">
        <f>IFERROR(GETPIVOTDATA("Sum of qty",PT!$A$17,"product",A12,"FL/AZ","AZ"),0)</f>
        <v>0</v>
      </c>
      <c r="D12" s="89">
        <f>C12*48</f>
        <v>0</v>
      </c>
      <c r="E12" s="117">
        <f t="shared" si="5"/>
        <v>0.93172360877594329</v>
      </c>
      <c r="F12" s="1">
        <f t="shared" si="0"/>
        <v>0</v>
      </c>
      <c r="G12" s="117"/>
      <c r="H12" s="18">
        <f>D12*G12</f>
        <v>0</v>
      </c>
      <c r="I12" s="117">
        <f>IFERROR(VLOOKUP(A12,'[2]Alameda Capitalization'!$A:$M,13,0),0)</f>
        <v>0</v>
      </c>
      <c r="J12" s="81">
        <f t="shared" si="4"/>
        <v>0</v>
      </c>
      <c r="K12" t="s">
        <v>828</v>
      </c>
      <c r="L12" s="2">
        <f>D12-IFERROR(VLOOKUP(A12,'[1]AZ WIP'!$A:$F,4,0),0)</f>
        <v>0</v>
      </c>
    </row>
    <row r="13" spans="1:14">
      <c r="A13" s="157" t="s">
        <v>494</v>
      </c>
      <c r="B13" s="193" t="s">
        <v>495</v>
      </c>
      <c r="C13" s="228">
        <f>IFERROR(GETPIVOTDATA("Sum of qty",PT!$A$17,"product",A13,"FL/AZ","AZ"),0)</f>
        <v>137596</v>
      </c>
      <c r="D13" s="2">
        <f>C13</f>
        <v>137596</v>
      </c>
      <c r="E13" s="117">
        <f>+$E$10</f>
        <v>0.93172360877594329</v>
      </c>
      <c r="F13" s="1">
        <f>D13*E13</f>
        <v>128201.44167313469</v>
      </c>
      <c r="G13" s="117">
        <v>0</v>
      </c>
      <c r="H13" s="18">
        <f>D13*G13</f>
        <v>0</v>
      </c>
      <c r="I13" s="117">
        <f>IFERROR(VLOOKUP(A13,'[2]Alameda Capitalization'!$A:$M,13,0),0)</f>
        <v>0.10145187667440933</v>
      </c>
      <c r="J13" s="81">
        <f>C13*I13</f>
        <v>13959.372422892025</v>
      </c>
      <c r="K13" t="s">
        <v>828</v>
      </c>
      <c r="L13" s="2">
        <f>D13-IFERROR(VLOOKUP(A13,'[1]AZ WIP'!$A:$F,4,0),0)</f>
        <v>-47319</v>
      </c>
      <c r="N13" s="2" t="s">
        <v>2749</v>
      </c>
    </row>
    <row r="14" spans="1:14">
      <c r="A14" s="157" t="s">
        <v>836</v>
      </c>
      <c r="B14" s="193" t="s">
        <v>837</v>
      </c>
      <c r="C14" s="228">
        <f>IFERROR(GETPIVOTDATA("Sum of qty",PT!$A$17,"product",A14,"FL/AZ","AZ"),0)</f>
        <v>0</v>
      </c>
      <c r="D14" s="2">
        <f>C14</f>
        <v>0</v>
      </c>
      <c r="E14" s="117"/>
      <c r="F14" s="1">
        <f t="shared" si="0"/>
        <v>0</v>
      </c>
      <c r="G14" s="117">
        <v>0.71</v>
      </c>
      <c r="H14" s="18">
        <f>D14*G14</f>
        <v>0</v>
      </c>
      <c r="I14" s="117">
        <f>IFERROR(VLOOKUP(A14,'[2]Alameda Capitalization'!$A:$M,13,0),0)</f>
        <v>9.5111134382258752E-2</v>
      </c>
      <c r="J14" s="81">
        <f t="shared" si="4"/>
        <v>0</v>
      </c>
      <c r="K14" t="s">
        <v>828</v>
      </c>
      <c r="L14" s="2">
        <f>D14-IFERROR(VLOOKUP(A14,'[1]AZ WIP'!$A:$F,4,0),0)</f>
        <v>0</v>
      </c>
    </row>
    <row r="15" spans="1:14">
      <c r="A15" t="s">
        <v>838</v>
      </c>
      <c r="B15" s="22" t="s">
        <v>839</v>
      </c>
      <c r="C15" s="228">
        <f>IFERROR(GETPIVOTDATA("Sum of qty",PT!$A$17,"product",A15,"FL/AZ","AZ"),0)</f>
        <v>0</v>
      </c>
      <c r="D15" s="89">
        <f>C15*48</f>
        <v>0</v>
      </c>
      <c r="E15" s="117">
        <f t="shared" si="5"/>
        <v>0.93172360877594329</v>
      </c>
      <c r="F15" s="1">
        <f t="shared" si="0"/>
        <v>0</v>
      </c>
      <c r="G15" s="117"/>
      <c r="H15" s="18">
        <f t="shared" si="1"/>
        <v>0</v>
      </c>
      <c r="I15" s="117">
        <f>IFERROR(VLOOKUP(A15,'[2]Alameda Capitalization'!$A:$M,13,0),0)</f>
        <v>0</v>
      </c>
      <c r="J15" s="81">
        <f t="shared" si="4"/>
        <v>0</v>
      </c>
      <c r="K15" t="s">
        <v>828</v>
      </c>
      <c r="L15" s="2">
        <f>D15-IFERROR(VLOOKUP(A15,'[1]AZ WIP'!$A:$F,4,0),0)</f>
        <v>0</v>
      </c>
    </row>
    <row r="16" spans="1:14">
      <c r="A16" t="s">
        <v>840</v>
      </c>
      <c r="B16" s="22" t="s">
        <v>841</v>
      </c>
      <c r="C16" s="228">
        <f>IFERROR(GETPIVOTDATA("Sum of qty",PT!$A$17,"product",A16,"FL/AZ","AZ"),0)</f>
        <v>0</v>
      </c>
      <c r="D16" s="2">
        <f>C16*46</f>
        <v>0</v>
      </c>
      <c r="E16" s="117">
        <f t="shared" si="5"/>
        <v>0.93172360877594329</v>
      </c>
      <c r="F16" s="1">
        <f t="shared" si="0"/>
        <v>0</v>
      </c>
      <c r="G16" s="117"/>
      <c r="H16" s="18">
        <f t="shared" si="1"/>
        <v>0</v>
      </c>
      <c r="I16" s="117">
        <f>IFERROR(VLOOKUP(A16,'[2]Alameda Capitalization'!$A:$M,13,0),0)</f>
        <v>0</v>
      </c>
      <c r="J16" s="81">
        <f t="shared" si="4"/>
        <v>0</v>
      </c>
      <c r="K16" t="s">
        <v>828</v>
      </c>
      <c r="L16" s="2">
        <f>D16-IFERROR(VLOOKUP(A16,'[1]AZ WIP'!$A:$F,4,0),0)</f>
        <v>0</v>
      </c>
    </row>
    <row r="17" spans="1:14">
      <c r="A17" t="s">
        <v>842</v>
      </c>
      <c r="B17" s="22" t="s">
        <v>843</v>
      </c>
      <c r="C17" s="228">
        <f>IFERROR(GETPIVOTDATA("Sum of qty",PT!$A$17,"product",A17,"FL/AZ","AZ"),0)</f>
        <v>0</v>
      </c>
      <c r="D17" s="2">
        <f>C17*46</f>
        <v>0</v>
      </c>
      <c r="E17" s="117"/>
      <c r="F17" s="1">
        <f t="shared" si="0"/>
        <v>0</v>
      </c>
      <c r="G17" s="117"/>
      <c r="H17" s="18">
        <f t="shared" ref="H17:H23" si="6">D17*G17</f>
        <v>0</v>
      </c>
      <c r="I17" s="117">
        <f>IFERROR(VLOOKUP(A17,'[2]Alameda Capitalization'!$A:$M,13,0),0)</f>
        <v>0</v>
      </c>
      <c r="J17" s="81">
        <f t="shared" si="4"/>
        <v>0</v>
      </c>
      <c r="K17" t="s">
        <v>828</v>
      </c>
      <c r="L17" s="2">
        <f>D17-IFERROR(VLOOKUP(A17,'[1]AZ WIP'!$A:$F,4,0),0)</f>
        <v>0</v>
      </c>
    </row>
    <row r="18" spans="1:14">
      <c r="A18" t="s">
        <v>844</v>
      </c>
      <c r="B18" s="22" t="s">
        <v>845</v>
      </c>
      <c r="C18" s="228">
        <f>IFERROR(GETPIVOTDATA("Sum of qty",PT!$A$17,"product",A18,"FL/AZ","AZ"),0)</f>
        <v>0</v>
      </c>
      <c r="D18" s="2">
        <f>C18</f>
        <v>0</v>
      </c>
      <c r="E18" s="117"/>
      <c r="F18" s="1">
        <f t="shared" ref="F18" si="7">D18*E18</f>
        <v>0</v>
      </c>
      <c r="G18" s="117"/>
      <c r="H18" s="18">
        <f t="shared" si="6"/>
        <v>0</v>
      </c>
      <c r="I18" s="117">
        <f>IFERROR(VLOOKUP(A18,'[2]Alameda Capitalization'!$A:$M,13,0),0)</f>
        <v>0</v>
      </c>
      <c r="J18" s="81">
        <f t="shared" si="4"/>
        <v>0</v>
      </c>
      <c r="K18" t="s">
        <v>828</v>
      </c>
      <c r="L18" s="2">
        <f>D18-IFERROR(VLOOKUP(A18,'[1]AZ WIP'!$A:$F,4,0),0)</f>
        <v>0</v>
      </c>
    </row>
    <row r="19" spans="1:14">
      <c r="A19" t="s">
        <v>196</v>
      </c>
      <c r="B19" t="s">
        <v>197</v>
      </c>
      <c r="C19" s="228">
        <f>IFERROR(GETPIVOTDATA("Sum of qty",PT!$A$17,"product",A19,"FL/AZ","AZ"),0)</f>
        <v>50174</v>
      </c>
      <c r="D19" s="2">
        <f>C19</f>
        <v>50174</v>
      </c>
      <c r="E19" s="117">
        <f>+$E$10</f>
        <v>0.93172360877594329</v>
      </c>
      <c r="F19" s="1">
        <f>D19*E19</f>
        <v>46748.30034672418</v>
      </c>
      <c r="G19" s="117">
        <v>0</v>
      </c>
      <c r="H19" s="18">
        <f t="shared" si="6"/>
        <v>0</v>
      </c>
      <c r="I19" s="117">
        <f>IFERROR(VLOOKUP(A19,'[2]Alameda Capitalization'!$A:$M,13,0),0)</f>
        <v>0.47827313289364404</v>
      </c>
      <c r="J19" s="81">
        <f t="shared" ref="J19" si="8">C19*I19</f>
        <v>23996.876169805695</v>
      </c>
      <c r="K19" t="s">
        <v>828</v>
      </c>
      <c r="L19" s="2">
        <f>D19-IFERROR(VLOOKUP(A19,'[1]AZ WIP'!$A:$F,4,0),0)</f>
        <v>-10190</v>
      </c>
      <c r="N19" s="2" t="s">
        <v>2749</v>
      </c>
    </row>
    <row r="20" spans="1:14">
      <c r="A20" s="157" t="s">
        <v>846</v>
      </c>
      <c r="B20" s="22" t="s">
        <v>847</v>
      </c>
      <c r="C20" s="228">
        <f>IFERROR(GETPIVOTDATA("Sum of qty",PT!$A$17,"product",A20,"FL/AZ","AZ"),0)</f>
        <v>0</v>
      </c>
      <c r="D20" s="2">
        <f>C20</f>
        <v>0</v>
      </c>
      <c r="E20" s="117"/>
      <c r="F20" s="1">
        <f>D20*E20</f>
        <v>0</v>
      </c>
      <c r="G20" s="117"/>
      <c r="H20" s="18">
        <f t="shared" ref="H20" si="9">D20*G20</f>
        <v>0</v>
      </c>
      <c r="I20" s="117">
        <f>IFERROR(VLOOKUP(A20,'[2]Alameda Capitalization'!$A:$M,13,0),0)</f>
        <v>0.47827313289364404</v>
      </c>
      <c r="J20" s="81">
        <f t="shared" ref="J20" si="10">C20*I20</f>
        <v>0</v>
      </c>
      <c r="K20" t="s">
        <v>828</v>
      </c>
      <c r="L20" s="2">
        <f>D20-IFERROR(VLOOKUP(A20,'[1]AZ WIP'!$A:$F,4,0),0)</f>
        <v>0</v>
      </c>
    </row>
    <row r="21" spans="1:14">
      <c r="A21" t="s">
        <v>848</v>
      </c>
      <c r="B21" s="193" t="s">
        <v>849</v>
      </c>
      <c r="C21" s="228">
        <f>IFERROR(GETPIVOTDATA("Sum of qty",PT!$A$17,"product",A21,"FL/AZ","AZ"),0)</f>
        <v>0</v>
      </c>
      <c r="D21" s="89">
        <f>C21*48</f>
        <v>0</v>
      </c>
      <c r="E21" s="117">
        <f t="shared" si="5"/>
        <v>0.93172360877594329</v>
      </c>
      <c r="F21" s="1">
        <f t="shared" si="0"/>
        <v>0</v>
      </c>
      <c r="G21" s="117">
        <v>0</v>
      </c>
      <c r="H21" s="18">
        <f t="shared" si="6"/>
        <v>0</v>
      </c>
      <c r="I21" s="117">
        <f>IFERROR(VLOOKUP(A21,'[2]Alameda Capitalization'!$A:$M,13,0),0)</f>
        <v>0</v>
      </c>
      <c r="J21" s="81">
        <f t="shared" si="4"/>
        <v>0</v>
      </c>
      <c r="K21" t="s">
        <v>828</v>
      </c>
      <c r="L21" s="2">
        <f>D21-IFERROR(VLOOKUP(A21,'[1]AZ WIP'!$A:$F,4,0),0)</f>
        <v>0</v>
      </c>
    </row>
    <row r="22" spans="1:14">
      <c r="A22" t="s">
        <v>850</v>
      </c>
      <c r="B22" s="193" t="s">
        <v>851</v>
      </c>
      <c r="C22" s="228">
        <f>IFERROR(GETPIVOTDATA("Sum of qty",PT!$A$17,"product",A22,"FL/AZ","AZ"),0)</f>
        <v>0</v>
      </c>
      <c r="D22" s="89">
        <f>C22*48</f>
        <v>0</v>
      </c>
      <c r="E22" s="117">
        <f t="shared" si="5"/>
        <v>0.93172360877594329</v>
      </c>
      <c r="F22" s="259">
        <f t="shared" si="0"/>
        <v>0</v>
      </c>
      <c r="G22" s="117"/>
      <c r="H22" s="18">
        <f t="shared" si="6"/>
        <v>0</v>
      </c>
      <c r="I22" s="117">
        <f>IFERROR(VLOOKUP(A22,'[2]Alameda Capitalization'!$A:$M,13,0),0)</f>
        <v>0.12228574420576126</v>
      </c>
      <c r="J22" s="81">
        <f t="shared" si="4"/>
        <v>0</v>
      </c>
      <c r="K22" t="s">
        <v>852</v>
      </c>
      <c r="L22" s="2">
        <f>D22-IFERROR(VLOOKUP(A22,'[1]AZ WIP'!$A:$F,4,0),0)</f>
        <v>-240</v>
      </c>
    </row>
    <row r="23" spans="1:14">
      <c r="A23" t="s">
        <v>853</v>
      </c>
      <c r="B23" s="193" t="s">
        <v>854</v>
      </c>
      <c r="C23" s="228">
        <f>IFERROR(GETPIVOTDATA("Sum of qty",PT!$A$17,"product",A23,"FL/AZ","AZ"),0)</f>
        <v>0</v>
      </c>
      <c r="D23" s="89">
        <f>C23*46</f>
        <v>0</v>
      </c>
      <c r="E23" s="117">
        <f t="shared" si="5"/>
        <v>0.93172360877594329</v>
      </c>
      <c r="F23" s="259">
        <f t="shared" si="0"/>
        <v>0</v>
      </c>
      <c r="G23" s="117"/>
      <c r="H23" s="18">
        <f t="shared" si="6"/>
        <v>0</v>
      </c>
      <c r="I23" s="117">
        <f>IFERROR(VLOOKUP(A23,'[2]Alameda Capitalization'!$A:$M,13,0),0)</f>
        <v>0</v>
      </c>
      <c r="J23" s="81">
        <f t="shared" si="4"/>
        <v>0</v>
      </c>
      <c r="K23" t="s">
        <v>852</v>
      </c>
      <c r="L23" s="2">
        <f>D23-IFERROR(VLOOKUP(A23,'[1]AZ WIP'!$A:$F,4,0),0)</f>
        <v>0</v>
      </c>
    </row>
    <row r="24" spans="1:14">
      <c r="A24" t="s">
        <v>855</v>
      </c>
      <c r="B24" s="22" t="s">
        <v>856</v>
      </c>
      <c r="C24" s="228">
        <f>IFERROR(GETPIVOTDATA("Sum of qty",PT!$A$17,"product",A24,"FL/AZ","AZ"),0)</f>
        <v>0</v>
      </c>
      <c r="D24" s="89">
        <f t="shared" ref="D24:D53" si="11">C24*48</f>
        <v>0</v>
      </c>
      <c r="E24" s="117">
        <f t="shared" si="5"/>
        <v>0.93172360877594329</v>
      </c>
      <c r="F24" s="259">
        <f t="shared" si="0"/>
        <v>0</v>
      </c>
      <c r="G24" s="117"/>
      <c r="H24" s="18">
        <f t="shared" si="1"/>
        <v>0</v>
      </c>
      <c r="I24" s="117">
        <f>IFERROR(VLOOKUP(A24,'[2]Alameda Capitalization'!$A:$M,13,0),0)</f>
        <v>0</v>
      </c>
      <c r="J24" s="81">
        <f t="shared" si="4"/>
        <v>0</v>
      </c>
      <c r="K24" t="s">
        <v>852</v>
      </c>
      <c r="L24" s="2">
        <f>D24-IFERROR(VLOOKUP(A24,'[1]AZ WIP'!$A:$F,4,0),0)</f>
        <v>0</v>
      </c>
    </row>
    <row r="25" spans="1:14" ht="13.5" customHeight="1">
      <c r="A25" t="s">
        <v>857</v>
      </c>
      <c r="B25" s="22" t="s">
        <v>858</v>
      </c>
      <c r="C25" s="228">
        <f>IFERROR(GETPIVOTDATA("Sum of qty",PT!$A$17,"product",A25,"FL/AZ","AZ"),0)</f>
        <v>0</v>
      </c>
      <c r="D25" s="89">
        <f>C25*46</f>
        <v>0</v>
      </c>
      <c r="E25" s="117">
        <f t="shared" si="5"/>
        <v>0.93172360877594329</v>
      </c>
      <c r="F25" s="259">
        <f t="shared" si="0"/>
        <v>0</v>
      </c>
      <c r="G25" s="117"/>
      <c r="H25" s="18">
        <f>D25*G25</f>
        <v>0</v>
      </c>
      <c r="I25" s="117">
        <f>IFERROR(VLOOKUP(A25,'[2]Alameda Capitalization'!$A:$M,13,0),0)</f>
        <v>0</v>
      </c>
      <c r="J25" s="81">
        <f t="shared" si="4"/>
        <v>0</v>
      </c>
      <c r="K25" t="s">
        <v>852</v>
      </c>
      <c r="L25" s="2">
        <f>D25-IFERROR(VLOOKUP(A25,'[1]AZ WIP'!$A:$F,4,0),0)</f>
        <v>0</v>
      </c>
    </row>
    <row r="26" spans="1:14" ht="13.5" customHeight="1">
      <c r="A26" t="s">
        <v>859</v>
      </c>
      <c r="B26" s="22" t="s">
        <v>860</v>
      </c>
      <c r="C26" s="228">
        <f>IFERROR(GETPIVOTDATA("Sum of qty",PT!$A$17,"product",A26,"FL/AZ","AZ"),0)</f>
        <v>0</v>
      </c>
      <c r="D26" s="89">
        <f>C26*300</f>
        <v>0</v>
      </c>
      <c r="E26" s="117"/>
      <c r="F26" s="259">
        <f t="shared" si="0"/>
        <v>0</v>
      </c>
      <c r="G26" s="117"/>
      <c r="H26" s="18">
        <f>D26*G26</f>
        <v>0</v>
      </c>
      <c r="I26" s="117">
        <f>IFERROR(VLOOKUP(A26,'[2]Alameda Capitalization'!$A:$M,13,0),0)</f>
        <v>0</v>
      </c>
      <c r="J26" s="81">
        <f t="shared" si="4"/>
        <v>0</v>
      </c>
      <c r="K26" t="s">
        <v>852</v>
      </c>
      <c r="L26" s="2">
        <f>D26-IFERROR(VLOOKUP(A26,'[1]AZ WIP'!$A:$F,4,0),0)</f>
        <v>0</v>
      </c>
    </row>
    <row r="27" spans="1:14" ht="13.5" customHeight="1">
      <c r="A27" t="s">
        <v>861</v>
      </c>
      <c r="B27" s="193" t="s">
        <v>862</v>
      </c>
      <c r="C27" s="228">
        <f>IFERROR(GETPIVOTDATA("Sum of qty",PT!$A$17,"product",A27,"FL/AZ","AZ"),0)</f>
        <v>0</v>
      </c>
      <c r="D27" s="89">
        <f>C27*46</f>
        <v>0</v>
      </c>
      <c r="E27" s="117">
        <f t="shared" si="5"/>
        <v>0.93172360877594329</v>
      </c>
      <c r="F27" s="259">
        <f t="shared" si="0"/>
        <v>0</v>
      </c>
      <c r="G27" s="117"/>
      <c r="H27" s="18">
        <f>D27*G27</f>
        <v>0</v>
      </c>
      <c r="I27" s="117">
        <f>IFERROR(VLOOKUP(A27,'[2]Alameda Capitalization'!$A:$M,13,0),0)</f>
        <v>0</v>
      </c>
      <c r="J27" s="81">
        <f t="shared" si="4"/>
        <v>0</v>
      </c>
      <c r="K27" t="s">
        <v>852</v>
      </c>
      <c r="L27" s="2">
        <f>D27-IFERROR(VLOOKUP(A27,'[1]AZ WIP'!$A:$F,4,0),0)</f>
        <v>0</v>
      </c>
    </row>
    <row r="28" spans="1:14" ht="13.5" customHeight="1">
      <c r="A28" t="s">
        <v>863</v>
      </c>
      <c r="B28" s="193" t="s">
        <v>864</v>
      </c>
      <c r="C28" s="228">
        <f>IFERROR(GETPIVOTDATA("Sum of qty",PT!$A$17,"product",A28,"FL/AZ","AZ"),0)</f>
        <v>0</v>
      </c>
      <c r="D28" s="2">
        <f t="shared" ref="D28" si="12">C28*48</f>
        <v>0</v>
      </c>
      <c r="E28" s="117"/>
      <c r="F28" s="1">
        <f t="shared" ref="F28" si="13">D28*E28</f>
        <v>0</v>
      </c>
      <c r="G28" s="117"/>
      <c r="H28" s="18">
        <f t="shared" ref="H28" si="14">D28*G28</f>
        <v>0</v>
      </c>
      <c r="I28" s="117">
        <f>IFERROR(VLOOKUP(A28,'[2]Alameda Capitalization'!$A:$M,13,0),0)</f>
        <v>10.477992765526297</v>
      </c>
      <c r="J28" s="81">
        <f t="shared" si="4"/>
        <v>0</v>
      </c>
      <c r="K28" t="s">
        <v>550</v>
      </c>
      <c r="L28" s="2">
        <f>D28-IFERROR(VLOOKUP(A28,'[1]AZ WIP'!$A:$F,4,0),0)</f>
        <v>0</v>
      </c>
    </row>
    <row r="29" spans="1:14" ht="13.5" customHeight="1">
      <c r="A29" s="157" t="s">
        <v>166</v>
      </c>
      <c r="B29" s="193" t="s">
        <v>167</v>
      </c>
      <c r="C29" s="228">
        <f>IFERROR(GETPIVOTDATA("Sum of qty",PT!$A$17,"product",A29,"FL/AZ","AZ"),0)</f>
        <v>32360</v>
      </c>
      <c r="D29" s="2">
        <f>C29</f>
        <v>32360</v>
      </c>
      <c r="E29" s="117">
        <f t="shared" si="5"/>
        <v>0.93172360877594329</v>
      </c>
      <c r="F29" s="1">
        <f>D29*E29</f>
        <v>30150.575979989524</v>
      </c>
      <c r="G29" s="117">
        <f>G155</f>
        <v>0.53920000000000001</v>
      </c>
      <c r="H29" s="18">
        <f t="shared" ref="H29" si="15">D29*G29</f>
        <v>17448.511999999999</v>
      </c>
      <c r="I29" s="117">
        <f>IFERROR(VLOOKUP(A29,'[2]Alameda Capitalization'!$A:$M,13,0),0)</f>
        <v>0.23189000382722133</v>
      </c>
      <c r="J29" s="81">
        <f t="shared" ref="J29" si="16">C29*I29</f>
        <v>7503.9605238488821</v>
      </c>
      <c r="K29" t="s">
        <v>550</v>
      </c>
      <c r="L29" s="2">
        <f>D29-IFERROR(VLOOKUP(A29,'[1]AZ WIP'!$A:$F,4,0),0)</f>
        <v>0</v>
      </c>
    </row>
    <row r="30" spans="1:14" ht="13.5" customHeight="1">
      <c r="A30" t="s">
        <v>865</v>
      </c>
      <c r="B30" s="22" t="s">
        <v>866</v>
      </c>
      <c r="C30" s="228">
        <f>IFERROR(GETPIVOTDATA("Sum of qty",PT!$A$17,"product",A30,"FL/AZ","AZ"),0)</f>
        <v>0</v>
      </c>
      <c r="D30" s="2">
        <f t="shared" si="11"/>
        <v>0</v>
      </c>
      <c r="E30" s="117">
        <f t="shared" si="5"/>
        <v>0.93172360877594329</v>
      </c>
      <c r="F30" s="1">
        <f t="shared" si="0"/>
        <v>0</v>
      </c>
      <c r="G30" s="117"/>
      <c r="H30" s="18">
        <f t="shared" si="1"/>
        <v>0</v>
      </c>
      <c r="I30" s="117">
        <f>IFERROR(VLOOKUP(A30,'[2]Alameda Capitalization'!$A:$M,13,0),0)</f>
        <v>0</v>
      </c>
      <c r="J30" s="81">
        <f t="shared" si="4"/>
        <v>0</v>
      </c>
      <c r="K30" t="s">
        <v>550</v>
      </c>
      <c r="L30" s="2">
        <f>D30-IFERROR(VLOOKUP(A30,'[1]AZ WIP'!$A:$F,4,0),0)</f>
        <v>0</v>
      </c>
    </row>
    <row r="31" spans="1:14">
      <c r="A31" t="s">
        <v>867</v>
      </c>
      <c r="B31" s="22" t="s">
        <v>868</v>
      </c>
      <c r="C31" s="228">
        <f>IFERROR(GETPIVOTDATA("Sum of qty",PT!$A$17,"product",A31,"FL/AZ","AZ"),0)</f>
        <v>0</v>
      </c>
      <c r="D31" s="2">
        <f t="shared" si="11"/>
        <v>0</v>
      </c>
      <c r="E31" s="117">
        <f t="shared" si="5"/>
        <v>0.93172360877594329</v>
      </c>
      <c r="F31" s="1">
        <f t="shared" si="0"/>
        <v>0</v>
      </c>
      <c r="G31" s="117"/>
      <c r="H31" s="18">
        <f t="shared" si="1"/>
        <v>0</v>
      </c>
      <c r="I31" s="117">
        <f>IFERROR(VLOOKUP(A31,'[2]Alameda Capitalization'!$A:$M,13,0),0)</f>
        <v>0</v>
      </c>
      <c r="J31" s="81">
        <f t="shared" si="4"/>
        <v>0</v>
      </c>
      <c r="K31" t="s">
        <v>550</v>
      </c>
      <c r="L31" s="2">
        <f>D31-IFERROR(VLOOKUP(A31,'[1]AZ WIP'!$A:$F,4,0),0)</f>
        <v>0</v>
      </c>
    </row>
    <row r="32" spans="1:14">
      <c r="A32" t="s">
        <v>869</v>
      </c>
      <c r="B32" t="s">
        <v>870</v>
      </c>
      <c r="C32" s="228">
        <f>IFERROR(GETPIVOTDATA("Sum of qty",PT!$A$17,"product",A32,"FL/AZ","AZ"),0)</f>
        <v>0</v>
      </c>
      <c r="D32" s="2">
        <f t="shared" si="11"/>
        <v>0</v>
      </c>
      <c r="E32" s="117">
        <f t="shared" si="5"/>
        <v>0.93172360877594329</v>
      </c>
      <c r="F32" s="1">
        <f t="shared" si="0"/>
        <v>0</v>
      </c>
      <c r="G32" s="117"/>
      <c r="H32" s="18">
        <f t="shared" si="1"/>
        <v>0</v>
      </c>
      <c r="I32" s="117">
        <f>IFERROR(VLOOKUP(A32,'[2]Alameda Capitalization'!$A:$M,13,0),0)</f>
        <v>0</v>
      </c>
      <c r="J32" s="81">
        <f t="shared" si="4"/>
        <v>0</v>
      </c>
      <c r="K32" t="s">
        <v>550</v>
      </c>
      <c r="L32" s="2">
        <f>D32-IFERROR(VLOOKUP(A32,'[1]AZ WIP'!$A:$F,4,0),0)</f>
        <v>0</v>
      </c>
    </row>
    <row r="33" spans="1:16">
      <c r="A33" t="s">
        <v>871</v>
      </c>
      <c r="B33" t="s">
        <v>872</v>
      </c>
      <c r="C33" s="228">
        <f>IFERROR(GETPIVOTDATA("Sum of qty",PT!$A$17,"product",A33,"FL/AZ","AZ"),0)</f>
        <v>0</v>
      </c>
      <c r="D33" s="2">
        <f t="shared" ref="D33" si="17">C33*48</f>
        <v>0</v>
      </c>
      <c r="E33" s="117">
        <f t="shared" si="5"/>
        <v>0.93172360877594329</v>
      </c>
      <c r="F33" s="1">
        <f t="shared" ref="F33" si="18">D33*E33</f>
        <v>0</v>
      </c>
      <c r="G33" s="117"/>
      <c r="H33" s="18">
        <f t="shared" ref="H33" si="19">D33*G33</f>
        <v>0</v>
      </c>
      <c r="I33" s="117">
        <f>IFERROR(VLOOKUP(A33,'[2]Alameda Capitalization'!$A:$M,13,0),0)</f>
        <v>0</v>
      </c>
      <c r="J33" s="81">
        <f t="shared" si="4"/>
        <v>0</v>
      </c>
      <c r="K33" t="s">
        <v>550</v>
      </c>
      <c r="L33" s="2">
        <f>D33-IFERROR(VLOOKUP(A33,'[1]AZ WIP'!$A:$F,4,0),0)</f>
        <v>0</v>
      </c>
    </row>
    <row r="34" spans="1:16">
      <c r="A34" t="s">
        <v>873</v>
      </c>
      <c r="B34" t="s">
        <v>874</v>
      </c>
      <c r="C34" s="228">
        <f>IFERROR(GETPIVOTDATA("Sum of qty",PT!$A$17,"product",A34,"FL/AZ","AZ"),0)</f>
        <v>0</v>
      </c>
      <c r="D34" s="2">
        <f t="shared" si="11"/>
        <v>0</v>
      </c>
      <c r="E34" s="117">
        <f t="shared" si="5"/>
        <v>0.93172360877594329</v>
      </c>
      <c r="F34" s="1">
        <f t="shared" si="0"/>
        <v>0</v>
      </c>
      <c r="G34" s="117"/>
      <c r="H34" s="18">
        <f t="shared" si="1"/>
        <v>0</v>
      </c>
      <c r="I34" s="117">
        <f>IFERROR(VLOOKUP(A34,'[2]Alameda Capitalization'!$A:$M,13,0),0)</f>
        <v>0</v>
      </c>
      <c r="J34" s="81">
        <f t="shared" si="4"/>
        <v>0</v>
      </c>
      <c r="K34" t="s">
        <v>550</v>
      </c>
      <c r="L34" s="2">
        <f>D34-IFERROR(VLOOKUP(A34,'[1]AZ WIP'!$A:$F,4,0),0)</f>
        <v>0</v>
      </c>
    </row>
    <row r="35" spans="1:16">
      <c r="A35" t="s">
        <v>875</v>
      </c>
      <c r="B35" t="s">
        <v>876</v>
      </c>
      <c r="C35" s="228">
        <f>IFERROR(GETPIVOTDATA("Sum of qty",PT!$A$17,"product",A35,"FL/AZ","AZ"),0)</f>
        <v>0</v>
      </c>
      <c r="D35" s="2">
        <f t="shared" si="11"/>
        <v>0</v>
      </c>
      <c r="E35" s="117"/>
      <c r="F35" s="1">
        <f t="shared" si="0"/>
        <v>0</v>
      </c>
      <c r="G35" s="117"/>
      <c r="H35" s="18">
        <f>D35*G35</f>
        <v>0</v>
      </c>
      <c r="I35" s="117">
        <f>IFERROR(VLOOKUP(A35,'[2]Alameda Capitalization'!$A:$M,13,0),0)</f>
        <v>10.43505017222496</v>
      </c>
      <c r="J35" s="81">
        <f>C35*I35</f>
        <v>0</v>
      </c>
      <c r="K35" t="s">
        <v>550</v>
      </c>
      <c r="L35" s="2">
        <f>D35-IFERROR(VLOOKUP(A35,'[1]AZ WIP'!$A:$F,4,0),0)</f>
        <v>0</v>
      </c>
    </row>
    <row r="36" spans="1:16">
      <c r="A36" t="s">
        <v>877</v>
      </c>
      <c r="B36" t="s">
        <v>878</v>
      </c>
      <c r="C36" s="228">
        <f>IFERROR(GETPIVOTDATA("Sum of qty",PT!$A$17,"product",A36,"FL/AZ","AZ"),0)</f>
        <v>0</v>
      </c>
      <c r="D36" s="2">
        <f>C36*46</f>
        <v>0</v>
      </c>
      <c r="E36" s="117">
        <f t="shared" si="5"/>
        <v>0.93172360877594329</v>
      </c>
      <c r="F36" s="1">
        <f t="shared" si="0"/>
        <v>0</v>
      </c>
      <c r="G36" s="117"/>
      <c r="H36" s="18">
        <f t="shared" si="1"/>
        <v>0</v>
      </c>
      <c r="I36" s="117">
        <f>IFERROR(VLOOKUP(A36,'[2]Alameda Capitalization'!$A:$M,13,0),0)</f>
        <v>10.809215317842588</v>
      </c>
      <c r="J36" s="81">
        <f t="shared" si="4"/>
        <v>0</v>
      </c>
      <c r="K36" t="s">
        <v>550</v>
      </c>
      <c r="L36" s="2">
        <f>D36-IFERROR(VLOOKUP(A36,'[1]AZ WIP'!$A:$F,4,0),0)</f>
        <v>0</v>
      </c>
    </row>
    <row r="37" spans="1:16">
      <c r="A37" t="s">
        <v>879</v>
      </c>
      <c r="B37" t="s">
        <v>866</v>
      </c>
      <c r="C37" s="228">
        <f>IFERROR(GETPIVOTDATA("Sum of qty",PT!$A$17,"product",A37,"FL/AZ","AZ"),0)</f>
        <v>0</v>
      </c>
      <c r="D37" s="2">
        <f>C37*45</f>
        <v>0</v>
      </c>
      <c r="E37" s="117">
        <f t="shared" si="5"/>
        <v>0.93172360877594329</v>
      </c>
      <c r="F37" s="1">
        <f t="shared" si="0"/>
        <v>0</v>
      </c>
      <c r="G37" s="117"/>
      <c r="H37" s="18">
        <f t="shared" si="1"/>
        <v>0</v>
      </c>
      <c r="I37" s="117">
        <f>IFERROR(VLOOKUP(A37,'[2]Alameda Capitalization'!$A:$M,13,0),0)</f>
        <v>0</v>
      </c>
      <c r="J37" s="81">
        <f t="shared" si="4"/>
        <v>0</v>
      </c>
      <c r="K37" t="s">
        <v>550</v>
      </c>
      <c r="L37" s="2">
        <f>D37-IFERROR(VLOOKUP(A37,'[1]AZ WIP'!$A:$F,4,0),0)</f>
        <v>0</v>
      </c>
    </row>
    <row r="38" spans="1:16">
      <c r="A38" t="s">
        <v>880</v>
      </c>
      <c r="B38" t="s">
        <v>881</v>
      </c>
      <c r="C38" s="228">
        <f>IFERROR(GETPIVOTDATA("Sum of qty",PT!$A$17,"product",A38,"FL/AZ","AZ"),0)</f>
        <v>0</v>
      </c>
      <c r="D38" s="2">
        <f>C38*45</f>
        <v>0</v>
      </c>
      <c r="E38" s="117">
        <f t="shared" si="5"/>
        <v>0.93172360877594329</v>
      </c>
      <c r="F38" s="1">
        <f t="shared" ref="F38" si="20">D38*E38</f>
        <v>0</v>
      </c>
      <c r="G38" s="117"/>
      <c r="H38" s="18">
        <f t="shared" ref="H38" si="21">D38*G38</f>
        <v>0</v>
      </c>
      <c r="I38" s="117">
        <f>IFERROR(VLOOKUP(A38,'[2]Alameda Capitalization'!$A:$M,13,0),0)</f>
        <v>0</v>
      </c>
      <c r="J38" s="81">
        <f t="shared" si="4"/>
        <v>0</v>
      </c>
      <c r="K38" t="s">
        <v>550</v>
      </c>
      <c r="L38" s="2">
        <f>D38-IFERROR(VLOOKUP(A38,'[1]AZ WIP'!$A:$F,4,0),0)</f>
        <v>0</v>
      </c>
    </row>
    <row r="39" spans="1:16">
      <c r="A39" t="s">
        <v>882</v>
      </c>
      <c r="B39" t="s">
        <v>883</v>
      </c>
      <c r="C39" s="228">
        <f>IFERROR(GETPIVOTDATA("Sum of qty",PT!$A$17,"product",A39,"FL/AZ","AZ"),0)</f>
        <v>0</v>
      </c>
      <c r="D39" s="2">
        <f>C39*48</f>
        <v>0</v>
      </c>
      <c r="E39" s="117">
        <f t="shared" si="5"/>
        <v>0.93172360877594329</v>
      </c>
      <c r="F39" s="1">
        <f t="shared" si="0"/>
        <v>0</v>
      </c>
      <c r="G39" s="117"/>
      <c r="H39" s="18">
        <f>D39*G39</f>
        <v>0</v>
      </c>
      <c r="I39" s="117">
        <f>IFERROR(VLOOKUP(A39,'[2]Alameda Capitalization'!$A:$M,13,0),0)</f>
        <v>0</v>
      </c>
      <c r="J39" s="81">
        <f t="shared" si="4"/>
        <v>0</v>
      </c>
      <c r="K39" t="s">
        <v>550</v>
      </c>
      <c r="L39" s="2">
        <f>D39-IFERROR(VLOOKUP(A39,'[1]AZ WIP'!$A:$F,4,0),0)</f>
        <v>0</v>
      </c>
    </row>
    <row r="40" spans="1:16">
      <c r="A40" t="s">
        <v>884</v>
      </c>
      <c r="B40" t="s">
        <v>885</v>
      </c>
      <c r="C40" s="228">
        <f>IFERROR(GETPIVOTDATA("Sum of qty",PT!$A$17,"product",A40,"FL/AZ","AZ"),0)</f>
        <v>0</v>
      </c>
      <c r="D40" s="2">
        <f t="shared" si="11"/>
        <v>0</v>
      </c>
      <c r="E40" s="117">
        <f t="shared" si="5"/>
        <v>0.93172360877594329</v>
      </c>
      <c r="F40" s="1">
        <f t="shared" si="0"/>
        <v>0</v>
      </c>
      <c r="G40" s="117"/>
      <c r="H40" s="18">
        <f t="shared" si="1"/>
        <v>0</v>
      </c>
      <c r="I40" s="117">
        <f>IFERROR(VLOOKUP(A40,'[2]Alameda Capitalization'!$A:$M,13,0),0)</f>
        <v>10.43505017222496</v>
      </c>
      <c r="J40" s="81">
        <f t="shared" si="4"/>
        <v>0</v>
      </c>
      <c r="K40" t="s">
        <v>550</v>
      </c>
      <c r="L40" s="2">
        <f>D40-IFERROR(VLOOKUP(A40,'[1]AZ WIP'!$A:$F,4,0),0)</f>
        <v>0</v>
      </c>
    </row>
    <row r="41" spans="1:16">
      <c r="A41" t="s">
        <v>886</v>
      </c>
      <c r="B41" t="s">
        <v>885</v>
      </c>
      <c r="C41" s="228">
        <f>IFERROR(GETPIVOTDATA("Sum of qty",PT!$A$17,"product",A41,"FL/AZ","AZ"),0)</f>
        <v>0</v>
      </c>
      <c r="D41" s="2">
        <f t="shared" ref="D41" si="22">C41*48</f>
        <v>0</v>
      </c>
      <c r="E41" s="117">
        <f t="shared" si="5"/>
        <v>0.93172360877594329</v>
      </c>
      <c r="F41" s="1">
        <f t="shared" ref="F41" si="23">D41*E41</f>
        <v>0</v>
      </c>
      <c r="G41" s="117"/>
      <c r="H41" s="18">
        <f t="shared" ref="H41" si="24">D41*G41</f>
        <v>0</v>
      </c>
      <c r="I41" s="117">
        <f>IFERROR(VLOOKUP(A41,'[2]Alameda Capitalization'!$A:$M,13,0),0)</f>
        <v>0</v>
      </c>
      <c r="J41" s="81">
        <f t="shared" si="4"/>
        <v>0</v>
      </c>
      <c r="K41" t="s">
        <v>550</v>
      </c>
      <c r="L41" s="2">
        <f>D41-IFERROR(VLOOKUP(A41,'[1]AZ WIP'!$A:$F,4,0),0)</f>
        <v>0</v>
      </c>
    </row>
    <row r="42" spans="1:16">
      <c r="A42" t="s">
        <v>887</v>
      </c>
      <c r="B42" t="s">
        <v>888</v>
      </c>
      <c r="C42" s="228">
        <f>IFERROR(GETPIVOTDATA("Sum of qty",PT!$A$17,"product",A42,"FL/AZ","AZ"),0)</f>
        <v>0</v>
      </c>
      <c r="D42" s="2">
        <f t="shared" si="11"/>
        <v>0</v>
      </c>
      <c r="E42" s="117">
        <f t="shared" si="5"/>
        <v>0.93172360877594329</v>
      </c>
      <c r="F42" s="1">
        <f t="shared" si="0"/>
        <v>0</v>
      </c>
      <c r="G42" s="117"/>
      <c r="H42" s="18">
        <f t="shared" si="1"/>
        <v>0</v>
      </c>
      <c r="I42" s="117">
        <f>IFERROR(VLOOKUP(A42,'[2]Alameda Capitalization'!$A:$M,13,0),0)</f>
        <v>0</v>
      </c>
      <c r="J42" s="81">
        <f t="shared" si="4"/>
        <v>0</v>
      </c>
      <c r="K42" t="s">
        <v>550</v>
      </c>
      <c r="L42" s="2">
        <f>D42-IFERROR(VLOOKUP(A42,'[1]AZ WIP'!$A:$F,4,0),0)</f>
        <v>0</v>
      </c>
    </row>
    <row r="43" spans="1:16">
      <c r="A43" t="s">
        <v>537</v>
      </c>
      <c r="B43" t="s">
        <v>889</v>
      </c>
      <c r="C43" s="228">
        <f>IFERROR(GETPIVOTDATA("Sum of qty",PT!$A$17,"product",A43,"FL/AZ","AZ"),0)</f>
        <v>183463</v>
      </c>
      <c r="D43" s="2">
        <f>C43</f>
        <v>183463</v>
      </c>
      <c r="E43" s="117">
        <f t="shared" si="5"/>
        <v>0.93172360877594329</v>
      </c>
      <c r="F43" s="1">
        <f>D43*E43</f>
        <v>170936.80843686088</v>
      </c>
      <c r="G43" s="117"/>
      <c r="H43" s="18">
        <f>D43*G43</f>
        <v>0</v>
      </c>
      <c r="I43" s="117">
        <f>IFERROR(VLOOKUP(A43,'[2]Alameda Capitalization'!$A:$M,13,0),0)</f>
        <v>0.23799401065250161</v>
      </c>
      <c r="J43" s="81">
        <f>C43*I43</f>
        <v>43663.095176339906</v>
      </c>
      <c r="K43" t="s">
        <v>550</v>
      </c>
      <c r="L43" s="2">
        <f>D43-IFERROR(VLOOKUP(A43,'[1]AZ WIP'!$A:$F,4,0),0)</f>
        <v>41285</v>
      </c>
      <c r="N43" s="2" t="s">
        <v>2749</v>
      </c>
      <c r="O43" s="89"/>
    </row>
    <row r="44" spans="1:16">
      <c r="A44" t="s">
        <v>890</v>
      </c>
      <c r="B44" t="s">
        <v>891</v>
      </c>
      <c r="C44" s="228">
        <f>IFERROR(GETPIVOTDATA("Sum of qty",PT!$A$17,"product",A44,"FL/AZ","AZ"),0)</f>
        <v>0</v>
      </c>
      <c r="D44" s="89">
        <f>C44*48</f>
        <v>0</v>
      </c>
      <c r="E44" s="117">
        <f t="shared" si="5"/>
        <v>0.93172360877594329</v>
      </c>
      <c r="F44" s="1">
        <f t="shared" si="0"/>
        <v>0</v>
      </c>
      <c r="G44" s="117"/>
      <c r="H44" s="18">
        <f t="shared" si="1"/>
        <v>0</v>
      </c>
      <c r="I44" s="117">
        <f>IFERROR(VLOOKUP(A44,'[2]Alameda Capitalization'!$A:$M,13,0),0)</f>
        <v>0</v>
      </c>
      <c r="J44" s="81">
        <f t="shared" si="4"/>
        <v>0</v>
      </c>
      <c r="K44" t="s">
        <v>550</v>
      </c>
      <c r="L44" s="2">
        <f>D44-IFERROR(VLOOKUP(A44,'[1]AZ WIP'!$A:$F,4,0),0)</f>
        <v>0</v>
      </c>
      <c r="P44" s="335"/>
    </row>
    <row r="45" spans="1:16">
      <c r="A45" t="s">
        <v>892</v>
      </c>
      <c r="B45" s="162" t="s">
        <v>893</v>
      </c>
      <c r="C45" s="228">
        <f>IFERROR(GETPIVOTDATA("Sum of qty",PT!$A$17,"product",A45,"FL/AZ","AZ"),0)</f>
        <v>0</v>
      </c>
      <c r="D45" s="2">
        <f>C45*48</f>
        <v>0</v>
      </c>
      <c r="E45" s="117">
        <f t="shared" si="5"/>
        <v>0.93172360877594329</v>
      </c>
      <c r="F45" s="1">
        <f t="shared" si="0"/>
        <v>0</v>
      </c>
      <c r="G45" s="117"/>
      <c r="H45" s="18">
        <f>D45*G45</f>
        <v>0</v>
      </c>
      <c r="I45" s="117">
        <f>IFERROR(VLOOKUP(A45,'[2]Alameda Capitalization'!$A:$M,13,0),0)</f>
        <v>0</v>
      </c>
      <c r="J45" s="81">
        <f t="shared" si="4"/>
        <v>0</v>
      </c>
      <c r="K45" t="s">
        <v>550</v>
      </c>
      <c r="L45" s="2">
        <f>D45-IFERROR(VLOOKUP(A45,'[1]AZ WIP'!$A:$F,4,0),0)</f>
        <v>0</v>
      </c>
      <c r="O45" s="334"/>
    </row>
    <row r="46" spans="1:16">
      <c r="A46" s="157" t="s">
        <v>894</v>
      </c>
      <c r="B46" s="157" t="s">
        <v>895</v>
      </c>
      <c r="C46" s="228">
        <f>IFERROR(GETPIVOTDATA("Sum of qty",PT!$A$17,"product",A46,"FL/AZ","AZ"),0)</f>
        <v>0</v>
      </c>
      <c r="D46" s="89">
        <f>C46</f>
        <v>0</v>
      </c>
      <c r="E46" s="117">
        <f t="shared" si="5"/>
        <v>0.93172360877594329</v>
      </c>
      <c r="F46" s="259">
        <f t="shared" ref="F46" si="25">D46*E46</f>
        <v>0</v>
      </c>
      <c r="G46" s="117">
        <v>0</v>
      </c>
      <c r="H46" s="18">
        <f>D46*G46</f>
        <v>0</v>
      </c>
      <c r="I46" s="117">
        <f>IFERROR(VLOOKUP(A46,'[2]Alameda Capitalization'!$A:$M,13,0),0)</f>
        <v>0.4087860546600105</v>
      </c>
      <c r="J46" s="81">
        <f t="shared" ref="J46" si="26">C46*I46</f>
        <v>0</v>
      </c>
      <c r="K46" t="s">
        <v>896</v>
      </c>
      <c r="L46" s="2">
        <f>D46-IFERROR(VLOOKUP(A46,'[1]AZ WIP'!$A:$F,4,0),0)</f>
        <v>0</v>
      </c>
    </row>
    <row r="47" spans="1:16">
      <c r="A47" s="157" t="s">
        <v>244</v>
      </c>
      <c r="B47" s="157" t="s">
        <v>245</v>
      </c>
      <c r="C47" s="228">
        <f>IFERROR(GETPIVOTDATA("Sum of qty",PT!$A$17,"product",A47,"FL/AZ","AZ"),0)</f>
        <v>7255</v>
      </c>
      <c r="D47" s="89">
        <f>C47</f>
        <v>7255</v>
      </c>
      <c r="E47" s="117">
        <f t="shared" si="5"/>
        <v>0.93172360877594329</v>
      </c>
      <c r="F47" s="259">
        <f t="shared" ref="F47" si="27">D47*E47</f>
        <v>6759.6547816694683</v>
      </c>
      <c r="G47" s="396">
        <v>0.62739999999999996</v>
      </c>
      <c r="H47" s="18">
        <f>D47*G47</f>
        <v>4551.7869999999994</v>
      </c>
      <c r="I47" s="117">
        <f>IFERROR(VLOOKUP(A47,'[2]Alameda Capitalization'!$A:$M,13,0),0)</f>
        <v>0.4087860546600105</v>
      </c>
      <c r="J47" s="81">
        <f t="shared" ref="J47" si="28">C47*I47</f>
        <v>2965.7428265583762</v>
      </c>
      <c r="K47" t="s">
        <v>896</v>
      </c>
      <c r="L47" s="2">
        <f>D47-IFERROR(VLOOKUP(A47,'[1]AZ WIP'!$A:$F,4,0),0)</f>
        <v>2260</v>
      </c>
    </row>
    <row r="48" spans="1:16">
      <c r="A48" t="s">
        <v>897</v>
      </c>
      <c r="B48" t="s">
        <v>898</v>
      </c>
      <c r="C48" s="228">
        <f>IFERROR(GETPIVOTDATA("Sum of qty",PT!$A$17,"product",A48,"FL/AZ","AZ"),0)</f>
        <v>0</v>
      </c>
      <c r="D48" s="89">
        <f t="shared" si="11"/>
        <v>0</v>
      </c>
      <c r="E48" s="117">
        <f t="shared" si="5"/>
        <v>0.93172360877594329</v>
      </c>
      <c r="F48" s="259">
        <f t="shared" si="0"/>
        <v>0</v>
      </c>
      <c r="G48" s="117"/>
      <c r="H48" s="18">
        <f t="shared" si="1"/>
        <v>0</v>
      </c>
      <c r="I48" s="117">
        <f>IFERROR(VLOOKUP(A48,'[2]Alameda Capitalization'!$A:$M,13,0),0)</f>
        <v>0</v>
      </c>
      <c r="J48" s="81">
        <f t="shared" si="4"/>
        <v>0</v>
      </c>
      <c r="K48" t="s">
        <v>896</v>
      </c>
      <c r="L48" s="2">
        <f>D48-IFERROR(VLOOKUP(A48,'[1]AZ WIP'!$A:$F,4,0),0)</f>
        <v>0</v>
      </c>
    </row>
    <row r="49" spans="1:12">
      <c r="A49" t="s">
        <v>899</v>
      </c>
      <c r="B49" t="s">
        <v>900</v>
      </c>
      <c r="C49" s="228">
        <f>IFERROR(GETPIVOTDATA("Sum of qty",PT!$A$17,"product",A49,"FL/AZ","AZ"),0)</f>
        <v>0</v>
      </c>
      <c r="D49" s="89">
        <f>C49*48</f>
        <v>0</v>
      </c>
      <c r="E49" s="117">
        <f t="shared" si="5"/>
        <v>0.93172360877594329</v>
      </c>
      <c r="F49" s="259">
        <f t="shared" si="0"/>
        <v>0</v>
      </c>
      <c r="G49" s="117"/>
      <c r="H49" s="18">
        <f>D49*G49</f>
        <v>0</v>
      </c>
      <c r="I49" s="117">
        <f>IFERROR(VLOOKUP(A49,'[2]Alameda Capitalization'!$A:$M,13,0),0)</f>
        <v>0</v>
      </c>
      <c r="J49" s="81">
        <f t="shared" si="4"/>
        <v>0</v>
      </c>
      <c r="K49" t="s">
        <v>896</v>
      </c>
      <c r="L49" s="2">
        <f>D49-IFERROR(VLOOKUP(A49,'[1]AZ WIP'!$A:$F,4,0),0)</f>
        <v>0</v>
      </c>
    </row>
    <row r="50" spans="1:12" ht="13.5" customHeight="1">
      <c r="A50" t="s">
        <v>901</v>
      </c>
      <c r="B50" t="s">
        <v>902</v>
      </c>
      <c r="C50" s="228">
        <f>IFERROR(GETPIVOTDATA("Sum of qty",PT!$A$17,"product",A50,"FL/AZ","AZ"),0)</f>
        <v>0</v>
      </c>
      <c r="D50" s="2">
        <f>C50*48</f>
        <v>0</v>
      </c>
      <c r="E50" s="117">
        <f t="shared" si="5"/>
        <v>0.93172360877594329</v>
      </c>
      <c r="F50" s="1">
        <f t="shared" si="0"/>
        <v>0</v>
      </c>
      <c r="G50" s="117"/>
      <c r="H50" s="18">
        <f t="shared" si="1"/>
        <v>0</v>
      </c>
      <c r="I50" s="117">
        <f>IFERROR(VLOOKUP(A50,'[2]Alameda Capitalization'!$A:$M,13,0),0)</f>
        <v>0</v>
      </c>
      <c r="J50" s="81">
        <f t="shared" si="4"/>
        <v>0</v>
      </c>
      <c r="K50" t="s">
        <v>896</v>
      </c>
      <c r="L50" s="2">
        <f>D50-IFERROR(VLOOKUP(A50,'[1]AZ WIP'!$A:$F,4,0),0)</f>
        <v>0</v>
      </c>
    </row>
    <row r="51" spans="1:12">
      <c r="A51" t="s">
        <v>903</v>
      </c>
      <c r="B51" t="s">
        <v>904</v>
      </c>
      <c r="C51" s="228">
        <f>IFERROR(GETPIVOTDATA("Sum of qty",PT!$A$17,"product",A51,"FL/AZ","AZ"),0)</f>
        <v>0</v>
      </c>
      <c r="D51" s="2">
        <f t="shared" si="11"/>
        <v>0</v>
      </c>
      <c r="E51" s="117">
        <f t="shared" si="5"/>
        <v>0.93172360877594329</v>
      </c>
      <c r="F51" s="1">
        <f t="shared" si="0"/>
        <v>0</v>
      </c>
      <c r="G51" s="117"/>
      <c r="H51" s="18">
        <f t="shared" si="1"/>
        <v>0</v>
      </c>
      <c r="I51" s="117">
        <f>IFERROR(VLOOKUP(A51,'[2]Alameda Capitalization'!$A:$M,13,0),0)</f>
        <v>0</v>
      </c>
      <c r="J51" s="81">
        <f t="shared" si="4"/>
        <v>0</v>
      </c>
      <c r="K51" t="s">
        <v>896</v>
      </c>
      <c r="L51" s="2">
        <f>D51-IFERROR(VLOOKUP(A51,'[1]AZ WIP'!$A:$F,4,0),0)</f>
        <v>0</v>
      </c>
    </row>
    <row r="52" spans="1:12">
      <c r="A52" t="s">
        <v>905</v>
      </c>
      <c r="B52" t="s">
        <v>906</v>
      </c>
      <c r="C52" s="228">
        <f>IFERROR(GETPIVOTDATA("Sum of qty",PT!$A$17,"product",A52,"FL/AZ","AZ"),0)</f>
        <v>0</v>
      </c>
      <c r="D52" s="2">
        <f>C52*48</f>
        <v>0</v>
      </c>
      <c r="E52" s="117">
        <f t="shared" si="5"/>
        <v>0.93172360877594329</v>
      </c>
      <c r="F52" s="1">
        <f t="shared" si="0"/>
        <v>0</v>
      </c>
      <c r="G52" s="117"/>
      <c r="H52" s="18">
        <f>D52*G52</f>
        <v>0</v>
      </c>
      <c r="I52" s="117">
        <f>IFERROR(VLOOKUP(A52,'[2]Alameda Capitalization'!$A:$M,13,0),0)</f>
        <v>0</v>
      </c>
      <c r="J52" s="81">
        <f t="shared" si="4"/>
        <v>0</v>
      </c>
      <c r="K52" t="s">
        <v>907</v>
      </c>
      <c r="L52" s="2">
        <f>D52-IFERROR(VLOOKUP(A52,'[1]AZ WIP'!$A:$F,4,0),0)</f>
        <v>0</v>
      </c>
    </row>
    <row r="53" spans="1:12">
      <c r="A53" t="s">
        <v>908</v>
      </c>
      <c r="B53" t="s">
        <v>909</v>
      </c>
      <c r="C53" s="228">
        <f>IFERROR(GETPIVOTDATA("Sum of qty",PT!$A$17,"product",A53,"FL/AZ","AZ"),0)</f>
        <v>0</v>
      </c>
      <c r="D53" s="2">
        <f t="shared" si="11"/>
        <v>0</v>
      </c>
      <c r="E53" s="117">
        <f t="shared" si="5"/>
        <v>0.93172360877594329</v>
      </c>
      <c r="F53" s="1">
        <f t="shared" si="0"/>
        <v>0</v>
      </c>
      <c r="G53" s="117"/>
      <c r="H53" s="18">
        <f t="shared" si="1"/>
        <v>0</v>
      </c>
      <c r="I53" s="117">
        <f>IFERROR(VLOOKUP(A53,'[2]Alameda Capitalization'!$A:$M,13,0),0)</f>
        <v>0</v>
      </c>
      <c r="J53" s="81">
        <f t="shared" si="4"/>
        <v>0</v>
      </c>
      <c r="K53" t="s">
        <v>907</v>
      </c>
      <c r="L53" s="2">
        <f>D53-IFERROR(VLOOKUP(A53,'[1]AZ WIP'!$A:$F,4,0),0)</f>
        <v>0</v>
      </c>
    </row>
    <row r="54" spans="1:12">
      <c r="C54" s="157"/>
      <c r="F54" s="1"/>
    </row>
    <row r="55" spans="1:12">
      <c r="B55" s="15" t="s">
        <v>822</v>
      </c>
      <c r="C55" s="14">
        <f>SUM(C8:C54)</f>
        <v>410848</v>
      </c>
      <c r="D55" s="14">
        <f>SUM(D8:D54)</f>
        <v>410848</v>
      </c>
      <c r="E55" s="15"/>
      <c r="F55" s="11">
        <f>SUM(F8:F54)</f>
        <v>382796.78121837875</v>
      </c>
      <c r="H55" s="18">
        <f>SUM(H8:H53)</f>
        <v>22000.298999999999</v>
      </c>
      <c r="J55" s="18">
        <f>SUM(J8:J53)</f>
        <v>92089.047119444891</v>
      </c>
    </row>
    <row r="56" spans="1:12">
      <c r="C56" s="275"/>
      <c r="F56" s="1"/>
    </row>
    <row r="57" spans="1:12" ht="13.5" customHeight="1">
      <c r="A57" t="s">
        <v>910</v>
      </c>
      <c r="B57" t="s">
        <v>911</v>
      </c>
      <c r="C57" s="228">
        <f>IFERROR(GETPIVOTDATA("Sum of qty",PT!$A$17,"product",A57,"FL/AZ","AZ"),0)</f>
        <v>0</v>
      </c>
      <c r="D57" s="2">
        <f t="shared" ref="D57:D205" si="29">C57</f>
        <v>0</v>
      </c>
      <c r="E57" s="117">
        <f t="shared" ref="E57:E107" si="30">+$E$10</f>
        <v>0.93172360877594329</v>
      </c>
      <c r="F57" s="1">
        <f t="shared" ref="F57:F72" si="31">D57*E57</f>
        <v>0</v>
      </c>
      <c r="G57" s="117"/>
      <c r="H57" s="18">
        <f>D57*G57</f>
        <v>0</v>
      </c>
      <c r="I57" s="117">
        <f>IFERROR(VLOOKUP(A57,'[2]Alameda Capitalization'!$A:$M,13,0),0)</f>
        <v>0</v>
      </c>
      <c r="J57" s="81">
        <f t="shared" ref="J57:J129" si="32">C57*I57</f>
        <v>0</v>
      </c>
      <c r="K57" t="s">
        <v>907</v>
      </c>
      <c r="L57" s="2">
        <f>D57-IFERROR(VLOOKUP(A57,'[1]AZ WIP'!$A:$F,4,0),0)</f>
        <v>0</v>
      </c>
    </row>
    <row r="58" spans="1:12">
      <c r="A58" t="s">
        <v>912</v>
      </c>
      <c r="B58" t="s">
        <v>913</v>
      </c>
      <c r="C58" s="228">
        <f>IFERROR(GETPIVOTDATA("Sum of qty",PT!$A$17,"product",A58,"FL/AZ","AZ"),0)</f>
        <v>0</v>
      </c>
      <c r="D58" s="2">
        <f t="shared" si="29"/>
        <v>0</v>
      </c>
      <c r="E58" s="117"/>
      <c r="F58" s="1">
        <f t="shared" si="31"/>
        <v>0</v>
      </c>
      <c r="G58" s="117"/>
      <c r="H58" s="18">
        <f t="shared" ref="H58:H61" si="33">D58*G58</f>
        <v>0</v>
      </c>
      <c r="I58" s="117">
        <f>IFERROR(VLOOKUP(A58,'[2]Alameda Capitalization'!$A:$M,13,0),0)</f>
        <v>0</v>
      </c>
      <c r="J58" s="81">
        <f t="shared" si="32"/>
        <v>0</v>
      </c>
      <c r="K58" t="s">
        <v>907</v>
      </c>
      <c r="L58" s="2">
        <f>D58-IFERROR(VLOOKUP(A58,'[1]AZ WIP'!$A:$F,4,0),0)</f>
        <v>0</v>
      </c>
    </row>
    <row r="59" spans="1:12">
      <c r="A59" t="s">
        <v>364</v>
      </c>
      <c r="B59" t="s">
        <v>365</v>
      </c>
      <c r="C59" s="228">
        <f>IFERROR(GETPIVOTDATA("Sum of qty",PT!$A$17,"product",A59,"FL/AZ","AZ"),0)</f>
        <v>0</v>
      </c>
      <c r="D59" s="2">
        <f t="shared" si="29"/>
        <v>0</v>
      </c>
      <c r="E59" s="117">
        <f t="shared" si="30"/>
        <v>0.93172360877594329</v>
      </c>
      <c r="F59" s="1">
        <f t="shared" si="31"/>
        <v>0</v>
      </c>
      <c r="G59" s="117"/>
      <c r="H59" s="18">
        <f t="shared" si="33"/>
        <v>0</v>
      </c>
      <c r="I59" s="117">
        <f>IFERROR(VLOOKUP(A59,'[2]Alameda Capitalization'!$A:$M,13,0),0)</f>
        <v>0</v>
      </c>
      <c r="J59" s="81">
        <f t="shared" si="32"/>
        <v>0</v>
      </c>
      <c r="K59" t="s">
        <v>907</v>
      </c>
      <c r="L59" s="2">
        <f>D59-IFERROR(VLOOKUP(A59,'[1]AZ WIP'!$A:$F,4,0),0)</f>
        <v>0</v>
      </c>
    </row>
    <row r="60" spans="1:12">
      <c r="A60" t="s">
        <v>914</v>
      </c>
      <c r="B60" t="s">
        <v>915</v>
      </c>
      <c r="C60" s="228">
        <f>IFERROR(GETPIVOTDATA("Sum of qty",PT!$A$17,"product",A60,"FL/AZ","AZ"),0)</f>
        <v>0</v>
      </c>
      <c r="D60" s="2">
        <f t="shared" si="29"/>
        <v>0</v>
      </c>
      <c r="E60" s="117">
        <f t="shared" si="30"/>
        <v>0.93172360877594329</v>
      </c>
      <c r="F60" s="1">
        <f t="shared" si="31"/>
        <v>0</v>
      </c>
      <c r="G60" s="117"/>
      <c r="H60" s="18">
        <f t="shared" si="33"/>
        <v>0</v>
      </c>
      <c r="I60" s="117">
        <f>IFERROR(VLOOKUP(A60,'[2]Alameda Capitalization'!$A:$M,13,0),0)</f>
        <v>0</v>
      </c>
      <c r="J60" s="81">
        <f t="shared" si="32"/>
        <v>0</v>
      </c>
      <c r="K60" t="s">
        <v>907</v>
      </c>
      <c r="L60" s="2">
        <f>D60-IFERROR(VLOOKUP(A60,'[1]AZ WIP'!$A:$F,4,0),0)</f>
        <v>0</v>
      </c>
    </row>
    <row r="61" spans="1:12">
      <c r="A61" t="s">
        <v>916</v>
      </c>
      <c r="B61" t="s">
        <v>917</v>
      </c>
      <c r="C61" s="228">
        <f>IFERROR(GETPIVOTDATA("Sum of qty",PT!$A$17,"product",A61,"FL/AZ","AZ"),0)</f>
        <v>0</v>
      </c>
      <c r="D61" s="2">
        <f t="shared" si="29"/>
        <v>0</v>
      </c>
      <c r="E61" s="117">
        <f t="shared" si="30"/>
        <v>0.93172360877594329</v>
      </c>
      <c r="F61" s="1">
        <f t="shared" si="31"/>
        <v>0</v>
      </c>
      <c r="G61" s="117"/>
      <c r="H61" s="18">
        <f t="shared" si="33"/>
        <v>0</v>
      </c>
      <c r="I61" s="117">
        <f>IFERROR(VLOOKUP(A61,'[2]Alameda Capitalization'!$A:$M,13,0),0)</f>
        <v>0</v>
      </c>
      <c r="J61" s="81">
        <f t="shared" si="32"/>
        <v>0</v>
      </c>
      <c r="K61" t="s">
        <v>907</v>
      </c>
      <c r="L61" s="2">
        <f>D61-IFERROR(VLOOKUP(A61,'[1]AZ WIP'!$A:$F,4,0),0)</f>
        <v>0</v>
      </c>
    </row>
    <row r="62" spans="1:12">
      <c r="A62" t="s">
        <v>918</v>
      </c>
      <c r="B62" t="s">
        <v>919</v>
      </c>
      <c r="C62" s="228">
        <f>IFERROR(GETPIVOTDATA("Sum of qty",PT!$A$17,"product",A62,"FL/AZ","AZ"),0)</f>
        <v>0</v>
      </c>
      <c r="D62" s="2">
        <f t="shared" si="29"/>
        <v>0</v>
      </c>
      <c r="E62" s="117">
        <f t="shared" si="30"/>
        <v>0.93172360877594329</v>
      </c>
      <c r="F62" s="1">
        <f t="shared" si="31"/>
        <v>0</v>
      </c>
      <c r="G62" s="117"/>
      <c r="H62" s="18">
        <f t="shared" ref="H62" si="34">D62*G62</f>
        <v>0</v>
      </c>
      <c r="I62" s="117">
        <f>IFERROR(VLOOKUP(A62,'[2]Alameda Capitalization'!$A:$M,13,0),0)</f>
        <v>0</v>
      </c>
      <c r="J62" s="81">
        <f t="shared" si="32"/>
        <v>0</v>
      </c>
      <c r="K62" t="s">
        <v>907</v>
      </c>
      <c r="L62" s="2">
        <f>D62-IFERROR(VLOOKUP(A62,'[1]AZ WIP'!$A:$F,4,0),0)</f>
        <v>0</v>
      </c>
    </row>
    <row r="63" spans="1:12">
      <c r="A63" t="s">
        <v>920</v>
      </c>
      <c r="B63" t="s">
        <v>921</v>
      </c>
      <c r="C63" s="228">
        <f>IFERROR(GETPIVOTDATA("Sum of qty",PT!$A$17,"product",A63,"FL/AZ","AZ"),0)</f>
        <v>0</v>
      </c>
      <c r="D63" s="2">
        <f t="shared" si="29"/>
        <v>0</v>
      </c>
      <c r="E63" s="117">
        <f t="shared" si="30"/>
        <v>0.93172360877594329</v>
      </c>
      <c r="F63" s="1">
        <f t="shared" si="31"/>
        <v>0</v>
      </c>
      <c r="G63" s="117"/>
      <c r="H63" s="18">
        <f t="shared" ref="H63:H206" si="35">D63*G63</f>
        <v>0</v>
      </c>
      <c r="I63" s="117">
        <f>IFERROR(VLOOKUP(A63,'[2]Alameda Capitalization'!$A:$M,13,0),0)</f>
        <v>0</v>
      </c>
      <c r="J63" s="81">
        <f t="shared" si="32"/>
        <v>0</v>
      </c>
      <c r="K63" t="s">
        <v>907</v>
      </c>
      <c r="L63" s="2">
        <f>D63-IFERROR(VLOOKUP(A63,'[1]AZ WIP'!$A:$F,4,0),0)</f>
        <v>0</v>
      </c>
    </row>
    <row r="64" spans="1:12">
      <c r="A64" t="s">
        <v>922</v>
      </c>
      <c r="B64" t="s">
        <v>923</v>
      </c>
      <c r="C64" s="228">
        <f>IFERROR(GETPIVOTDATA("Sum of qty",PT!$A$17,"product",A64,"FL/AZ","AZ"),0)</f>
        <v>0</v>
      </c>
      <c r="D64" s="2">
        <f t="shared" si="29"/>
        <v>0</v>
      </c>
      <c r="E64" s="117">
        <f t="shared" si="30"/>
        <v>0.93172360877594329</v>
      </c>
      <c r="F64" s="1">
        <f t="shared" si="31"/>
        <v>0</v>
      </c>
      <c r="G64" s="117"/>
      <c r="H64" s="18">
        <f t="shared" si="35"/>
        <v>0</v>
      </c>
      <c r="I64" s="117">
        <f>IFERROR(VLOOKUP(A64,'[2]Alameda Capitalization'!$A:$M,13,0),0)</f>
        <v>0.37682125621923468</v>
      </c>
      <c r="J64" s="81">
        <f t="shared" si="32"/>
        <v>0</v>
      </c>
      <c r="K64" t="s">
        <v>907</v>
      </c>
      <c r="L64" s="2">
        <f>D64-IFERROR(VLOOKUP(A64,'[1]AZ WIP'!$A:$F,4,0),0)</f>
        <v>0</v>
      </c>
    </row>
    <row r="65" spans="1:12">
      <c r="A65" t="s">
        <v>924</v>
      </c>
      <c r="B65" t="s">
        <v>925</v>
      </c>
      <c r="C65" s="228">
        <f>IFERROR(GETPIVOTDATA("Sum of qty",PT!$A$17,"product",A65,"FL/AZ","AZ"),0)</f>
        <v>0</v>
      </c>
      <c r="D65" s="2">
        <f t="shared" si="29"/>
        <v>0</v>
      </c>
      <c r="E65" s="117">
        <f t="shared" si="30"/>
        <v>0.93172360877594329</v>
      </c>
      <c r="F65" s="1">
        <f>D65*E65</f>
        <v>0</v>
      </c>
      <c r="G65" s="117"/>
      <c r="H65" s="18">
        <f t="shared" ref="H65:H70" si="36">D65*G65</f>
        <v>0</v>
      </c>
      <c r="I65" s="117">
        <f>IFERROR(VLOOKUP(A65,'[2]Alameda Capitalization'!$A:$M,13,0),0)</f>
        <v>0</v>
      </c>
      <c r="J65" s="81">
        <f t="shared" si="32"/>
        <v>0</v>
      </c>
      <c r="K65" t="s">
        <v>907</v>
      </c>
      <c r="L65" s="2">
        <f>D65-IFERROR(VLOOKUP(A65,'[1]AZ WIP'!$A:$F,4,0),0)</f>
        <v>0</v>
      </c>
    </row>
    <row r="66" spans="1:12">
      <c r="A66" t="s">
        <v>926</v>
      </c>
      <c r="B66" t="s">
        <v>927</v>
      </c>
      <c r="C66" s="228">
        <f>IFERROR(GETPIVOTDATA("Sum of qty",PT!$A$17,"product",A66,"FL/AZ","AZ"),0)</f>
        <v>0</v>
      </c>
      <c r="D66" s="2">
        <f t="shared" ref="D66" si="37">C66</f>
        <v>0</v>
      </c>
      <c r="E66" s="117">
        <f t="shared" si="30"/>
        <v>0.93172360877594329</v>
      </c>
      <c r="F66" s="1">
        <f>D66*E66</f>
        <v>0</v>
      </c>
      <c r="G66" s="117"/>
      <c r="H66" s="18">
        <f t="shared" si="36"/>
        <v>0</v>
      </c>
      <c r="I66" s="117">
        <f>IFERROR(VLOOKUP(A66,'[2]Alameda Capitalization'!$A:$M,13,0),0)</f>
        <v>0</v>
      </c>
      <c r="J66" s="81">
        <f t="shared" si="32"/>
        <v>0</v>
      </c>
      <c r="K66" t="s">
        <v>907</v>
      </c>
      <c r="L66" s="2">
        <f>D66-IFERROR(VLOOKUP(A66,'[1]AZ WIP'!$A:$F,4,0),0)</f>
        <v>0</v>
      </c>
    </row>
    <row r="67" spans="1:12">
      <c r="A67" t="s">
        <v>928</v>
      </c>
      <c r="B67" t="s">
        <v>929</v>
      </c>
      <c r="C67" s="228">
        <f>IFERROR(GETPIVOTDATA("Sum of qty",PT!$A$17,"product",A67,"FL/AZ","AZ"),0)</f>
        <v>0</v>
      </c>
      <c r="D67" s="2">
        <f t="shared" si="29"/>
        <v>0</v>
      </c>
      <c r="E67" s="117">
        <f t="shared" si="30"/>
        <v>0.93172360877594329</v>
      </c>
      <c r="F67" s="1">
        <f>D67*E67</f>
        <v>0</v>
      </c>
      <c r="G67" s="117"/>
      <c r="H67" s="18">
        <f t="shared" si="36"/>
        <v>0</v>
      </c>
      <c r="I67" s="117">
        <f>IFERROR(VLOOKUP(A67,'[2]Alameda Capitalization'!$A:$M,13,0),0)</f>
        <v>0</v>
      </c>
      <c r="J67" s="81">
        <f t="shared" si="32"/>
        <v>0</v>
      </c>
      <c r="K67" t="s">
        <v>907</v>
      </c>
      <c r="L67" s="2">
        <f>D67-IFERROR(VLOOKUP(A67,'[1]AZ WIP'!$A:$F,4,0),0)</f>
        <v>0</v>
      </c>
    </row>
    <row r="68" spans="1:12">
      <c r="A68" t="s">
        <v>128</v>
      </c>
      <c r="B68" t="s">
        <v>129</v>
      </c>
      <c r="C68" s="228">
        <f>IFERROR(GETPIVOTDATA("Sum of qty",PT!$A$17,"product",A68,"FL/AZ","AZ"),0)</f>
        <v>130</v>
      </c>
      <c r="D68" s="2">
        <f>C68</f>
        <v>130</v>
      </c>
      <c r="E68" s="117">
        <f t="shared" si="30"/>
        <v>0.93172360877594329</v>
      </c>
      <c r="F68" s="1">
        <f t="shared" si="31"/>
        <v>121.12406914087262</v>
      </c>
      <c r="G68" s="117"/>
      <c r="H68" s="18">
        <f t="shared" si="36"/>
        <v>0</v>
      </c>
      <c r="I68" s="117">
        <f>IFERROR(VLOOKUP(A68,'[2]Alameda Capitalization'!$A:$M,13,0),0)</f>
        <v>0.37682125621923468</v>
      </c>
      <c r="J68" s="81">
        <f t="shared" si="32"/>
        <v>48.986763308500507</v>
      </c>
      <c r="K68" t="s">
        <v>907</v>
      </c>
      <c r="L68" s="2">
        <f>D68-IFERROR(VLOOKUP(A68,'[1]AZ WIP'!$A:$F,4,0),0)</f>
        <v>0</v>
      </c>
    </row>
    <row r="69" spans="1:12">
      <c r="A69" s="157" t="s">
        <v>930</v>
      </c>
      <c r="B69" t="s">
        <v>931</v>
      </c>
      <c r="C69" s="228">
        <f>IFERROR(GETPIVOTDATA("Sum of qty",PT!$A$17,"product",A69,"FL/AZ","AZ"),0)</f>
        <v>5185</v>
      </c>
      <c r="D69" s="2">
        <f>C69</f>
        <v>5185</v>
      </c>
      <c r="E69" s="117">
        <f t="shared" si="30"/>
        <v>0.93172360877594329</v>
      </c>
      <c r="F69" s="1">
        <f t="shared" si="31"/>
        <v>4830.9869115032661</v>
      </c>
      <c r="G69" s="117"/>
      <c r="H69" s="18">
        <f t="shared" si="36"/>
        <v>0</v>
      </c>
      <c r="I69" s="117">
        <f>IFERROR(VLOOKUP(A69,'[2]Alameda Capitalization'!$A:$M,13,0),0)</f>
        <v>0</v>
      </c>
      <c r="J69" s="81">
        <f t="shared" si="32"/>
        <v>0</v>
      </c>
      <c r="K69" t="s">
        <v>907</v>
      </c>
      <c r="L69" s="2">
        <f>D69-IFERROR(VLOOKUP(A69,'[1]AZ WIP'!$A:$F,4,0),0)</f>
        <v>5185</v>
      </c>
    </row>
    <row r="70" spans="1:12">
      <c r="A70" s="157" t="s">
        <v>932</v>
      </c>
      <c r="B70" t="s">
        <v>933</v>
      </c>
      <c r="C70" s="228">
        <f>IFERROR(GETPIVOTDATA("Sum of qty",PT!$A$17,"product",A70,"FL/AZ","AZ"),0)</f>
        <v>0</v>
      </c>
      <c r="D70" s="2">
        <f>C70</f>
        <v>0</v>
      </c>
      <c r="E70" s="117">
        <f t="shared" si="30"/>
        <v>0.93172360877594329</v>
      </c>
      <c r="F70" s="1">
        <f>D70*E70</f>
        <v>0</v>
      </c>
      <c r="G70" s="117"/>
      <c r="H70" s="18">
        <f t="shared" si="36"/>
        <v>0</v>
      </c>
      <c r="I70" s="117">
        <f>IFERROR(VLOOKUP(A70,'[2]Alameda Capitalization'!$A:$M,13,0),0)</f>
        <v>0</v>
      </c>
      <c r="J70" s="81">
        <f t="shared" si="32"/>
        <v>0</v>
      </c>
      <c r="K70" t="s">
        <v>907</v>
      </c>
      <c r="L70" s="2">
        <f>D70-IFERROR(VLOOKUP(A70,'[1]AZ WIP'!$A:$F,4,0),0)</f>
        <v>0</v>
      </c>
    </row>
    <row r="71" spans="1:12">
      <c r="A71" t="s">
        <v>934</v>
      </c>
      <c r="B71" t="s">
        <v>935</v>
      </c>
      <c r="C71" s="228">
        <f>IFERROR(GETPIVOTDATA("Sum of qty",PT!$A$17,"product",A71,"FL/AZ","AZ"),0)</f>
        <v>0</v>
      </c>
      <c r="D71" s="2">
        <f t="shared" si="29"/>
        <v>0</v>
      </c>
      <c r="E71" s="117">
        <f t="shared" si="30"/>
        <v>0.93172360877594329</v>
      </c>
      <c r="F71" s="1">
        <f t="shared" si="31"/>
        <v>0</v>
      </c>
      <c r="G71" s="117"/>
      <c r="H71" s="18">
        <f t="shared" si="35"/>
        <v>0</v>
      </c>
      <c r="I71" s="117">
        <f>IFERROR(VLOOKUP(A71,'[2]Alameda Capitalization'!$A:$M,13,0),0)</f>
        <v>0</v>
      </c>
      <c r="J71" s="81">
        <f t="shared" si="32"/>
        <v>0</v>
      </c>
      <c r="K71" t="s">
        <v>907</v>
      </c>
      <c r="L71" s="2">
        <f>D71-IFERROR(VLOOKUP(A71,'[1]AZ WIP'!$A:$F,4,0),0)</f>
        <v>0</v>
      </c>
    </row>
    <row r="72" spans="1:12">
      <c r="A72" t="s">
        <v>936</v>
      </c>
      <c r="B72" t="s">
        <v>937</v>
      </c>
      <c r="C72" s="228">
        <f>IFERROR(GETPIVOTDATA("Sum of qty",PT!$A$17,"product",A72,"FL/AZ","AZ"),0)</f>
        <v>0</v>
      </c>
      <c r="D72" s="2">
        <f t="shared" si="29"/>
        <v>0</v>
      </c>
      <c r="E72" s="117">
        <f t="shared" si="30"/>
        <v>0.93172360877594329</v>
      </c>
      <c r="F72" s="1">
        <f t="shared" si="31"/>
        <v>0</v>
      </c>
      <c r="G72" s="117"/>
      <c r="H72" s="18">
        <f t="shared" si="35"/>
        <v>0</v>
      </c>
      <c r="I72" s="117">
        <f>IFERROR(VLOOKUP(A72,'[2]Alameda Capitalization'!$A:$M,13,0),0)</f>
        <v>0</v>
      </c>
      <c r="J72" s="81">
        <f t="shared" si="32"/>
        <v>0</v>
      </c>
      <c r="K72" t="s">
        <v>907</v>
      </c>
      <c r="L72" s="2">
        <f>D72-IFERROR(VLOOKUP(A72,'[1]AZ WIP'!$A:$F,4,0),0)</f>
        <v>0</v>
      </c>
    </row>
    <row r="73" spans="1:12">
      <c r="A73" t="s">
        <v>938</v>
      </c>
      <c r="B73" t="s">
        <v>939</v>
      </c>
      <c r="C73" s="228">
        <f>IFERROR(GETPIVOTDATA("Sum of qty",PT!$A$17,"product",A73,"FL/AZ","AZ"),0)</f>
        <v>0</v>
      </c>
      <c r="D73" s="2">
        <f t="shared" si="29"/>
        <v>0</v>
      </c>
      <c r="E73" s="117">
        <f t="shared" si="30"/>
        <v>0.93172360877594329</v>
      </c>
      <c r="F73" s="1">
        <f t="shared" ref="F73:F160" si="38">D73*E73</f>
        <v>0</v>
      </c>
      <c r="G73" s="117"/>
      <c r="H73" s="18">
        <f t="shared" si="35"/>
        <v>0</v>
      </c>
      <c r="I73" s="117">
        <f>IFERROR(VLOOKUP(A73,'[2]Alameda Capitalization'!$A:$M,13,0),0)</f>
        <v>0</v>
      </c>
      <c r="J73" s="81">
        <f t="shared" si="32"/>
        <v>0</v>
      </c>
      <c r="K73" t="s">
        <v>907</v>
      </c>
      <c r="L73" s="2">
        <f>D73-IFERROR(VLOOKUP(A73,'[1]AZ WIP'!$A:$F,4,0),0)</f>
        <v>0</v>
      </c>
    </row>
    <row r="74" spans="1:12">
      <c r="A74" t="s">
        <v>940</v>
      </c>
      <c r="B74" t="s">
        <v>941</v>
      </c>
      <c r="C74" s="228">
        <f>IFERROR(GETPIVOTDATA("Sum of qty",PT!$A$17,"product",A74,"FL/AZ","AZ"),0)</f>
        <v>0</v>
      </c>
      <c r="D74" s="2">
        <f t="shared" si="29"/>
        <v>0</v>
      </c>
      <c r="E74" s="117">
        <f t="shared" si="30"/>
        <v>0.93172360877594329</v>
      </c>
      <c r="F74" s="1">
        <f t="shared" si="38"/>
        <v>0</v>
      </c>
      <c r="G74" s="117"/>
      <c r="H74" s="18">
        <f t="shared" si="35"/>
        <v>0</v>
      </c>
      <c r="I74" s="117">
        <f>IFERROR(VLOOKUP(A74,'[2]Alameda Capitalization'!$A:$M,13,0),0)</f>
        <v>0</v>
      </c>
      <c r="J74" s="81">
        <f t="shared" si="32"/>
        <v>0</v>
      </c>
      <c r="K74" t="s">
        <v>907</v>
      </c>
      <c r="L74" s="2">
        <f>D74-IFERROR(VLOOKUP(A74,'[1]AZ WIP'!$A:$F,4,0),0)</f>
        <v>0</v>
      </c>
    </row>
    <row r="75" spans="1:12">
      <c r="A75" t="s">
        <v>942</v>
      </c>
      <c r="B75" t="s">
        <v>943</v>
      </c>
      <c r="C75" s="228">
        <f>IFERROR(GETPIVOTDATA("Sum of qty",PT!$A$17,"product",A75,"FL/AZ","AZ"),0)</f>
        <v>0</v>
      </c>
      <c r="D75" s="2">
        <f t="shared" si="29"/>
        <v>0</v>
      </c>
      <c r="E75" s="117">
        <f t="shared" si="30"/>
        <v>0.93172360877594329</v>
      </c>
      <c r="F75" s="1">
        <f t="shared" si="38"/>
        <v>0</v>
      </c>
      <c r="G75" s="117"/>
      <c r="H75" s="18">
        <f t="shared" si="35"/>
        <v>0</v>
      </c>
      <c r="I75" s="117">
        <f>IFERROR(VLOOKUP(A75,'[2]Alameda Capitalization'!$A:$M,13,0),0)</f>
        <v>0</v>
      </c>
      <c r="J75" s="81">
        <f t="shared" si="32"/>
        <v>0</v>
      </c>
      <c r="K75" t="s">
        <v>907</v>
      </c>
      <c r="L75" s="2">
        <f>D75-IFERROR(VLOOKUP(A75,'[1]AZ WIP'!$A:$F,4,0),0)</f>
        <v>0</v>
      </c>
    </row>
    <row r="76" spans="1:12">
      <c r="A76" t="s">
        <v>944</v>
      </c>
      <c r="B76" t="s">
        <v>945</v>
      </c>
      <c r="C76" s="228">
        <f>IFERROR(GETPIVOTDATA("Sum of qty",PT!$A$17,"product",A76,"FL/AZ","AZ"),0)</f>
        <v>0</v>
      </c>
      <c r="D76" s="2">
        <f t="shared" si="29"/>
        <v>0</v>
      </c>
      <c r="E76" s="117">
        <f t="shared" si="30"/>
        <v>0.93172360877594329</v>
      </c>
      <c r="F76" s="1">
        <f t="shared" si="38"/>
        <v>0</v>
      </c>
      <c r="G76" s="117"/>
      <c r="H76" s="18">
        <f t="shared" si="35"/>
        <v>0</v>
      </c>
      <c r="I76" s="117">
        <f>IFERROR(VLOOKUP(A76,'[2]Alameda Capitalization'!$A:$M,13,0),0)</f>
        <v>0</v>
      </c>
      <c r="J76" s="81">
        <f t="shared" si="32"/>
        <v>0</v>
      </c>
      <c r="K76" t="s">
        <v>907</v>
      </c>
      <c r="L76" s="2">
        <f>D76-IFERROR(VLOOKUP(A76,'[1]AZ WIP'!$A:$F,4,0),0)</f>
        <v>0</v>
      </c>
    </row>
    <row r="77" spans="1:12">
      <c r="A77" t="s">
        <v>946</v>
      </c>
      <c r="B77" t="s">
        <v>947</v>
      </c>
      <c r="C77" s="228">
        <f>IFERROR(GETPIVOTDATA("Sum of qty",PT!$A$17,"product",A77,"FL/AZ","AZ"),0)</f>
        <v>0</v>
      </c>
      <c r="D77" s="2">
        <f t="shared" si="29"/>
        <v>0</v>
      </c>
      <c r="E77" s="117">
        <f t="shared" si="30"/>
        <v>0.93172360877594329</v>
      </c>
      <c r="F77" s="1">
        <f>D77*E77</f>
        <v>0</v>
      </c>
      <c r="G77" s="117"/>
      <c r="H77" s="18">
        <f t="shared" si="35"/>
        <v>0</v>
      </c>
      <c r="I77" s="117">
        <f>IFERROR(VLOOKUP(A77,'[2]Alameda Capitalization'!$A:$M,13,0),0)</f>
        <v>0</v>
      </c>
      <c r="J77" s="81">
        <f t="shared" si="32"/>
        <v>0</v>
      </c>
      <c r="K77" t="s">
        <v>907</v>
      </c>
      <c r="L77" s="2">
        <f>D77-IFERROR(VLOOKUP(A77,'[1]AZ WIP'!$A:$F,4,0),0)</f>
        <v>0</v>
      </c>
    </row>
    <row r="78" spans="1:12">
      <c r="A78" t="s">
        <v>948</v>
      </c>
      <c r="B78" t="s">
        <v>949</v>
      </c>
      <c r="C78" s="228">
        <f>IFERROR(GETPIVOTDATA("Sum of qty",PT!$A$17,"product",A78,"FL/AZ","AZ"),0)</f>
        <v>0</v>
      </c>
      <c r="D78" s="2">
        <f t="shared" si="29"/>
        <v>0</v>
      </c>
      <c r="E78" s="117">
        <f t="shared" si="30"/>
        <v>0.93172360877594329</v>
      </c>
      <c r="F78" s="1">
        <f>D78*E78</f>
        <v>0</v>
      </c>
      <c r="G78" s="117"/>
      <c r="H78" s="18">
        <f t="shared" si="35"/>
        <v>0</v>
      </c>
      <c r="I78" s="117">
        <f>IFERROR(VLOOKUP(A78,'[2]Alameda Capitalization'!$A:$M,13,0),0)</f>
        <v>0</v>
      </c>
      <c r="J78" s="81">
        <f t="shared" si="32"/>
        <v>0</v>
      </c>
      <c r="K78" t="s">
        <v>907</v>
      </c>
      <c r="L78" s="2">
        <f>D78-IFERROR(VLOOKUP(A78,'[1]AZ WIP'!$A:$F,4,0),0)</f>
        <v>0</v>
      </c>
    </row>
    <row r="79" spans="1:12">
      <c r="A79" t="s">
        <v>950</v>
      </c>
      <c r="B79" t="s">
        <v>951</v>
      </c>
      <c r="C79" s="228">
        <f>IFERROR(GETPIVOTDATA("Sum of qty",PT!$A$17,"product",A79,"FL/AZ","AZ"),0)</f>
        <v>0</v>
      </c>
      <c r="D79" s="2">
        <f t="shared" ref="D79" si="39">C79</f>
        <v>0</v>
      </c>
      <c r="E79" s="117"/>
      <c r="F79" s="1">
        <f>D79*E79</f>
        <v>0</v>
      </c>
      <c r="G79" s="117"/>
      <c r="H79" s="18">
        <f t="shared" ref="H79" si="40">D79*G79</f>
        <v>0</v>
      </c>
      <c r="I79" s="117">
        <f>IFERROR(VLOOKUP(A79,'[2]Alameda Capitalization'!$A:$M,13,0),0)</f>
        <v>0</v>
      </c>
      <c r="J79" s="81">
        <f t="shared" si="32"/>
        <v>0</v>
      </c>
      <c r="K79" t="s">
        <v>907</v>
      </c>
      <c r="L79" s="2">
        <f>D79-IFERROR(VLOOKUP(A79,'[1]AZ WIP'!$A:$F,4,0),0)</f>
        <v>0</v>
      </c>
    </row>
    <row r="80" spans="1:12">
      <c r="A80" t="s">
        <v>504</v>
      </c>
      <c r="B80" t="s">
        <v>952</v>
      </c>
      <c r="C80" s="228">
        <f>IFERROR(GETPIVOTDATA("Sum of qty",PT!$A$17,"product",A80,"FL/AZ","AZ"),0)</f>
        <v>0</v>
      </c>
      <c r="D80" s="2">
        <f t="shared" si="29"/>
        <v>0</v>
      </c>
      <c r="E80" s="117"/>
      <c r="F80" s="1">
        <f>D80*E80</f>
        <v>0</v>
      </c>
      <c r="G80" s="117"/>
      <c r="H80" s="18">
        <f t="shared" ref="H80" si="41">D80*G80</f>
        <v>0</v>
      </c>
      <c r="I80" s="117">
        <f>IFERROR(VLOOKUP(A80,'[2]Alameda Capitalization'!$A:$M,13,0),0)</f>
        <v>0</v>
      </c>
      <c r="J80" s="81">
        <f t="shared" si="32"/>
        <v>0</v>
      </c>
      <c r="K80" t="s">
        <v>907</v>
      </c>
      <c r="L80" s="2">
        <f>D80-IFERROR(VLOOKUP(A80,'[1]AZ WIP'!$A:$F,4,0),0)</f>
        <v>0</v>
      </c>
    </row>
    <row r="81" spans="1:12">
      <c r="A81" t="s">
        <v>293</v>
      </c>
      <c r="B81" t="s">
        <v>294</v>
      </c>
      <c r="C81" s="228">
        <f>IFERROR(GETPIVOTDATA("Sum of qty",PT!$A$17,"product",A81,"FL/AZ","AZ"),0)</f>
        <v>0</v>
      </c>
      <c r="D81" s="2">
        <f t="shared" ref="D81" si="42">C81</f>
        <v>0</v>
      </c>
      <c r="E81" s="117">
        <f t="shared" si="30"/>
        <v>0.93172360877594329</v>
      </c>
      <c r="F81" s="1">
        <f>D81*E81</f>
        <v>0</v>
      </c>
      <c r="G81" s="117"/>
      <c r="H81" s="18">
        <f t="shared" ref="H81" si="43">D81*G81</f>
        <v>0</v>
      </c>
      <c r="I81" s="117">
        <f>IFERROR(VLOOKUP(A81,'[2]Alameda Capitalization'!$A:$M,13,0),0)</f>
        <v>0.38648333971203558</v>
      </c>
      <c r="J81" s="81">
        <f t="shared" ref="J81" si="44">C81*I81</f>
        <v>0</v>
      </c>
      <c r="K81" t="s">
        <v>907</v>
      </c>
      <c r="L81" s="2">
        <f>D81-IFERROR(VLOOKUP(A81,'[1]AZ WIP'!$A:$F,4,0),0)</f>
        <v>0</v>
      </c>
    </row>
    <row r="82" spans="1:12">
      <c r="A82" t="s">
        <v>953</v>
      </c>
      <c r="B82" t="s">
        <v>954</v>
      </c>
      <c r="C82" s="228">
        <f>IFERROR(GETPIVOTDATA("Sum of qty",PT!$A$17,"product",A82,"FL/AZ","AZ"),0)</f>
        <v>0</v>
      </c>
      <c r="D82" s="2">
        <f t="shared" si="29"/>
        <v>0</v>
      </c>
      <c r="E82" s="117">
        <f t="shared" si="30"/>
        <v>0.93172360877594329</v>
      </c>
      <c r="F82" s="1">
        <f t="shared" si="38"/>
        <v>0</v>
      </c>
      <c r="G82" s="117"/>
      <c r="H82" s="18">
        <f t="shared" si="35"/>
        <v>0</v>
      </c>
      <c r="I82" s="117">
        <f>IFERROR(VLOOKUP(A82,'[2]Alameda Capitalization'!$A:$M,13,0),0)</f>
        <v>0</v>
      </c>
      <c r="J82" s="81">
        <f t="shared" si="32"/>
        <v>0</v>
      </c>
      <c r="K82" t="s">
        <v>907</v>
      </c>
      <c r="L82" s="2">
        <f>D82-IFERROR(VLOOKUP(A82,'[1]AZ WIP'!$A:$F,4,0),0)</f>
        <v>0</v>
      </c>
    </row>
    <row r="83" spans="1:12">
      <c r="A83" t="s">
        <v>451</v>
      </c>
      <c r="B83" t="s">
        <v>452</v>
      </c>
      <c r="C83" s="228">
        <f>IFERROR(GETPIVOTDATA("Sum of qty",PT!$A$17,"product",A83,"FL/AZ","AZ"),0)</f>
        <v>0</v>
      </c>
      <c r="D83" s="2">
        <f t="shared" ref="D83" si="45">C83</f>
        <v>0</v>
      </c>
      <c r="E83" s="117"/>
      <c r="F83" s="1">
        <f t="shared" ref="F83" si="46">D83*E83</f>
        <v>0</v>
      </c>
      <c r="G83" s="117"/>
      <c r="H83" s="18">
        <f t="shared" ref="H83" si="47">D83*G83</f>
        <v>0</v>
      </c>
      <c r="I83" s="117">
        <f>IFERROR(VLOOKUP(A83,'[2]Alameda Capitalization'!$A:$M,13,0),0)</f>
        <v>0</v>
      </c>
      <c r="J83" s="81">
        <f t="shared" si="32"/>
        <v>0</v>
      </c>
      <c r="K83" t="s">
        <v>907</v>
      </c>
      <c r="L83" s="2">
        <f>D83-IFERROR(VLOOKUP(A83,'[1]AZ WIP'!$A:$F,4,0),0)</f>
        <v>0</v>
      </c>
    </row>
    <row r="84" spans="1:12">
      <c r="A84" t="s">
        <v>955</v>
      </c>
      <c r="B84" t="s">
        <v>956</v>
      </c>
      <c r="C84" s="228">
        <f>IFERROR(GETPIVOTDATA("Sum of qty",PT!$A$17,"product",A84,"FL/AZ","AZ"),0)</f>
        <v>0</v>
      </c>
      <c r="D84" s="2">
        <f t="shared" si="29"/>
        <v>0</v>
      </c>
      <c r="E84" s="117"/>
      <c r="F84" s="1">
        <f t="shared" si="38"/>
        <v>0</v>
      </c>
      <c r="G84" s="117"/>
      <c r="H84" s="18">
        <f t="shared" si="35"/>
        <v>0</v>
      </c>
      <c r="I84" s="117">
        <f>IFERROR(VLOOKUP(A84,'[2]Alameda Capitalization'!$A:$M,13,0),0)</f>
        <v>0</v>
      </c>
      <c r="J84" s="81">
        <f t="shared" si="32"/>
        <v>0</v>
      </c>
      <c r="K84" t="s">
        <v>907</v>
      </c>
      <c r="L84" s="2">
        <f>D84-IFERROR(VLOOKUP(A84,'[1]AZ WIP'!$A:$F,4,0),0)</f>
        <v>0</v>
      </c>
    </row>
    <row r="85" spans="1:12">
      <c r="A85" t="s">
        <v>957</v>
      </c>
      <c r="B85" t="s">
        <v>958</v>
      </c>
      <c r="C85" s="228">
        <f>IFERROR(GETPIVOTDATA("Sum of qty",PT!$A$17,"product",A85,"FL/AZ","AZ"),0)</f>
        <v>0</v>
      </c>
      <c r="D85" s="2">
        <f t="shared" si="29"/>
        <v>0</v>
      </c>
      <c r="E85" s="117"/>
      <c r="F85" s="1">
        <f t="shared" si="38"/>
        <v>0</v>
      </c>
      <c r="G85" s="117"/>
      <c r="H85" s="18">
        <f>D85*G85</f>
        <v>0</v>
      </c>
      <c r="I85" s="117">
        <f>IFERROR(VLOOKUP(A85,'[2]Alameda Capitalization'!$A:$M,13,0),0)</f>
        <v>0</v>
      </c>
      <c r="J85" s="81">
        <f t="shared" si="32"/>
        <v>0</v>
      </c>
      <c r="K85" t="s">
        <v>907</v>
      </c>
      <c r="L85" s="2">
        <f>D85-IFERROR(VLOOKUP(A85,'[1]AZ WIP'!$A:$F,4,0),0)</f>
        <v>0</v>
      </c>
    </row>
    <row r="86" spans="1:12">
      <c r="A86" t="s">
        <v>959</v>
      </c>
      <c r="B86" t="s">
        <v>960</v>
      </c>
      <c r="C86" s="228">
        <f>IFERROR(GETPIVOTDATA("Sum of qty",PT!$A$17,"product",A86,"FL/AZ","AZ"),0)</f>
        <v>0</v>
      </c>
      <c r="D86" s="2">
        <f t="shared" si="29"/>
        <v>0</v>
      </c>
      <c r="E86" s="117"/>
      <c r="F86" s="1">
        <f t="shared" si="38"/>
        <v>0</v>
      </c>
      <c r="G86" s="117"/>
      <c r="H86" s="18">
        <f>D86*G86</f>
        <v>0</v>
      </c>
      <c r="I86" s="117">
        <f>IFERROR(VLOOKUP(A86,'[2]Alameda Capitalization'!$A:$M,13,0),0)</f>
        <v>0</v>
      </c>
      <c r="J86" s="81">
        <f t="shared" si="32"/>
        <v>0</v>
      </c>
      <c r="K86" t="s">
        <v>907</v>
      </c>
      <c r="L86" s="2">
        <f>D86-IFERROR(VLOOKUP(A86,'[1]AZ WIP'!$A:$F,4,0),0)</f>
        <v>0</v>
      </c>
    </row>
    <row r="87" spans="1:12">
      <c r="A87" t="s">
        <v>679</v>
      </c>
      <c r="B87" t="s">
        <v>961</v>
      </c>
      <c r="C87" s="228">
        <f>IFERROR(GETPIVOTDATA("Sum of qty",PT!$A$17,"product",A87,"FL/AZ","AZ"),0)</f>
        <v>0</v>
      </c>
      <c r="D87" s="2">
        <f t="shared" si="29"/>
        <v>0</v>
      </c>
      <c r="E87" s="117">
        <f t="shared" si="30"/>
        <v>0.93172360877594329</v>
      </c>
      <c r="F87" s="1">
        <f t="shared" ref="F87:F93" si="48">D87*E87</f>
        <v>0</v>
      </c>
      <c r="G87" s="117">
        <f>G13</f>
        <v>0</v>
      </c>
      <c r="H87" s="18">
        <f t="shared" si="35"/>
        <v>0</v>
      </c>
      <c r="I87" s="117">
        <f>IFERROR(VLOOKUP(A87,'[2]Alameda Capitalization'!$A:$M,13,0),0)</f>
        <v>0.10145187667440933</v>
      </c>
      <c r="J87" s="81">
        <f t="shared" si="32"/>
        <v>0</v>
      </c>
      <c r="K87" t="s">
        <v>828</v>
      </c>
      <c r="L87" s="2">
        <f>D87-IFERROR(VLOOKUP(A87,'[1]AZ WIP'!$A:$F,4,0),0)</f>
        <v>-17795</v>
      </c>
    </row>
    <row r="88" spans="1:12">
      <c r="A88" t="s">
        <v>962</v>
      </c>
      <c r="B88" t="s">
        <v>680</v>
      </c>
      <c r="C88" s="228">
        <f>IFERROR(GETPIVOTDATA("Sum of qty",PT!$A$17,"product",A88,"FL/AZ","AZ"),0)</f>
        <v>0</v>
      </c>
      <c r="D88" s="2">
        <f t="shared" si="29"/>
        <v>0</v>
      </c>
      <c r="E88" s="117">
        <f t="shared" si="30"/>
        <v>0.93172360877594329</v>
      </c>
      <c r="F88" s="1">
        <f t="shared" si="48"/>
        <v>0</v>
      </c>
      <c r="G88" s="117"/>
      <c r="H88" s="18">
        <f t="shared" si="35"/>
        <v>0</v>
      </c>
      <c r="I88" s="117">
        <f>IFERROR(VLOOKUP(A88,'[2]Alameda Capitalization'!$A:$M,13,0),0)</f>
        <v>0</v>
      </c>
      <c r="J88" s="81">
        <f t="shared" si="32"/>
        <v>0</v>
      </c>
      <c r="K88" t="s">
        <v>828</v>
      </c>
      <c r="L88" s="2">
        <f>D88-IFERROR(VLOOKUP(A88,'[1]AZ WIP'!$A:$F,4,0),0)</f>
        <v>0</v>
      </c>
    </row>
    <row r="89" spans="1:12">
      <c r="A89" t="s">
        <v>141</v>
      </c>
      <c r="B89" t="s">
        <v>142</v>
      </c>
      <c r="C89" s="228">
        <f>IFERROR(GETPIVOTDATA("Sum of qty",PT!$A$17,"product",A89,"FL/AZ","AZ"),0)</f>
        <v>0</v>
      </c>
      <c r="D89" s="2">
        <f t="shared" ref="D89:D91" si="49">C89</f>
        <v>0</v>
      </c>
      <c r="E89" s="117"/>
      <c r="F89" s="1">
        <f t="shared" si="48"/>
        <v>0</v>
      </c>
      <c r="G89" s="117"/>
      <c r="H89" s="18">
        <f t="shared" ref="H89:H91" si="50">D89*G89</f>
        <v>0</v>
      </c>
      <c r="I89" s="117">
        <f>IFERROR(VLOOKUP(A89,'[2]Alameda Capitalization'!$A:$M,13,0),0)</f>
        <v>9.5381080837459109E-2</v>
      </c>
      <c r="J89" s="81">
        <f t="shared" si="32"/>
        <v>0</v>
      </c>
      <c r="K89" t="s">
        <v>828</v>
      </c>
      <c r="L89" s="2">
        <f>D89-IFERROR(VLOOKUP(A89,'[1]AZ WIP'!$A:$F,4,0),0)</f>
        <v>0</v>
      </c>
    </row>
    <row r="90" spans="1:12">
      <c r="A90" t="s">
        <v>963</v>
      </c>
      <c r="B90" t="s">
        <v>964</v>
      </c>
      <c r="C90" s="228">
        <f>IFERROR(GETPIVOTDATA("Sum of qty",PT!$A$17,"product",A90,"FL/AZ","AZ"),0)</f>
        <v>0</v>
      </c>
      <c r="D90" s="2">
        <f t="shared" ref="D90" si="51">C90</f>
        <v>0</v>
      </c>
      <c r="E90" s="117"/>
      <c r="F90" s="1">
        <f t="shared" ref="F90" si="52">D90*E90</f>
        <v>0</v>
      </c>
      <c r="G90" s="117"/>
      <c r="H90" s="18">
        <f t="shared" ref="H90" si="53">D90*G90</f>
        <v>0</v>
      </c>
      <c r="I90" s="117">
        <f>IFERROR(VLOOKUP(A90,'[2]Alameda Capitalization'!$A:$M,13,0),0)</f>
        <v>0</v>
      </c>
      <c r="J90" s="81">
        <f t="shared" si="32"/>
        <v>0</v>
      </c>
      <c r="K90" t="s">
        <v>828</v>
      </c>
      <c r="L90" s="2">
        <f>D90-IFERROR(VLOOKUP(A90,'[1]AZ WIP'!$A:$F,4,0),0)</f>
        <v>0</v>
      </c>
    </row>
    <row r="91" spans="1:12">
      <c r="A91" t="s">
        <v>965</v>
      </c>
      <c r="B91" t="s">
        <v>966</v>
      </c>
      <c r="C91" s="228">
        <f>IFERROR(GETPIVOTDATA("Sum of qty",PT!$A$17,"product",A91,"FL/AZ","AZ"),0)</f>
        <v>0</v>
      </c>
      <c r="D91" s="2">
        <f t="shared" si="49"/>
        <v>0</v>
      </c>
      <c r="E91" s="117"/>
      <c r="F91" s="1">
        <f t="shared" si="48"/>
        <v>0</v>
      </c>
      <c r="G91" s="117"/>
      <c r="H91" s="18">
        <f t="shared" si="50"/>
        <v>0</v>
      </c>
      <c r="I91" s="117">
        <f>IFERROR(VLOOKUP(A91,'[2]Alameda Capitalization'!$A:$M,13,0),0)</f>
        <v>0</v>
      </c>
      <c r="J91" s="81">
        <f t="shared" si="32"/>
        <v>0</v>
      </c>
      <c r="K91" t="s">
        <v>828</v>
      </c>
      <c r="L91" s="2">
        <f>D91-IFERROR(VLOOKUP(A91,'[1]AZ WIP'!$A:$F,4,0),0)</f>
        <v>0</v>
      </c>
    </row>
    <row r="92" spans="1:12">
      <c r="A92" t="s">
        <v>967</v>
      </c>
      <c r="B92" t="s">
        <v>968</v>
      </c>
      <c r="C92" s="228">
        <f>IFERROR(GETPIVOTDATA("Sum of qty",PT!$A$17,"product",A92,"FL/AZ","AZ"),0)</f>
        <v>0</v>
      </c>
      <c r="D92" s="2">
        <f t="shared" ref="D92" si="54">C92</f>
        <v>0</v>
      </c>
      <c r="E92" s="117"/>
      <c r="F92" s="1">
        <f t="shared" si="48"/>
        <v>0</v>
      </c>
      <c r="G92" s="117"/>
      <c r="H92" s="18">
        <f t="shared" ref="H92" si="55">D92*G92</f>
        <v>0</v>
      </c>
      <c r="I92" s="117">
        <f>IFERROR(VLOOKUP(A92,'[2]Alameda Capitalization'!$A:$M,13,0),0)</f>
        <v>0</v>
      </c>
      <c r="J92" s="81">
        <f t="shared" si="32"/>
        <v>0</v>
      </c>
      <c r="K92" t="s">
        <v>828</v>
      </c>
      <c r="L92" s="2">
        <f>D92-IFERROR(VLOOKUP(A92,'[1]AZ WIP'!$A:$F,4,0),0)</f>
        <v>0</v>
      </c>
    </row>
    <row r="93" spans="1:12">
      <c r="A93" t="s">
        <v>969</v>
      </c>
      <c r="B93" t="s">
        <v>970</v>
      </c>
      <c r="C93" s="228">
        <f>IFERROR(GETPIVOTDATA("Sum of qty",PT!$A$17,"product",A93,"FL/AZ","AZ"),0)</f>
        <v>0</v>
      </c>
      <c r="D93" s="2">
        <f t="shared" si="29"/>
        <v>0</v>
      </c>
      <c r="E93" s="117">
        <f t="shared" si="30"/>
        <v>0.93172360877594329</v>
      </c>
      <c r="F93" s="1">
        <f t="shared" si="48"/>
        <v>0</v>
      </c>
      <c r="G93" s="117"/>
      <c r="H93" s="18">
        <f t="shared" si="35"/>
        <v>0</v>
      </c>
      <c r="I93" s="117">
        <f>IFERROR(VLOOKUP(A93,'[2]Alameda Capitalization'!$A:$M,13,0),0)</f>
        <v>0</v>
      </c>
      <c r="J93" s="81">
        <f t="shared" si="32"/>
        <v>0</v>
      </c>
      <c r="K93" t="s">
        <v>828</v>
      </c>
      <c r="L93" s="2">
        <f>D93-IFERROR(VLOOKUP(A93,'[1]AZ WIP'!$A:$F,4,0),0)</f>
        <v>0</v>
      </c>
    </row>
    <row r="94" spans="1:12">
      <c r="A94" t="s">
        <v>971</v>
      </c>
      <c r="B94" t="s">
        <v>972</v>
      </c>
      <c r="C94" s="228">
        <f>IFERROR(GETPIVOTDATA("Sum of qty",PT!$A$17,"product",A94,"FL/AZ","AZ"),0)</f>
        <v>0</v>
      </c>
      <c r="D94" s="2">
        <f t="shared" ref="D94" si="56">C94</f>
        <v>0</v>
      </c>
      <c r="E94" s="257"/>
      <c r="F94" s="1">
        <f t="shared" ref="F94" si="57">D94*E94</f>
        <v>0</v>
      </c>
      <c r="G94" s="117"/>
      <c r="H94" s="18">
        <f t="shared" ref="H94" si="58">D94*G94</f>
        <v>0</v>
      </c>
      <c r="I94" s="117">
        <f>IFERROR(VLOOKUP(A94,'[2]Alameda Capitalization'!$A:$M,13,0),0)</f>
        <v>9.5381080837459109E-2</v>
      </c>
      <c r="J94" s="81">
        <f t="shared" si="32"/>
        <v>0</v>
      </c>
      <c r="K94" t="s">
        <v>828</v>
      </c>
      <c r="L94" s="2">
        <f>D94-IFERROR(VLOOKUP(A94,'[1]AZ WIP'!$A:$F,4,0),0)</f>
        <v>0</v>
      </c>
    </row>
    <row r="95" spans="1:12">
      <c r="A95" t="s">
        <v>973</v>
      </c>
      <c r="B95" t="s">
        <v>974</v>
      </c>
      <c r="C95" s="228">
        <f>IFERROR(GETPIVOTDATA("Sum of qty",PT!$A$17,"product",A95,"FL/AZ","AZ"),0)</f>
        <v>0</v>
      </c>
      <c r="D95" s="2">
        <f t="shared" si="29"/>
        <v>0</v>
      </c>
      <c r="E95" s="117">
        <f t="shared" si="30"/>
        <v>0.93172360877594329</v>
      </c>
      <c r="F95" s="1">
        <f t="shared" si="38"/>
        <v>0</v>
      </c>
      <c r="G95" s="117"/>
      <c r="H95" s="18">
        <f t="shared" si="35"/>
        <v>0</v>
      </c>
      <c r="I95" s="117">
        <f>IFERROR(VLOOKUP(A95,'[2]Alameda Capitalization'!$A:$M,13,0),0)</f>
        <v>0</v>
      </c>
      <c r="J95" s="81">
        <f t="shared" si="32"/>
        <v>0</v>
      </c>
      <c r="K95" t="s">
        <v>828</v>
      </c>
      <c r="L95" s="2">
        <f>D95-IFERROR(VLOOKUP(A95,'[1]AZ WIP'!$A:$F,4,0),0)</f>
        <v>0</v>
      </c>
    </row>
    <row r="96" spans="1:12">
      <c r="A96" t="s">
        <v>975</v>
      </c>
      <c r="B96" t="s">
        <v>976</v>
      </c>
      <c r="C96" s="228">
        <f>IFERROR(GETPIVOTDATA("Sum of qty",PT!$A$17,"product",A96,"FL/AZ","AZ"),0)</f>
        <v>0</v>
      </c>
      <c r="D96" s="2">
        <f>C96</f>
        <v>0</v>
      </c>
      <c r="E96" s="117">
        <f t="shared" si="30"/>
        <v>0.93172360877594329</v>
      </c>
      <c r="F96" s="1">
        <f>D96*E96</f>
        <v>0</v>
      </c>
      <c r="G96" s="117"/>
      <c r="H96" s="18">
        <f>D96*G96</f>
        <v>0</v>
      </c>
      <c r="I96" s="117">
        <f>IFERROR(VLOOKUP(A96,'[2]Alameda Capitalization'!$A:$M,13,0),0)</f>
        <v>0</v>
      </c>
      <c r="J96" s="81">
        <f t="shared" si="32"/>
        <v>0</v>
      </c>
      <c r="K96" t="s">
        <v>828</v>
      </c>
      <c r="L96" s="2">
        <f>D96-IFERROR(VLOOKUP(A96,'[1]AZ WIP'!$A:$F,4,0),0)</f>
        <v>0</v>
      </c>
    </row>
    <row r="97" spans="1:12">
      <c r="A97" t="s">
        <v>349</v>
      </c>
      <c r="B97" s="157" t="s">
        <v>350</v>
      </c>
      <c r="C97" s="228">
        <f>IFERROR(GETPIVOTDATA("Sum of qty",PT!$A$17,"product",A97,"FL/AZ","AZ"),0)</f>
        <v>40170</v>
      </c>
      <c r="D97" s="2">
        <f t="shared" si="29"/>
        <v>40170</v>
      </c>
      <c r="E97" s="117"/>
      <c r="F97" s="1">
        <f t="shared" si="38"/>
        <v>0</v>
      </c>
      <c r="G97" s="396">
        <v>0.60270000000000001</v>
      </c>
      <c r="H97" s="18">
        <f>D97*G97</f>
        <v>24210.458999999999</v>
      </c>
      <c r="I97" s="117">
        <f>IFERROR(VLOOKUP(A97,'[2]Alameda Capitalization'!$A:$M,13,0),0)</f>
        <v>9.5381080837459109E-2</v>
      </c>
      <c r="J97" s="81">
        <f>C97*I97</f>
        <v>3831.4580172407323</v>
      </c>
      <c r="K97" t="s">
        <v>828</v>
      </c>
      <c r="L97" s="2">
        <f>D97-IFERROR(VLOOKUP(A97,'[1]AZ WIP'!$A:$F,4,0),0)</f>
        <v>40170</v>
      </c>
    </row>
    <row r="98" spans="1:12">
      <c r="A98" t="s">
        <v>846</v>
      </c>
      <c r="B98" t="s">
        <v>977</v>
      </c>
      <c r="C98" s="228">
        <f>IFERROR(GETPIVOTDATA("Sum of qty",PT!$A$17,"product",A98,"FL/AZ","AZ"),0)</f>
        <v>0</v>
      </c>
      <c r="D98" s="2">
        <f>C98</f>
        <v>0</v>
      </c>
      <c r="E98" s="117">
        <f t="shared" si="30"/>
        <v>0.93172360877594329</v>
      </c>
      <c r="F98" s="1">
        <f>D98*E98</f>
        <v>0</v>
      </c>
      <c r="G98" s="117"/>
      <c r="H98" s="18">
        <f>D98*G98</f>
        <v>0</v>
      </c>
      <c r="I98" s="117">
        <f>IFERROR(VLOOKUP(A98,'[2]Alameda Capitalization'!$A:$M,13,0),0)</f>
        <v>0.47827313289364404</v>
      </c>
      <c r="J98" s="81">
        <f>C98*I98</f>
        <v>0</v>
      </c>
      <c r="K98" t="s">
        <v>828</v>
      </c>
      <c r="L98" s="2">
        <f>D98-IFERROR(VLOOKUP(A98,'[1]AZ WIP'!$A:$F,4,0),0)</f>
        <v>0</v>
      </c>
    </row>
    <row r="99" spans="1:12">
      <c r="A99" t="s">
        <v>623</v>
      </c>
      <c r="B99" t="s">
        <v>624</v>
      </c>
      <c r="C99" s="228">
        <f>IFERROR(GETPIVOTDATA("Sum of qty",PT!$A$17,"product",A99,"FL/AZ","AZ"),0)</f>
        <v>65</v>
      </c>
      <c r="D99" s="2">
        <f>C99</f>
        <v>65</v>
      </c>
      <c r="E99" s="117">
        <f t="shared" si="30"/>
        <v>0.93172360877594329</v>
      </c>
      <c r="F99" s="1">
        <f t="shared" ref="F99:F106" si="59">D99*E99</f>
        <v>60.56203457043631</v>
      </c>
      <c r="G99" s="117"/>
      <c r="H99" s="18">
        <f>D99*G99</f>
        <v>0</v>
      </c>
      <c r="I99" s="117">
        <f>IFERROR(VLOOKUP(A99,'[2]Alameda Capitalization'!$A:$M,13,0),0)</f>
        <v>0.47827313289364404</v>
      </c>
      <c r="J99" s="81">
        <f t="shared" si="32"/>
        <v>31.087753638086863</v>
      </c>
      <c r="K99" t="s">
        <v>828</v>
      </c>
      <c r="L99" s="2">
        <f>D99-IFERROR(VLOOKUP(A99,'[1]AZ WIP'!$A:$F,4,0),0)</f>
        <v>0</v>
      </c>
    </row>
    <row r="100" spans="1:12">
      <c r="A100" t="s">
        <v>978</v>
      </c>
      <c r="B100" t="s">
        <v>979</v>
      </c>
      <c r="C100" s="228">
        <f>IFERROR(GETPIVOTDATA("Sum of qty",PT!$A$17,"product",A100,"FL/AZ","AZ"),0)</f>
        <v>0</v>
      </c>
      <c r="D100" s="2">
        <f t="shared" si="29"/>
        <v>0</v>
      </c>
      <c r="E100" s="117">
        <f t="shared" si="30"/>
        <v>0.93172360877594329</v>
      </c>
      <c r="F100" s="1">
        <f t="shared" si="59"/>
        <v>0</v>
      </c>
      <c r="G100" s="117"/>
      <c r="H100" s="18">
        <f t="shared" si="35"/>
        <v>0</v>
      </c>
      <c r="I100" s="117">
        <f>IFERROR(VLOOKUP(A100,'[2]Alameda Capitalization'!$A:$M,13,0),0)</f>
        <v>0</v>
      </c>
      <c r="J100" s="81">
        <f t="shared" si="32"/>
        <v>0</v>
      </c>
      <c r="K100" t="s">
        <v>828</v>
      </c>
      <c r="L100" s="2">
        <f>D100-IFERROR(VLOOKUP(A100,'[1]AZ WIP'!$A:$F,4,0),0)</f>
        <v>0</v>
      </c>
    </row>
    <row r="101" spans="1:12">
      <c r="A101" t="s">
        <v>980</v>
      </c>
      <c r="B101" t="s">
        <v>981</v>
      </c>
      <c r="C101" s="228">
        <f>IFERROR(GETPIVOTDATA("Sum of qty",PT!$A$17,"product",A101,"FL/AZ","AZ"),0)</f>
        <v>0</v>
      </c>
      <c r="D101" s="2">
        <f t="shared" si="29"/>
        <v>0</v>
      </c>
      <c r="E101" s="117">
        <f t="shared" si="30"/>
        <v>0.93172360877594329</v>
      </c>
      <c r="F101" s="1">
        <f t="shared" si="59"/>
        <v>0</v>
      </c>
      <c r="G101" s="117"/>
      <c r="H101" s="18">
        <f>D101*G101</f>
        <v>0</v>
      </c>
      <c r="I101" s="117">
        <f>IFERROR(VLOOKUP(A101,'[2]Alameda Capitalization'!$A:$M,13,0),0)</f>
        <v>0</v>
      </c>
      <c r="J101" s="81">
        <f t="shared" si="32"/>
        <v>0</v>
      </c>
      <c r="K101" t="s">
        <v>828</v>
      </c>
      <c r="L101" s="2">
        <f>D101-IFERROR(VLOOKUP(A101,'[1]AZ WIP'!$A:$F,4,0),0)</f>
        <v>0</v>
      </c>
    </row>
    <row r="102" spans="1:12">
      <c r="A102" t="s">
        <v>339</v>
      </c>
      <c r="B102" t="s">
        <v>340</v>
      </c>
      <c r="C102" s="228">
        <f>IFERROR(GETPIVOTDATA("Sum of qty",PT!$A$17,"product",A102,"FL/AZ","AZ"),0)</f>
        <v>4815</v>
      </c>
      <c r="D102" s="2">
        <f t="shared" ref="D102" si="60">C102</f>
        <v>4815</v>
      </c>
      <c r="E102" s="117">
        <f t="shared" si="30"/>
        <v>0.93172360877594329</v>
      </c>
      <c r="F102" s="1">
        <f t="shared" ref="F102" si="61">D102*E102</f>
        <v>4486.2491762561667</v>
      </c>
      <c r="G102" s="117">
        <f>G19</f>
        <v>0</v>
      </c>
      <c r="H102" s="18">
        <f>D102*G102</f>
        <v>0</v>
      </c>
      <c r="I102" s="117">
        <f>IFERROR(VLOOKUP(A102,'[2]Alameda Capitalization'!$A:$M,13,0),0)</f>
        <v>0.47827313289364404</v>
      </c>
      <c r="J102" s="81">
        <f t="shared" ref="J102" si="62">C102*I102</f>
        <v>2302.8851348828962</v>
      </c>
      <c r="K102" t="s">
        <v>828</v>
      </c>
      <c r="L102" s="2">
        <f>D102-IFERROR(VLOOKUP(A102,'[1]AZ WIP'!$A:$F,4,0),0)</f>
        <v>0</v>
      </c>
    </row>
    <row r="103" spans="1:12">
      <c r="A103" s="157" t="s">
        <v>982</v>
      </c>
      <c r="B103" t="s">
        <v>983</v>
      </c>
      <c r="C103" s="228">
        <f>IFERROR(GETPIVOTDATA("Sum of qty",PT!$A$17,"product",A103,"FL/AZ","AZ"),0)</f>
        <v>0</v>
      </c>
      <c r="D103" s="2">
        <f>C103</f>
        <v>0</v>
      </c>
      <c r="E103" s="117">
        <f t="shared" si="30"/>
        <v>0.93172360877594329</v>
      </c>
      <c r="F103" s="1">
        <f t="shared" ref="F103:F104" si="63">D103*E103</f>
        <v>0</v>
      </c>
      <c r="G103" s="117"/>
      <c r="H103" s="18">
        <f>D103*G103</f>
        <v>0</v>
      </c>
      <c r="I103" s="117">
        <f>IFERROR(VLOOKUP(A103,'[2]Alameda Capitalization'!$A:$M,13,0),0)</f>
        <v>0.10145187667440933</v>
      </c>
      <c r="J103" s="81">
        <f t="shared" ref="J103:J104" si="64">C103*I103</f>
        <v>0</v>
      </c>
      <c r="K103" t="s">
        <v>828</v>
      </c>
      <c r="L103" s="2">
        <f>D103-IFERROR(VLOOKUP(A103,'[1]AZ WIP'!$A:$F,4,0),0)</f>
        <v>0</v>
      </c>
    </row>
    <row r="104" spans="1:12">
      <c r="A104" t="s">
        <v>984</v>
      </c>
      <c r="B104" t="s">
        <v>985</v>
      </c>
      <c r="C104" s="228">
        <f>IFERROR(GETPIVOTDATA("Sum of qty",PT!$A$17,"product",A104,"FL/AZ","AZ"),0)</f>
        <v>0</v>
      </c>
      <c r="D104" s="2">
        <f>C104</f>
        <v>0</v>
      </c>
      <c r="E104" s="117">
        <f t="shared" si="30"/>
        <v>0.93172360877594329</v>
      </c>
      <c r="F104" s="1">
        <f t="shared" si="63"/>
        <v>0</v>
      </c>
      <c r="G104" s="117"/>
      <c r="H104" s="18">
        <f>D104*G104</f>
        <v>0</v>
      </c>
      <c r="I104" s="117">
        <f>IFERROR(VLOOKUP(A104,'[2]Alameda Capitalization'!$A:$M,13,0),0)</f>
        <v>0</v>
      </c>
      <c r="J104" s="81">
        <f t="shared" si="64"/>
        <v>0</v>
      </c>
      <c r="K104" t="s">
        <v>828</v>
      </c>
      <c r="L104" s="2">
        <f>D104-IFERROR(VLOOKUP(A104,'[1]AZ WIP'!$A:$F,4,0),0)</f>
        <v>0</v>
      </c>
    </row>
    <row r="105" spans="1:12">
      <c r="A105" t="s">
        <v>300</v>
      </c>
      <c r="B105" t="s">
        <v>301</v>
      </c>
      <c r="C105" s="228">
        <f>IFERROR(GETPIVOTDATA("Sum of qty",PT!$A$17,"product",A105,"FL/AZ","AZ"),0)</f>
        <v>360</v>
      </c>
      <c r="D105" s="2">
        <f>C105</f>
        <v>360</v>
      </c>
      <c r="E105" s="117">
        <f t="shared" si="30"/>
        <v>0.93172360877594329</v>
      </c>
      <c r="F105" s="1">
        <f t="shared" si="59"/>
        <v>335.42049915933956</v>
      </c>
      <c r="G105" s="117"/>
      <c r="H105" s="18">
        <f>D105*G105</f>
        <v>0</v>
      </c>
      <c r="I105" s="117">
        <f>IFERROR(VLOOKUP(A105,'[2]Alameda Capitalization'!$A:$M,13,0),0)</f>
        <v>0.10145187667440933</v>
      </c>
      <c r="J105" s="81">
        <f t="shared" si="32"/>
        <v>36.522675602787359</v>
      </c>
      <c r="K105" t="s">
        <v>828</v>
      </c>
      <c r="L105" s="2">
        <f>D105-IFERROR(VLOOKUP(A105,'[1]AZ WIP'!$A:$F,4,0),0)</f>
        <v>270</v>
      </c>
    </row>
    <row r="106" spans="1:12">
      <c r="A106" t="s">
        <v>631</v>
      </c>
      <c r="B106" t="s">
        <v>632</v>
      </c>
      <c r="C106" s="228">
        <f>IFERROR(GETPIVOTDATA("Sum of qty",PT!$A$17,"product",A106,"FL/AZ","AZ"),0)</f>
        <v>0</v>
      </c>
      <c r="D106" s="2">
        <f t="shared" si="29"/>
        <v>0</v>
      </c>
      <c r="E106" s="117">
        <f t="shared" si="30"/>
        <v>0.93172360877594329</v>
      </c>
      <c r="F106" s="1">
        <f t="shared" si="59"/>
        <v>0</v>
      </c>
      <c r="G106" s="117">
        <f>0.15*G13+0.05*G121</f>
        <v>0</v>
      </c>
      <c r="H106" s="18">
        <f t="shared" si="35"/>
        <v>0</v>
      </c>
      <c r="I106" s="117">
        <f>IFERROR(VLOOKUP(A106,'[2]Alameda Capitalization'!$A:$M,13,0),0)</f>
        <v>0.37682125621923468</v>
      </c>
      <c r="J106" s="81">
        <f t="shared" si="32"/>
        <v>0</v>
      </c>
      <c r="K106" t="s">
        <v>852</v>
      </c>
      <c r="L106" s="2">
        <f>D106-IFERROR(VLOOKUP(A106,'[1]AZ WIP'!$A:$F,4,0),0)</f>
        <v>0</v>
      </c>
    </row>
    <row r="107" spans="1:12">
      <c r="A107" t="s">
        <v>986</v>
      </c>
      <c r="B107" t="s">
        <v>987</v>
      </c>
      <c r="C107" s="228">
        <f>IFERROR(GETPIVOTDATA("Sum of qty",PT!$A$17,"product",A107,"FL/AZ","AZ"),0)</f>
        <v>0</v>
      </c>
      <c r="D107" s="2">
        <f t="shared" si="29"/>
        <v>0</v>
      </c>
      <c r="E107" s="117">
        <f t="shared" si="30"/>
        <v>0.93172360877594329</v>
      </c>
      <c r="F107" s="1">
        <f t="shared" si="38"/>
        <v>0</v>
      </c>
      <c r="G107" s="117"/>
      <c r="H107" s="18">
        <f t="shared" si="35"/>
        <v>0</v>
      </c>
      <c r="I107" s="117">
        <f>IFERROR(VLOOKUP(A107,'[2]Alameda Capitalization'!$A:$M,13,0),0)</f>
        <v>0</v>
      </c>
      <c r="J107" s="81">
        <f t="shared" si="32"/>
        <v>0</v>
      </c>
      <c r="K107" t="s">
        <v>852</v>
      </c>
      <c r="L107" s="2">
        <f>D107-IFERROR(VLOOKUP(A107,'[1]AZ WIP'!$A:$F,4,0),0)</f>
        <v>0</v>
      </c>
    </row>
    <row r="108" spans="1:12">
      <c r="A108" t="s">
        <v>988</v>
      </c>
      <c r="B108" t="s">
        <v>989</v>
      </c>
      <c r="C108" s="228">
        <f>IFERROR(GETPIVOTDATA("Sum of qty",PT!$A$17,"product",A108,"FL/AZ","AZ"),0)</f>
        <v>360</v>
      </c>
      <c r="D108" s="2">
        <f t="shared" si="29"/>
        <v>360</v>
      </c>
      <c r="E108" s="117">
        <f t="shared" ref="E108:E172" si="65">+$E$10</f>
        <v>0.93172360877594329</v>
      </c>
      <c r="F108" s="1">
        <f t="shared" si="38"/>
        <v>335.42049915933956</v>
      </c>
      <c r="G108" s="117">
        <f>G106/4</f>
        <v>0</v>
      </c>
      <c r="H108" s="18">
        <f t="shared" si="35"/>
        <v>0</v>
      </c>
      <c r="I108" s="117">
        <f>IFERROR(VLOOKUP(A108,'[2]Alameda Capitalization'!$A:$M,13,0),0)</f>
        <v>0.37682125621923468</v>
      </c>
      <c r="J108" s="81">
        <f t="shared" si="32"/>
        <v>135.65565223892449</v>
      </c>
      <c r="K108" t="s">
        <v>907</v>
      </c>
      <c r="L108" s="2">
        <f>D108-IFERROR(VLOOKUP(A108,'[1]AZ WIP'!$A:$F,4,0),0)</f>
        <v>-266</v>
      </c>
    </row>
    <row r="109" spans="1:12">
      <c r="A109" t="s">
        <v>990</v>
      </c>
      <c r="B109" t="s">
        <v>991</v>
      </c>
      <c r="C109" s="228">
        <f>IFERROR(GETPIVOTDATA("Sum of qty",PT!$A$17,"product",A109,"FL/AZ","AZ"),0)</f>
        <v>0</v>
      </c>
      <c r="D109" s="2">
        <f>C109</f>
        <v>0</v>
      </c>
      <c r="E109" s="117">
        <f t="shared" si="65"/>
        <v>0.93172360877594329</v>
      </c>
      <c r="F109" s="1">
        <f>D109*E109</f>
        <v>0</v>
      </c>
      <c r="G109" s="117"/>
      <c r="H109" s="18">
        <f>D109*G109</f>
        <v>0</v>
      </c>
      <c r="I109" s="117">
        <f>IFERROR(VLOOKUP(A109,'[2]Alameda Capitalization'!$A:$M,13,0),0)</f>
        <v>0.37682125621923468</v>
      </c>
      <c r="J109" s="81">
        <f t="shared" si="32"/>
        <v>0</v>
      </c>
      <c r="K109" t="s">
        <v>907</v>
      </c>
      <c r="L109" s="2">
        <f>D109-IFERROR(VLOOKUP(A109,'[1]AZ WIP'!$A:$F,4,0),0)</f>
        <v>0</v>
      </c>
    </row>
    <row r="110" spans="1:12">
      <c r="A110" t="s">
        <v>992</v>
      </c>
      <c r="B110" t="s">
        <v>993</v>
      </c>
      <c r="C110" s="228">
        <f>IFERROR(GETPIVOTDATA("Sum of qty",PT!$A$17,"product",A110,"FL/AZ","AZ"),0)</f>
        <v>0</v>
      </c>
      <c r="D110" s="2">
        <f t="shared" si="29"/>
        <v>0</v>
      </c>
      <c r="E110" s="117">
        <f t="shared" si="65"/>
        <v>0.93172360877594329</v>
      </c>
      <c r="F110" s="1">
        <f t="shared" si="38"/>
        <v>0</v>
      </c>
      <c r="G110" s="117"/>
      <c r="H110" s="18">
        <f t="shared" si="35"/>
        <v>0</v>
      </c>
      <c r="I110" s="117">
        <f>IFERROR(VLOOKUP(A110,'[2]Alameda Capitalization'!$A:$M,13,0),0)</f>
        <v>0</v>
      </c>
      <c r="J110" s="81">
        <f t="shared" si="32"/>
        <v>0</v>
      </c>
      <c r="K110" t="s">
        <v>907</v>
      </c>
      <c r="L110" s="2">
        <f>D110-IFERROR(VLOOKUP(A110,'[1]AZ WIP'!$A:$F,4,0),0)</f>
        <v>0</v>
      </c>
    </row>
    <row r="111" spans="1:12">
      <c r="A111" s="157" t="s">
        <v>994</v>
      </c>
      <c r="B111" s="193" t="s">
        <v>995</v>
      </c>
      <c r="C111" s="228">
        <f>IFERROR(GETPIVOTDATA("Sum of qty",PT!$A$17,"product",A111,"FL/AZ","AZ"),0)</f>
        <v>0</v>
      </c>
      <c r="D111" s="89">
        <f>C111</f>
        <v>0</v>
      </c>
      <c r="E111" s="117">
        <f t="shared" si="5"/>
        <v>0.93172360877594329</v>
      </c>
      <c r="F111" s="259">
        <f t="shared" ref="F111" si="66">D111*E111</f>
        <v>0</v>
      </c>
      <c r="G111" s="117">
        <f>G106/4</f>
        <v>0</v>
      </c>
      <c r="H111" s="18">
        <f t="shared" ref="H111" si="67">D111*G111</f>
        <v>0</v>
      </c>
      <c r="I111" s="117">
        <f>IFERROR(VLOOKUP(A111,'[2]Alameda Capitalization'!$A:$M,13,0),0)</f>
        <v>0.37682125621923468</v>
      </c>
      <c r="J111" s="81">
        <f t="shared" ref="J111" si="68">C111*I111</f>
        <v>0</v>
      </c>
      <c r="K111" t="s">
        <v>907</v>
      </c>
      <c r="L111" s="2">
        <f>D111-IFERROR(VLOOKUP(A111,'[1]AZ WIP'!$A:$F,4,0),0)</f>
        <v>0</v>
      </c>
    </row>
    <row r="112" spans="1:12">
      <c r="A112" t="s">
        <v>996</v>
      </c>
      <c r="B112" t="s">
        <v>997</v>
      </c>
      <c r="C112" s="228">
        <f>IFERROR(GETPIVOTDATA("Sum of qty",PT!$A$17,"product",A112,"FL/AZ","AZ"),0)</f>
        <v>0</v>
      </c>
      <c r="D112" s="2">
        <f>C112</f>
        <v>0</v>
      </c>
      <c r="E112" s="117">
        <f t="shared" si="65"/>
        <v>0.93172360877594329</v>
      </c>
      <c r="F112" s="1">
        <f t="shared" ref="F112:F118" si="69">D112*E112</f>
        <v>0</v>
      </c>
      <c r="G112" s="117"/>
      <c r="H112" s="18">
        <f>D112*G112</f>
        <v>0</v>
      </c>
      <c r="I112" s="117">
        <f>IFERROR(VLOOKUP(A112,'[2]Alameda Capitalization'!$A:$M,13,0),0)</f>
        <v>0</v>
      </c>
      <c r="J112" s="81">
        <f t="shared" si="32"/>
        <v>0</v>
      </c>
      <c r="K112" s="157" t="s">
        <v>828</v>
      </c>
      <c r="L112" s="2">
        <f>D112-IFERROR(VLOOKUP(A112,'[1]AZ WIP'!$A:$F,4,0),0)</f>
        <v>0</v>
      </c>
    </row>
    <row r="113" spans="1:12">
      <c r="A113" t="s">
        <v>998</v>
      </c>
      <c r="B113" t="s">
        <v>999</v>
      </c>
      <c r="C113" s="228">
        <f>IFERROR(GETPIVOTDATA("Sum of qty",PT!$A$17,"product",A113,"FL/AZ","AZ"),0)</f>
        <v>0</v>
      </c>
      <c r="D113" s="2">
        <f t="shared" si="29"/>
        <v>0</v>
      </c>
      <c r="E113" s="117">
        <f t="shared" si="65"/>
        <v>0.93172360877594329</v>
      </c>
      <c r="F113" s="1">
        <f t="shared" si="69"/>
        <v>0</v>
      </c>
      <c r="G113" s="117"/>
      <c r="H113" s="18">
        <f t="shared" si="35"/>
        <v>0</v>
      </c>
      <c r="I113" s="117">
        <f>IFERROR(VLOOKUP(A113,'[2]Alameda Capitalization'!$A:$M,13,0),0)</f>
        <v>0</v>
      </c>
      <c r="J113" s="81">
        <f t="shared" si="32"/>
        <v>0</v>
      </c>
      <c r="K113" t="s">
        <v>907</v>
      </c>
      <c r="L113" s="2">
        <f>D113-IFERROR(VLOOKUP(A113,'[1]AZ WIP'!$A:$F,4,0),0)</f>
        <v>0</v>
      </c>
    </row>
    <row r="114" spans="1:12">
      <c r="A114" t="s">
        <v>618</v>
      </c>
      <c r="B114" t="s">
        <v>274</v>
      </c>
      <c r="C114" s="228">
        <f>IFERROR(GETPIVOTDATA("Sum of qty",PT!$A$17,"product",A114,"FL/AZ","AZ"),0)</f>
        <v>0</v>
      </c>
      <c r="D114" s="2">
        <f t="shared" si="29"/>
        <v>0</v>
      </c>
      <c r="E114" s="117">
        <f t="shared" si="65"/>
        <v>0.93172360877594329</v>
      </c>
      <c r="F114" s="1">
        <f t="shared" si="69"/>
        <v>0</v>
      </c>
      <c r="G114" s="117"/>
      <c r="H114" s="18">
        <f t="shared" si="35"/>
        <v>0</v>
      </c>
      <c r="I114" s="117">
        <f>IFERROR(VLOOKUP(A114,'[2]Alameda Capitalization'!$A:$M,13,0),0)</f>
        <v>0</v>
      </c>
      <c r="J114" s="81">
        <f t="shared" si="32"/>
        <v>0</v>
      </c>
      <c r="K114" t="s">
        <v>852</v>
      </c>
      <c r="L114" s="2">
        <f>D114-IFERROR(VLOOKUP(A114,'[1]AZ WIP'!$A:$F,4,0),0)</f>
        <v>0</v>
      </c>
    </row>
    <row r="115" spans="1:12">
      <c r="A115" s="366" t="s">
        <v>273</v>
      </c>
      <c r="B115" s="366" t="s">
        <v>274</v>
      </c>
      <c r="C115" s="228">
        <f>IFERROR(GETPIVOTDATA("Sum of qty",PT!$A$17,"product",A115,"FL/AZ","AZ"),0)</f>
        <v>0</v>
      </c>
      <c r="D115" s="2">
        <f t="shared" ref="D115" si="70">C115</f>
        <v>0</v>
      </c>
      <c r="E115" s="117">
        <f t="shared" si="65"/>
        <v>0.93172360877594329</v>
      </c>
      <c r="F115" s="1">
        <f t="shared" ref="F115" si="71">D115*E115</f>
        <v>0</v>
      </c>
      <c r="G115" s="117"/>
      <c r="H115" s="18">
        <f t="shared" ref="H115" si="72">D115*G115</f>
        <v>0</v>
      </c>
      <c r="I115" s="117">
        <f>IFERROR(VLOOKUP(A115,'[2]Alameda Capitalization'!$A:$M,13,0),0)</f>
        <v>0</v>
      </c>
      <c r="J115" s="81">
        <f>C115*I115</f>
        <v>0</v>
      </c>
      <c r="K115" t="s">
        <v>852</v>
      </c>
      <c r="L115" s="2">
        <f>D115-IFERROR(VLOOKUP(A115,'[1]AZ WIP'!$A:$F,4,0),0)</f>
        <v>-90</v>
      </c>
    </row>
    <row r="116" spans="1:12">
      <c r="A116" t="s">
        <v>1000</v>
      </c>
      <c r="B116" t="s">
        <v>1001</v>
      </c>
      <c r="C116" s="228">
        <f>IFERROR(GETPIVOTDATA("Sum of qty",PT!$A$17,"product",A116,"FL/AZ","AZ"),0)</f>
        <v>0</v>
      </c>
      <c r="D116" s="2">
        <f t="shared" si="29"/>
        <v>0</v>
      </c>
      <c r="E116" s="117">
        <f t="shared" si="65"/>
        <v>0.93172360877594329</v>
      </c>
      <c r="F116" s="1">
        <f t="shared" si="69"/>
        <v>0</v>
      </c>
      <c r="G116" s="117"/>
      <c r="H116" s="18">
        <f t="shared" si="35"/>
        <v>0</v>
      </c>
      <c r="I116" s="117">
        <f>IFERROR(VLOOKUP(A116,'[2]Alameda Capitalization'!$A:$M,13,0),0)</f>
        <v>0</v>
      </c>
      <c r="J116" s="81">
        <f t="shared" si="32"/>
        <v>0</v>
      </c>
      <c r="K116" t="s">
        <v>852</v>
      </c>
      <c r="L116" s="2">
        <f>D116-IFERROR(VLOOKUP(A116,'[1]AZ WIP'!$A:$F,4,0),0)</f>
        <v>0</v>
      </c>
    </row>
    <row r="117" spans="1:12">
      <c r="A117" t="s">
        <v>1002</v>
      </c>
      <c r="B117" t="s">
        <v>1003</v>
      </c>
      <c r="C117" s="228">
        <f>IFERROR(GETPIVOTDATA("Sum of qty",PT!$A$17,"product",A117,"FL/AZ","AZ"),0)</f>
        <v>0</v>
      </c>
      <c r="D117" s="2">
        <f>C117</f>
        <v>0</v>
      </c>
      <c r="E117" s="117">
        <f t="shared" si="65"/>
        <v>0.93172360877594329</v>
      </c>
      <c r="F117" s="1">
        <f t="shared" si="69"/>
        <v>0</v>
      </c>
      <c r="G117" s="117"/>
      <c r="H117" s="18">
        <f t="shared" si="35"/>
        <v>0</v>
      </c>
      <c r="I117" s="117">
        <f>IFERROR(VLOOKUP(A117,'[2]Alameda Capitalization'!$A:$M,13,0),0)</f>
        <v>0</v>
      </c>
      <c r="J117" s="81">
        <f t="shared" si="32"/>
        <v>0</v>
      </c>
      <c r="K117" t="s">
        <v>852</v>
      </c>
      <c r="L117" s="2">
        <f>D117-IFERROR(VLOOKUP(A117,'[1]AZ WIP'!$A:$F,4,0),0)</f>
        <v>0</v>
      </c>
    </row>
    <row r="118" spans="1:12">
      <c r="A118" t="s">
        <v>33</v>
      </c>
      <c r="B118" t="s">
        <v>1004</v>
      </c>
      <c r="C118" s="228">
        <f>IFERROR(GETPIVOTDATA("Sum of qty",PT!$A$17,"product",A118,"FL/AZ","AZ"),0)</f>
        <v>14798</v>
      </c>
      <c r="D118" s="2">
        <f>C118</f>
        <v>14798</v>
      </c>
      <c r="E118" s="117">
        <f t="shared" si="65"/>
        <v>0.93172360877594329</v>
      </c>
      <c r="F118" s="1">
        <f t="shared" si="69"/>
        <v>13787.645962666409</v>
      </c>
      <c r="G118" s="117">
        <f>G106</f>
        <v>0</v>
      </c>
      <c r="H118" s="18">
        <f t="shared" si="35"/>
        <v>0</v>
      </c>
      <c r="I118" s="117">
        <f>IFERROR(VLOOKUP(A118,'[2]Alameda Capitalization'!$A:$M,13,0),0)</f>
        <v>0.37682125621923468</v>
      </c>
      <c r="J118" s="81">
        <f>C118*I118</f>
        <v>5576.2009495322345</v>
      </c>
      <c r="K118" t="s">
        <v>852</v>
      </c>
      <c r="L118" s="2">
        <f>D118-IFERROR(VLOOKUP(A118,'[1]AZ WIP'!$A:$F,4,0),0)</f>
        <v>14798</v>
      </c>
    </row>
    <row r="119" spans="1:12">
      <c r="A119" t="s">
        <v>1005</v>
      </c>
      <c r="B119" t="s">
        <v>1006</v>
      </c>
      <c r="C119" s="228">
        <f>IFERROR(GETPIVOTDATA("Sum of qty",PT!$A$17,"product",A119,"FL/AZ","AZ"),0)</f>
        <v>0</v>
      </c>
      <c r="D119" s="2">
        <f>C119</f>
        <v>0</v>
      </c>
      <c r="E119" s="117">
        <f t="shared" si="65"/>
        <v>0.93172360877594329</v>
      </c>
      <c r="F119" s="1">
        <f t="shared" ref="F119" si="73">D119*E119</f>
        <v>0</v>
      </c>
      <c r="G119" s="117">
        <f>G106</f>
        <v>0</v>
      </c>
      <c r="H119" s="18">
        <f t="shared" ref="H119" si="74">D119*G119</f>
        <v>0</v>
      </c>
      <c r="I119" s="117">
        <f>IFERROR(VLOOKUP(A119,'[2]Alameda Capitalization'!$A:$M,13,0),0)</f>
        <v>0</v>
      </c>
      <c r="J119" s="81">
        <f t="shared" ref="J119" si="75">C119*I119</f>
        <v>0</v>
      </c>
      <c r="K119" t="s">
        <v>852</v>
      </c>
      <c r="L119" s="2">
        <f>D119-IFERROR(VLOOKUP(A119,'[1]AZ WIP'!$A:$F,4,0),0)</f>
        <v>0</v>
      </c>
    </row>
    <row r="120" spans="1:12">
      <c r="A120" t="s">
        <v>173</v>
      </c>
      <c r="B120" t="s">
        <v>1007</v>
      </c>
      <c r="C120" s="228">
        <f>IFERROR(GETPIVOTDATA("Sum of qty",PT!$A$17,"product",A120,"FL/AZ","AZ"),0)</f>
        <v>10640</v>
      </c>
      <c r="D120" s="2">
        <f>C120</f>
        <v>10640</v>
      </c>
      <c r="E120" s="117"/>
      <c r="F120" s="1">
        <f t="shared" ref="F120" si="76">D120*E120</f>
        <v>0</v>
      </c>
      <c r="G120" s="117"/>
      <c r="H120" s="18">
        <f>D120*G120</f>
        <v>0</v>
      </c>
      <c r="I120" s="117">
        <f>IFERROR(VLOOKUP(A120,'[2]Alameda Capitalization'!$A:$M,13,0),0)</f>
        <v>5.4606044239203483E-2</v>
      </c>
      <c r="J120" s="81">
        <f t="shared" si="32"/>
        <v>581.00831070512504</v>
      </c>
      <c r="K120" t="s">
        <v>852</v>
      </c>
      <c r="L120" s="2">
        <f>D120-IFERROR(VLOOKUP(A120,'[1]AZ WIP'!$A:$F,4,0),0)</f>
        <v>-4560</v>
      </c>
    </row>
    <row r="121" spans="1:12">
      <c r="A121" t="s">
        <v>421</v>
      </c>
      <c r="B121" s="157" t="s">
        <v>1008</v>
      </c>
      <c r="C121" s="228">
        <f>IFERROR(GETPIVOTDATA("Sum of qty",PT!$A$17,"product",A121,"FL/AZ","AZ"),0)</f>
        <v>123</v>
      </c>
      <c r="D121" s="2">
        <f t="shared" si="29"/>
        <v>123</v>
      </c>
      <c r="E121" s="117"/>
      <c r="F121" s="1">
        <f t="shared" si="38"/>
        <v>0</v>
      </c>
      <c r="G121" s="117">
        <v>0</v>
      </c>
      <c r="H121" s="18">
        <f t="shared" si="35"/>
        <v>0</v>
      </c>
      <c r="I121" s="117">
        <f>IFERROR(VLOOKUP(A121,'[2]Alameda Capitalization'!$A:$M,13,0),0)</f>
        <v>0.12107463850612706</v>
      </c>
      <c r="J121" s="81">
        <f t="shared" si="32"/>
        <v>14.892180536253628</v>
      </c>
      <c r="K121" t="s">
        <v>852</v>
      </c>
      <c r="L121" s="2">
        <f>D121-IFERROR(VLOOKUP(A121,'[1]AZ WIP'!$A:$F,4,0),0)</f>
        <v>-49765</v>
      </c>
    </row>
    <row r="122" spans="1:12">
      <c r="A122" t="s">
        <v>663</v>
      </c>
      <c r="B122" t="s">
        <v>1009</v>
      </c>
      <c r="C122" s="228">
        <f>IFERROR(GETPIVOTDATA("Sum of qty",PT!$A$17,"product",A122,"FL/AZ","AZ"),0)</f>
        <v>392</v>
      </c>
      <c r="D122" s="2">
        <f t="shared" si="29"/>
        <v>392</v>
      </c>
      <c r="E122" s="117">
        <f t="shared" si="65"/>
        <v>0.93172360877594329</v>
      </c>
      <c r="F122" s="1">
        <f t="shared" si="38"/>
        <v>365.23565464016974</v>
      </c>
      <c r="G122" s="117">
        <f>G121</f>
        <v>0</v>
      </c>
      <c r="H122" s="18">
        <f t="shared" si="35"/>
        <v>0</v>
      </c>
      <c r="I122" s="117">
        <f>IFERROR(VLOOKUP(A122,'[2]Alameda Capitalization'!$A:$M,13,0),0)</f>
        <v>0.130438127152812</v>
      </c>
      <c r="J122" s="81">
        <f t="shared" si="32"/>
        <v>51.131745843902301</v>
      </c>
      <c r="K122" t="s">
        <v>852</v>
      </c>
      <c r="L122" s="2">
        <f>D122-IFERROR(VLOOKUP(A122,'[1]AZ WIP'!$A:$F,4,0),0)</f>
        <v>-45</v>
      </c>
    </row>
    <row r="123" spans="1:12">
      <c r="A123" t="s">
        <v>1010</v>
      </c>
      <c r="B123" t="s">
        <v>664</v>
      </c>
      <c r="C123" s="228">
        <f>IFERROR(GETPIVOTDATA("Sum of qty",PT!$A$17,"product",A123,"FL/AZ","AZ"),0)</f>
        <v>0</v>
      </c>
      <c r="D123" s="2">
        <f t="shared" si="29"/>
        <v>0</v>
      </c>
      <c r="E123" s="117">
        <f t="shared" si="65"/>
        <v>0.93172360877594329</v>
      </c>
      <c r="F123" s="1">
        <f t="shared" si="38"/>
        <v>0</v>
      </c>
      <c r="G123" s="117"/>
      <c r="H123" s="18">
        <f t="shared" si="35"/>
        <v>0</v>
      </c>
      <c r="I123" s="117">
        <f>IFERROR(VLOOKUP(A123,'[2]Alameda Capitalization'!$A:$M,13,0),0)</f>
        <v>0</v>
      </c>
      <c r="J123" s="81">
        <f t="shared" si="32"/>
        <v>0</v>
      </c>
      <c r="K123" t="s">
        <v>852</v>
      </c>
      <c r="L123" s="2">
        <f>D123-IFERROR(VLOOKUP(A123,'[1]AZ WIP'!$A:$F,4,0),0)</f>
        <v>0</v>
      </c>
    </row>
    <row r="124" spans="1:12">
      <c r="A124" t="s">
        <v>359</v>
      </c>
      <c r="B124" t="s">
        <v>1011</v>
      </c>
      <c r="C124" s="228">
        <f>IFERROR(GETPIVOTDATA("Sum of qty",PT!$A$17,"product",A124,"FL/AZ","AZ"),0)</f>
        <v>0</v>
      </c>
      <c r="D124" s="2">
        <f t="shared" ref="D124" si="77">C124</f>
        <v>0</v>
      </c>
      <c r="E124" s="117">
        <f t="shared" si="65"/>
        <v>0.93172360877594329</v>
      </c>
      <c r="F124" s="1">
        <f t="shared" ref="F124" si="78">D124*E124</f>
        <v>0</v>
      </c>
      <c r="G124" s="117">
        <f>G121</f>
        <v>0</v>
      </c>
      <c r="H124" s="18">
        <f t="shared" ref="H124" si="79">D124*G124</f>
        <v>0</v>
      </c>
      <c r="I124" s="117">
        <f>IFERROR(VLOOKUP(A124,'[2]Alameda Capitalization'!$A:$M,13,0),0)</f>
        <v>0.13193741597066042</v>
      </c>
      <c r="J124" s="81">
        <f t="shared" ref="J124" si="80">C124*I124</f>
        <v>0</v>
      </c>
      <c r="K124" t="s">
        <v>852</v>
      </c>
      <c r="L124" s="2">
        <f>D124-IFERROR(VLOOKUP(A124,'[1]AZ WIP'!$A:$F,4,0),0)</f>
        <v>0</v>
      </c>
    </row>
    <row r="125" spans="1:12">
      <c r="A125" t="s">
        <v>1012</v>
      </c>
      <c r="B125" t="s">
        <v>1013</v>
      </c>
      <c r="C125" s="228">
        <f>IFERROR(GETPIVOTDATA("Sum of qty",PT!$A$17,"product",A125,"FL/AZ","AZ"),0)</f>
        <v>0</v>
      </c>
      <c r="D125" s="2">
        <f t="shared" si="29"/>
        <v>0</v>
      </c>
      <c r="E125" s="117">
        <f t="shared" si="65"/>
        <v>0.93172360877594329</v>
      </c>
      <c r="F125" s="1">
        <f t="shared" si="38"/>
        <v>0</v>
      </c>
      <c r="G125" s="117">
        <f>G127</f>
        <v>0.56710000000000005</v>
      </c>
      <c r="H125" s="18">
        <f t="shared" si="35"/>
        <v>0</v>
      </c>
      <c r="I125" s="117">
        <f>IFERROR(VLOOKUP(A125,'[2]Alameda Capitalization'!$A:$M,13,0),0)</f>
        <v>0</v>
      </c>
      <c r="J125" s="81">
        <f t="shared" si="32"/>
        <v>0</v>
      </c>
      <c r="K125" t="s">
        <v>852</v>
      </c>
      <c r="L125" s="2">
        <f>D125-IFERROR(VLOOKUP(A125,'[1]AZ WIP'!$A:$F,4,0),0)</f>
        <v>0</v>
      </c>
    </row>
    <row r="126" spans="1:12">
      <c r="A126" t="s">
        <v>1014</v>
      </c>
      <c r="B126" t="s">
        <v>1015</v>
      </c>
      <c r="C126" s="228">
        <f>IFERROR(GETPIVOTDATA("Sum of qty",PT!$A$17,"product",A126,"FL/AZ","AZ"),0)</f>
        <v>0</v>
      </c>
      <c r="D126" s="2">
        <f t="shared" si="29"/>
        <v>0</v>
      </c>
      <c r="E126" s="117">
        <f t="shared" si="65"/>
        <v>0.93172360877594329</v>
      </c>
      <c r="F126" s="1">
        <f t="shared" si="38"/>
        <v>0</v>
      </c>
      <c r="G126" s="117"/>
      <c r="H126" s="18">
        <f t="shared" si="35"/>
        <v>0</v>
      </c>
      <c r="I126" s="117">
        <f>IFERROR(VLOOKUP(A126,'[2]Alameda Capitalization'!$A:$M,13,0),0)</f>
        <v>0</v>
      </c>
      <c r="J126" s="81">
        <f t="shared" si="32"/>
        <v>0</v>
      </c>
      <c r="K126" t="s">
        <v>852</v>
      </c>
      <c r="L126" s="2">
        <f>D126-IFERROR(VLOOKUP(A126,'[1]AZ WIP'!$A:$F,4,0),0)</f>
        <v>0</v>
      </c>
    </row>
    <row r="127" spans="1:12">
      <c r="A127" t="s">
        <v>307</v>
      </c>
      <c r="B127" t="s">
        <v>308</v>
      </c>
      <c r="C127" s="228">
        <f>IFERROR(GETPIVOTDATA("Sum of qty",PT!$A$17,"product",A127,"FL/AZ","AZ"),0)</f>
        <v>12015</v>
      </c>
      <c r="D127" s="2">
        <f>C127</f>
        <v>12015</v>
      </c>
      <c r="E127" s="117"/>
      <c r="F127" s="1">
        <f>D127*E127</f>
        <v>0</v>
      </c>
      <c r="G127" s="361">
        <v>0.56710000000000005</v>
      </c>
      <c r="H127" s="18">
        <f t="shared" si="35"/>
        <v>6813.7065000000002</v>
      </c>
      <c r="I127" s="117">
        <f>IFERROR(VLOOKUP(A127,'[2]Alameda Capitalization'!$A:$M,13,0),0)</f>
        <v>0.1173943144375308</v>
      </c>
      <c r="J127" s="81">
        <f t="shared" ref="J127" si="81">C127*I127</f>
        <v>1410.4926879669326</v>
      </c>
      <c r="K127" t="s">
        <v>852</v>
      </c>
      <c r="L127" s="2">
        <f>D127-IFERROR(VLOOKUP(A127,'[1]AZ WIP'!$A:$F,4,0),0)</f>
        <v>9360</v>
      </c>
    </row>
    <row r="128" spans="1:12">
      <c r="A128" t="s">
        <v>1016</v>
      </c>
      <c r="B128" t="s">
        <v>1017</v>
      </c>
      <c r="C128" s="228">
        <f>IFERROR(GETPIVOTDATA("Sum of qty",PT!$A$17,"product",A128,"FL/AZ","AZ"),0)</f>
        <v>0</v>
      </c>
      <c r="D128" s="2">
        <f>C128*50</f>
        <v>0</v>
      </c>
      <c r="E128" s="117"/>
      <c r="F128" s="1">
        <f t="shared" ref="F128" si="82">D128*E128</f>
        <v>0</v>
      </c>
      <c r="G128" s="117"/>
      <c r="H128" s="18">
        <f t="shared" ref="H128" si="83">D128*G128</f>
        <v>0</v>
      </c>
      <c r="I128" s="117">
        <f>IFERROR(VLOOKUP(A128,'[2]Alameda Capitalization'!$A:$M,13,0),0)</f>
        <v>0</v>
      </c>
      <c r="J128" s="81">
        <f t="shared" si="32"/>
        <v>0</v>
      </c>
      <c r="K128" t="s">
        <v>852</v>
      </c>
      <c r="L128" s="2">
        <f>D128-IFERROR(VLOOKUP(A128,'[1]AZ WIP'!$A:$F,4,0),0)</f>
        <v>0</v>
      </c>
    </row>
    <row r="129" spans="1:16">
      <c r="A129" t="s">
        <v>1018</v>
      </c>
      <c r="B129" t="s">
        <v>1019</v>
      </c>
      <c r="C129" s="228">
        <f>IFERROR(GETPIVOTDATA("Sum of qty",PT!$A$17,"product",A129,"FL/AZ","AZ"),0)</f>
        <v>0</v>
      </c>
      <c r="D129" s="2">
        <f>C129</f>
        <v>0</v>
      </c>
      <c r="E129" s="117">
        <f>+$E$10</f>
        <v>0.93172360877594329</v>
      </c>
      <c r="F129" s="1">
        <f>D129*E129</f>
        <v>0</v>
      </c>
      <c r="G129" s="117"/>
      <c r="H129" s="18">
        <f>D129*G129</f>
        <v>0</v>
      </c>
      <c r="I129" s="117">
        <f>IFERROR(VLOOKUP(A129,'[2]Alameda Capitalization'!$A:$M,13,0),0)</f>
        <v>0</v>
      </c>
      <c r="J129" s="81">
        <f t="shared" si="32"/>
        <v>0</v>
      </c>
      <c r="K129" t="s">
        <v>852</v>
      </c>
      <c r="L129" s="2">
        <f>D129-IFERROR(VLOOKUP(A129,'[1]AZ WIP'!$A:$F,4,0),0)</f>
        <v>-393</v>
      </c>
    </row>
    <row r="130" spans="1:16">
      <c r="A130" s="363" t="s">
        <v>648</v>
      </c>
      <c r="B130" t="s">
        <v>649</v>
      </c>
      <c r="C130" s="228">
        <f>IFERROR(GETPIVOTDATA("Sum of qty",PT!$A$17,"product",A130,"FL/AZ","AZ"),0)</f>
        <v>2115</v>
      </c>
      <c r="D130" s="2">
        <f>C130</f>
        <v>2115</v>
      </c>
      <c r="E130" s="117">
        <f t="shared" ref="E130" si="84">+$E$10</f>
        <v>0.93172360877594329</v>
      </c>
      <c r="F130" s="1">
        <f>D130*E130</f>
        <v>1970.5954325611201</v>
      </c>
      <c r="G130" s="117"/>
      <c r="H130" s="18">
        <f>D130*G130</f>
        <v>0</v>
      </c>
      <c r="I130" s="117">
        <f>IFERROR(VLOOKUP(A130,'[2]Alameda Capitalization'!$A:$M,13,0),0)</f>
        <v>0.37682125621923468</v>
      </c>
      <c r="J130" s="81">
        <f t="shared" ref="J130" si="85">C130*I130</f>
        <v>796.9769569036813</v>
      </c>
      <c r="K130" t="s">
        <v>852</v>
      </c>
      <c r="L130" s="2">
        <f>D130-IFERROR(VLOOKUP(A130,'[1]AZ WIP'!$A:$F,4,0),0)</f>
        <v>0</v>
      </c>
    </row>
    <row r="131" spans="1:16">
      <c r="A131" t="s">
        <v>1020</v>
      </c>
      <c r="B131" t="s">
        <v>1021</v>
      </c>
      <c r="C131" s="228">
        <f>IFERROR(GETPIVOTDATA("Sum of qty",PT!$A$17,"product",A131,"FL/AZ","AZ"),0)</f>
        <v>0</v>
      </c>
      <c r="D131" s="2">
        <f>C131</f>
        <v>0</v>
      </c>
      <c r="E131" s="117">
        <f t="shared" si="65"/>
        <v>0.93172360877594329</v>
      </c>
      <c r="F131" s="1">
        <f>D131*E131</f>
        <v>0</v>
      </c>
      <c r="G131" s="117"/>
      <c r="H131" s="18">
        <f>D131*G131</f>
        <v>0</v>
      </c>
      <c r="I131" s="117">
        <f>IFERROR(VLOOKUP(A131,'[2]Alameda Capitalization'!$A:$M,13,0),0)</f>
        <v>0</v>
      </c>
      <c r="J131" s="81">
        <f t="shared" ref="J131" si="86">C131*I131</f>
        <v>0</v>
      </c>
      <c r="K131" t="s">
        <v>852</v>
      </c>
      <c r="L131" s="2">
        <f>D131-IFERROR(VLOOKUP(A131,'[1]AZ WIP'!$A:$F,4,0),0)</f>
        <v>0</v>
      </c>
    </row>
    <row r="132" spans="1:16">
      <c r="A132" t="s">
        <v>1022</v>
      </c>
      <c r="B132" s="157" t="s">
        <v>1023</v>
      </c>
      <c r="C132" s="228">
        <f>IFERROR(GETPIVOTDATA("Sum of qty",PT!$A$17,"product",A132,"FL/AZ","AZ"),0)</f>
        <v>0</v>
      </c>
      <c r="D132" s="2">
        <f>C132</f>
        <v>0</v>
      </c>
      <c r="E132" s="117"/>
      <c r="F132" s="1"/>
      <c r="G132" s="361">
        <v>0.56710000000000005</v>
      </c>
      <c r="H132" s="8">
        <f>D132*G132</f>
        <v>0</v>
      </c>
      <c r="I132" s="117">
        <f>IFERROR(VLOOKUP(A132,'[2]Alameda Capitalization'!$A:$M,13,0),0)</f>
        <v>0.1235729625658219</v>
      </c>
      <c r="K132" t="s">
        <v>852</v>
      </c>
      <c r="L132" s="2">
        <f>D132-IFERROR(VLOOKUP(A132,'[1]AZ WIP'!$A:$F,4,0),0)</f>
        <v>0</v>
      </c>
    </row>
    <row r="133" spans="1:16">
      <c r="A133" t="s">
        <v>1024</v>
      </c>
      <c r="B133" t="s">
        <v>1025</v>
      </c>
      <c r="C133" s="228">
        <f>IFERROR(GETPIVOTDATA("Sum of qty",PT!$A$17,"product",A133,"FL/AZ","AZ"),0)</f>
        <v>0</v>
      </c>
      <c r="D133" s="2">
        <f t="shared" si="29"/>
        <v>0</v>
      </c>
      <c r="E133" s="117">
        <f t="shared" si="65"/>
        <v>0.93172360877594329</v>
      </c>
      <c r="F133" s="1">
        <f t="shared" si="38"/>
        <v>0</v>
      </c>
      <c r="G133" s="117"/>
      <c r="H133" s="18">
        <f t="shared" si="35"/>
        <v>0</v>
      </c>
      <c r="I133" s="117">
        <f>IFERROR(VLOOKUP(A133,'[2]Alameda Capitalization'!$A:$M,13,0),0)</f>
        <v>0</v>
      </c>
      <c r="J133" s="81">
        <f t="shared" ref="J133:J206" si="87">C133*I133</f>
        <v>0</v>
      </c>
      <c r="K133" t="s">
        <v>550</v>
      </c>
      <c r="L133" s="2">
        <f>D133-IFERROR(VLOOKUP(A133,'[1]AZ WIP'!$A:$F,4,0),0)</f>
        <v>0</v>
      </c>
    </row>
    <row r="134" spans="1:16">
      <c r="A134" t="s">
        <v>1026</v>
      </c>
      <c r="B134" t="s">
        <v>1027</v>
      </c>
      <c r="C134" s="228">
        <f>IFERROR(GETPIVOTDATA("Sum of qty",PT!$A$17,"product",A134,"FL/AZ","AZ"),0)</f>
        <v>0</v>
      </c>
      <c r="D134" s="2">
        <f t="shared" si="29"/>
        <v>0</v>
      </c>
      <c r="E134" s="117">
        <f t="shared" si="65"/>
        <v>0.93172360877594329</v>
      </c>
      <c r="F134" s="1">
        <f t="shared" si="38"/>
        <v>0</v>
      </c>
      <c r="G134" s="117"/>
      <c r="H134" s="18">
        <f t="shared" si="35"/>
        <v>0</v>
      </c>
      <c r="I134" s="117">
        <f>IFERROR(VLOOKUP(A134,'[2]Alameda Capitalization'!$A:$M,13,0),0)</f>
        <v>0</v>
      </c>
      <c r="J134" s="81">
        <f t="shared" si="87"/>
        <v>0</v>
      </c>
      <c r="K134" t="s">
        <v>550</v>
      </c>
      <c r="L134" s="2">
        <f>D134-IFERROR(VLOOKUP(A134,'[1]AZ WIP'!$A:$F,4,0),0)</f>
        <v>0</v>
      </c>
    </row>
    <row r="135" spans="1:16">
      <c r="A135" t="s">
        <v>676</v>
      </c>
      <c r="B135" t="s">
        <v>1028</v>
      </c>
      <c r="C135" s="228">
        <f>IFERROR(GETPIVOTDATA("Sum of qty",PT!$A$17,"product",A135,"FL/AZ","AZ"),0)</f>
        <v>0</v>
      </c>
      <c r="D135" s="2">
        <f t="shared" si="29"/>
        <v>0</v>
      </c>
      <c r="E135" s="117">
        <f t="shared" si="65"/>
        <v>0.93172360877594329</v>
      </c>
      <c r="F135" s="1">
        <f t="shared" si="38"/>
        <v>0</v>
      </c>
      <c r="G135" s="117">
        <f>G43</f>
        <v>0</v>
      </c>
      <c r="H135" s="18">
        <f t="shared" si="35"/>
        <v>0</v>
      </c>
      <c r="I135" s="117">
        <f>IFERROR(VLOOKUP(A135,'[2]Alameda Capitalization'!$A:$M,13,0),0)</f>
        <v>0.24885756508287168</v>
      </c>
      <c r="J135" s="81">
        <f t="shared" si="87"/>
        <v>0</v>
      </c>
      <c r="K135" t="s">
        <v>550</v>
      </c>
      <c r="L135" s="2">
        <f>D135-IFERROR(VLOOKUP(A135,'[1]AZ WIP'!$A:$F,4,0),0)</f>
        <v>0</v>
      </c>
      <c r="P135" s="89"/>
    </row>
    <row r="136" spans="1:16">
      <c r="A136" t="s">
        <v>1029</v>
      </c>
      <c r="B136" t="s">
        <v>1030</v>
      </c>
      <c r="C136" s="228">
        <f>IFERROR(GETPIVOTDATA("Sum of qty",PT!$A$17,"product",A136,"FL/AZ","AZ"),0)</f>
        <v>0</v>
      </c>
      <c r="D136" s="2">
        <f t="shared" si="29"/>
        <v>0</v>
      </c>
      <c r="E136" s="117">
        <f t="shared" si="65"/>
        <v>0.93172360877594329</v>
      </c>
      <c r="F136" s="1">
        <f t="shared" si="38"/>
        <v>0</v>
      </c>
      <c r="G136" s="117"/>
      <c r="H136" s="18">
        <f t="shared" si="35"/>
        <v>0</v>
      </c>
      <c r="I136" s="117">
        <f>IFERROR(VLOOKUP(A136,'[2]Alameda Capitalization'!$A:$M,13,0),0)</f>
        <v>0</v>
      </c>
      <c r="J136" s="81">
        <f t="shared" si="87"/>
        <v>0</v>
      </c>
      <c r="K136" t="s">
        <v>550</v>
      </c>
      <c r="L136" s="2">
        <f>D136-IFERROR(VLOOKUP(A136,'[1]AZ WIP'!$A:$F,4,0),0)</f>
        <v>0</v>
      </c>
      <c r="P136" s="89"/>
    </row>
    <row r="137" spans="1:16">
      <c r="A137" t="s">
        <v>1031</v>
      </c>
      <c r="B137" t="s">
        <v>1032</v>
      </c>
      <c r="C137" s="228">
        <f>IFERROR(GETPIVOTDATA("Sum of qty",PT!$A$17,"product",A137,"FL/AZ","AZ"),0)</f>
        <v>0</v>
      </c>
      <c r="D137" s="2">
        <f t="shared" si="29"/>
        <v>0</v>
      </c>
      <c r="E137" s="117">
        <f t="shared" si="65"/>
        <v>0.93172360877594329</v>
      </c>
      <c r="F137" s="1">
        <f t="shared" si="38"/>
        <v>0</v>
      </c>
      <c r="G137" s="117"/>
      <c r="H137" s="18">
        <f t="shared" si="35"/>
        <v>0</v>
      </c>
      <c r="I137" s="117">
        <f>IFERROR(VLOOKUP(A137,'[2]Alameda Capitalization'!$A:$M,13,0),0)</f>
        <v>0</v>
      </c>
      <c r="J137" s="81">
        <f t="shared" si="87"/>
        <v>0</v>
      </c>
      <c r="K137" t="s">
        <v>550</v>
      </c>
      <c r="L137" s="2">
        <f>D137-IFERROR(VLOOKUP(A137,'[1]AZ WIP'!$A:$F,4,0),0)</f>
        <v>0</v>
      </c>
    </row>
    <row r="138" spans="1:16">
      <c r="A138" t="s">
        <v>1033</v>
      </c>
      <c r="B138" t="s">
        <v>1034</v>
      </c>
      <c r="C138" s="228">
        <f>IFERROR(GETPIVOTDATA("Sum of qty",PT!$A$17,"product",A138,"FL/AZ","AZ"),0)</f>
        <v>0</v>
      </c>
      <c r="D138" s="2">
        <f t="shared" ref="D138" si="88">C138</f>
        <v>0</v>
      </c>
      <c r="E138" s="117"/>
      <c r="F138" s="1">
        <f t="shared" ref="F138" si="89">D138*E138</f>
        <v>0</v>
      </c>
      <c r="G138" s="117"/>
      <c r="H138" s="18">
        <f t="shared" ref="H138" si="90">D138*G138</f>
        <v>0</v>
      </c>
      <c r="I138" s="117">
        <f>IFERROR(VLOOKUP(A138,'[2]Alameda Capitalization'!$A:$M,13,0),0)</f>
        <v>0</v>
      </c>
      <c r="J138" s="81">
        <f t="shared" si="87"/>
        <v>0</v>
      </c>
      <c r="K138" t="s">
        <v>550</v>
      </c>
      <c r="L138" s="2">
        <f>D138-IFERROR(VLOOKUP(A138,'[1]AZ WIP'!$A:$F,4,0),0)</f>
        <v>0</v>
      </c>
    </row>
    <row r="139" spans="1:16">
      <c r="A139" t="s">
        <v>1035</v>
      </c>
      <c r="B139" t="s">
        <v>1036</v>
      </c>
      <c r="C139" s="228">
        <f>IFERROR(GETPIVOTDATA("Sum of qty",PT!$A$17,"product",A139,"FL/AZ","AZ"),0)</f>
        <v>0</v>
      </c>
      <c r="D139" s="2">
        <f>C139</f>
        <v>0</v>
      </c>
      <c r="E139" s="117">
        <f t="shared" si="65"/>
        <v>0.93172360877594329</v>
      </c>
      <c r="F139" s="1">
        <f t="shared" ref="F139:F148" si="91">D139*E139</f>
        <v>0</v>
      </c>
      <c r="G139" s="117"/>
      <c r="H139" s="18">
        <f>D139*G139</f>
        <v>0</v>
      </c>
      <c r="I139" s="117">
        <f>IFERROR(VLOOKUP(A139,'[2]Alameda Capitalization'!$A:$M,13,0),0)</f>
        <v>0</v>
      </c>
      <c r="J139" s="81">
        <f t="shared" si="87"/>
        <v>0</v>
      </c>
      <c r="K139" t="s">
        <v>550</v>
      </c>
      <c r="L139" s="2">
        <f>D139-IFERROR(VLOOKUP(A139,'[1]AZ WIP'!$A:$F,4,0),0)</f>
        <v>0</v>
      </c>
    </row>
    <row r="140" spans="1:16">
      <c r="A140" s="157" t="s">
        <v>1037</v>
      </c>
      <c r="B140" t="s">
        <v>1036</v>
      </c>
      <c r="C140" s="228">
        <f>IFERROR(GETPIVOTDATA("Sum of qty",PT!$A$17,"product",A140,"FL/AZ","AZ"),0)</f>
        <v>0</v>
      </c>
      <c r="D140" s="2">
        <f>C140</f>
        <v>0</v>
      </c>
      <c r="E140" s="117">
        <f t="shared" si="65"/>
        <v>0.93172360877594329</v>
      </c>
      <c r="F140" s="1">
        <f t="shared" si="91"/>
        <v>0</v>
      </c>
      <c r="G140" s="117"/>
      <c r="H140" s="18">
        <f>D140*G140</f>
        <v>0</v>
      </c>
      <c r="I140" s="117">
        <f>IFERROR(VLOOKUP(A140,'[2]Alameda Capitalization'!$A:$M,13,0),0)</f>
        <v>0</v>
      </c>
      <c r="J140" s="81">
        <f t="shared" si="87"/>
        <v>0</v>
      </c>
      <c r="K140" t="s">
        <v>550</v>
      </c>
      <c r="L140" s="2">
        <f>D140-IFERROR(VLOOKUP(A140,'[1]AZ WIP'!$A:$F,4,0),0)</f>
        <v>0</v>
      </c>
    </row>
    <row r="141" spans="1:16">
      <c r="A141" s="157" t="s">
        <v>1038</v>
      </c>
      <c r="B141" t="s">
        <v>1039</v>
      </c>
      <c r="C141" s="228">
        <f>IFERROR(GETPIVOTDATA("Sum of qty",PT!$A$17,"product",A141,"FL/AZ","AZ"),0)</f>
        <v>0</v>
      </c>
      <c r="D141" s="2">
        <f>C141</f>
        <v>0</v>
      </c>
      <c r="E141" s="117">
        <f t="shared" si="65"/>
        <v>0.93172360877594329</v>
      </c>
      <c r="F141" s="1">
        <f t="shared" ref="F141" si="92">D141*E141</f>
        <v>0</v>
      </c>
      <c r="G141" s="117"/>
      <c r="H141" s="18">
        <f>D141*G141</f>
        <v>0</v>
      </c>
      <c r="I141" s="117">
        <f>IFERROR(VLOOKUP(A141,'[2]Alameda Capitalization'!$A:$M,13,0),0)</f>
        <v>0</v>
      </c>
      <c r="J141" s="81">
        <f t="shared" si="87"/>
        <v>0</v>
      </c>
      <c r="K141" t="s">
        <v>550</v>
      </c>
      <c r="L141" s="2">
        <f>D141-IFERROR(VLOOKUP(A141,'[1]AZ WIP'!$A:$F,4,0),0)</f>
        <v>0</v>
      </c>
    </row>
    <row r="142" spans="1:16">
      <c r="A142" t="s">
        <v>1040</v>
      </c>
      <c r="B142" t="s">
        <v>1041</v>
      </c>
      <c r="C142" s="228">
        <f>IFERROR(GETPIVOTDATA("Sum of qty",PT!$A$17,"product",A142,"FL/AZ","AZ"),0)</f>
        <v>0</v>
      </c>
      <c r="D142" s="2">
        <f t="shared" si="29"/>
        <v>0</v>
      </c>
      <c r="E142" s="117">
        <f t="shared" si="65"/>
        <v>0.93172360877594329</v>
      </c>
      <c r="F142" s="1">
        <f t="shared" si="91"/>
        <v>0</v>
      </c>
      <c r="G142" s="117"/>
      <c r="H142" s="18">
        <f t="shared" si="35"/>
        <v>0</v>
      </c>
      <c r="I142" s="117">
        <f>IFERROR(VLOOKUP(A142,'[2]Alameda Capitalization'!$A:$M,13,0),0)</f>
        <v>0</v>
      </c>
      <c r="J142" s="81">
        <f t="shared" si="87"/>
        <v>0</v>
      </c>
      <c r="K142" t="s">
        <v>550</v>
      </c>
      <c r="L142" s="2">
        <f>D142-IFERROR(VLOOKUP(A142,'[1]AZ WIP'!$A:$F,4,0),0)</f>
        <v>0</v>
      </c>
    </row>
    <row r="143" spans="1:16">
      <c r="A143" t="s">
        <v>1042</v>
      </c>
      <c r="B143" t="s">
        <v>1043</v>
      </c>
      <c r="C143" s="228">
        <f>IFERROR(GETPIVOTDATA("Sum of qty",PT!$A$17,"product",A143,"FL/AZ","AZ"),0)</f>
        <v>0</v>
      </c>
      <c r="D143" s="2">
        <f t="shared" ref="D143" si="93">C143</f>
        <v>0</v>
      </c>
      <c r="E143" s="117"/>
      <c r="F143" s="1">
        <f t="shared" ref="F143" si="94">D143*E143</f>
        <v>0</v>
      </c>
      <c r="G143" s="117"/>
      <c r="H143" s="18">
        <f t="shared" ref="H143" si="95">D143*G143</f>
        <v>0</v>
      </c>
      <c r="I143" s="117">
        <f>IFERROR(VLOOKUP(A143,'[2]Alameda Capitalization'!$A:$M,13,0),0)</f>
        <v>0</v>
      </c>
      <c r="J143" s="81">
        <f t="shared" si="87"/>
        <v>0</v>
      </c>
      <c r="K143" t="s">
        <v>550</v>
      </c>
      <c r="L143" s="2">
        <f>D143-IFERROR(VLOOKUP(A143,'[1]AZ WIP'!$A:$F,4,0),0)</f>
        <v>0</v>
      </c>
    </row>
    <row r="144" spans="1:16">
      <c r="A144" t="s">
        <v>1044</v>
      </c>
      <c r="B144" t="s">
        <v>1045</v>
      </c>
      <c r="C144" s="228">
        <f>IFERROR(GETPIVOTDATA("Sum of qty",PT!$A$17,"product",A144,"FL/AZ","AZ"),0)</f>
        <v>0</v>
      </c>
      <c r="D144" s="2">
        <f t="shared" si="29"/>
        <v>0</v>
      </c>
      <c r="E144" s="117">
        <f t="shared" si="65"/>
        <v>0.93172360877594329</v>
      </c>
      <c r="F144" s="1">
        <f t="shared" si="91"/>
        <v>0</v>
      </c>
      <c r="G144" s="117"/>
      <c r="H144" s="18">
        <f t="shared" si="35"/>
        <v>0</v>
      </c>
      <c r="I144" s="117">
        <f>IFERROR(VLOOKUP(A144,'[2]Alameda Capitalization'!$A:$M,13,0),0)</f>
        <v>0</v>
      </c>
      <c r="J144" s="81">
        <f t="shared" si="87"/>
        <v>0</v>
      </c>
      <c r="K144" t="s">
        <v>550</v>
      </c>
      <c r="L144" s="2">
        <f>D144-IFERROR(VLOOKUP(A144,'[1]AZ WIP'!$A:$F,4,0),0)</f>
        <v>0</v>
      </c>
    </row>
    <row r="145" spans="1:12">
      <c r="A145" s="157" t="s">
        <v>251</v>
      </c>
      <c r="B145" s="157" t="s">
        <v>252</v>
      </c>
      <c r="C145" s="228">
        <f>IFERROR(GETPIVOTDATA("Sum of qty",PT!$A$17,"product",A145,"FL/AZ","AZ"),0)</f>
        <v>5563</v>
      </c>
      <c r="D145" s="2">
        <f>C145</f>
        <v>5563</v>
      </c>
      <c r="E145" s="117">
        <v>0</v>
      </c>
      <c r="F145" s="1">
        <f t="shared" ref="F145" si="96">D145*E145</f>
        <v>0</v>
      </c>
      <c r="G145" s="396"/>
      <c r="I145" s="117">
        <f>IFERROR(VLOOKUP(A145,'[2]Alameda Capitalization'!$A:$M,13,0),0)</f>
        <v>0</v>
      </c>
      <c r="J145" s="81">
        <f t="shared" ref="J145" si="97">C145*I145</f>
        <v>0</v>
      </c>
      <c r="L145" s="2">
        <f>D145-IFERROR(VLOOKUP(A145,'[1]AZ WIP'!$A:$F,4,0),0)</f>
        <v>5563</v>
      </c>
    </row>
    <row r="146" spans="1:12">
      <c r="A146" t="s">
        <v>1046</v>
      </c>
      <c r="B146" t="s">
        <v>1047</v>
      </c>
      <c r="C146" s="228">
        <f>IFERROR(GETPIVOTDATA("Sum of qty",PT!$A$17,"product",A146,"FL/AZ","AZ"),0)</f>
        <v>0</v>
      </c>
      <c r="D146" s="2">
        <f>C146</f>
        <v>0</v>
      </c>
      <c r="E146" s="117">
        <v>0</v>
      </c>
      <c r="F146" s="1">
        <f t="shared" si="91"/>
        <v>0</v>
      </c>
      <c r="G146" s="117"/>
      <c r="I146" s="117">
        <f>IFERROR(VLOOKUP(A146,'[2]Alameda Capitalization'!$A:$M,13,0),0)</f>
        <v>0</v>
      </c>
      <c r="J146" s="81">
        <f t="shared" si="87"/>
        <v>0</v>
      </c>
      <c r="L146" s="2">
        <f>D146-IFERROR(VLOOKUP(A146,'[1]AZ WIP'!$A:$F,4,0),0)</f>
        <v>0</v>
      </c>
    </row>
    <row r="147" spans="1:12">
      <c r="A147" t="s">
        <v>1048</v>
      </c>
      <c r="B147" t="s">
        <v>1049</v>
      </c>
      <c r="C147" s="228">
        <f>IFERROR(GETPIVOTDATA("Sum of qty",PT!$A$17,"product",A147,"FL/AZ","AZ"),0)</f>
        <v>0</v>
      </c>
      <c r="D147" s="2">
        <f t="shared" si="29"/>
        <v>0</v>
      </c>
      <c r="E147" s="117">
        <f t="shared" si="65"/>
        <v>0.93172360877594329</v>
      </c>
      <c r="F147" s="1">
        <f t="shared" si="91"/>
        <v>0</v>
      </c>
      <c r="G147" s="117"/>
      <c r="H147" s="18">
        <f t="shared" si="35"/>
        <v>0</v>
      </c>
      <c r="I147" s="117">
        <f>IFERROR(VLOOKUP(A147,'[2]Alameda Capitalization'!$A:$M,13,0),0)</f>
        <v>0</v>
      </c>
      <c r="J147" s="81">
        <f t="shared" si="87"/>
        <v>0</v>
      </c>
      <c r="K147" t="s">
        <v>550</v>
      </c>
      <c r="L147" s="2">
        <f>D147-IFERROR(VLOOKUP(A147,'[1]AZ WIP'!$A:$F,4,0),0)</f>
        <v>0</v>
      </c>
    </row>
    <row r="148" spans="1:12">
      <c r="A148" t="s">
        <v>1050</v>
      </c>
      <c r="B148" t="s">
        <v>1051</v>
      </c>
      <c r="C148" s="228">
        <f>IFERROR(GETPIVOTDATA("Sum of qty",PT!$A$17,"product",A148,"FL/AZ","AZ"),0)</f>
        <v>0</v>
      </c>
      <c r="D148" s="2">
        <f t="shared" si="29"/>
        <v>0</v>
      </c>
      <c r="E148" s="117"/>
      <c r="F148" s="1">
        <f t="shared" si="91"/>
        <v>0</v>
      </c>
      <c r="G148" s="117"/>
      <c r="H148" s="18">
        <f t="shared" si="35"/>
        <v>0</v>
      </c>
      <c r="I148" s="117">
        <f>IFERROR(VLOOKUP(A148,'[2]Alameda Capitalization'!$A:$M,13,0),0)</f>
        <v>0</v>
      </c>
      <c r="J148" s="81">
        <f t="shared" ref="J148" si="98">C148*I148</f>
        <v>0</v>
      </c>
      <c r="K148" t="s">
        <v>550</v>
      </c>
      <c r="L148" s="2">
        <f>D148-IFERROR(VLOOKUP(A148,'[1]AZ WIP'!$A:$F,4,0),0)</f>
        <v>0</v>
      </c>
    </row>
    <row r="149" spans="1:12">
      <c r="A149" t="s">
        <v>316</v>
      </c>
      <c r="B149" t="s">
        <v>1052</v>
      </c>
      <c r="C149" s="228">
        <f>IFERROR(GETPIVOTDATA("Sum of qty",PT!$A$17,"product",A149,"FL/AZ","AZ"),0)</f>
        <v>18620</v>
      </c>
      <c r="D149" s="2">
        <f t="shared" ref="D149" si="99">C149</f>
        <v>18620</v>
      </c>
      <c r="E149" s="117"/>
      <c r="F149" s="1">
        <f t="shared" ref="F149" si="100">D149*E149</f>
        <v>0</v>
      </c>
      <c r="G149" s="396">
        <v>0.61</v>
      </c>
      <c r="H149" s="18">
        <f t="shared" ref="H149" si="101">D149*G149</f>
        <v>11358.199999999999</v>
      </c>
      <c r="I149" s="396">
        <f>I162</f>
        <v>6.9567001148166399E-2</v>
      </c>
      <c r="J149" s="81">
        <f>C149*I149</f>
        <v>1295.3375613788583</v>
      </c>
      <c r="K149" t="s">
        <v>550</v>
      </c>
      <c r="L149" s="2">
        <f>D149-IFERROR(VLOOKUP(A149,'[1]AZ WIP'!$A:$F,4,0),0)</f>
        <v>14440</v>
      </c>
    </row>
    <row r="150" spans="1:12">
      <c r="A150" t="s">
        <v>366</v>
      </c>
      <c r="B150" t="s">
        <v>1053</v>
      </c>
      <c r="C150" s="228">
        <f>IFERROR(GETPIVOTDATA("Sum of qty",PT!$A$17,"product",A150,"FL/AZ","AZ"),0)</f>
        <v>0</v>
      </c>
      <c r="D150" s="2">
        <f t="shared" ref="D150:D151" si="102">C150</f>
        <v>0</v>
      </c>
      <c r="E150" s="117"/>
      <c r="F150" s="1">
        <f t="shared" ref="F150:F151" si="103">D150*E150</f>
        <v>0</v>
      </c>
      <c r="G150" s="396">
        <v>1</v>
      </c>
      <c r="H150" s="18">
        <f>D150*G150</f>
        <v>0</v>
      </c>
      <c r="I150" s="117">
        <f>IFERROR(VLOOKUP(A150,'[2]Alameda Capitalization'!$A:$M,13,0),0)</f>
        <v>0.24885756508287168</v>
      </c>
      <c r="J150" s="81">
        <f t="shared" si="87"/>
        <v>0</v>
      </c>
      <c r="K150" t="s">
        <v>550</v>
      </c>
      <c r="L150" s="2">
        <f>D150-IFERROR(VLOOKUP(A150,'[1]AZ WIP'!$A:$F,4,0),0)</f>
        <v>0</v>
      </c>
    </row>
    <row r="151" spans="1:12">
      <c r="A151" s="157" t="s">
        <v>1054</v>
      </c>
      <c r="B151" s="157" t="s">
        <v>1055</v>
      </c>
      <c r="C151" s="228">
        <f>IFERROR(GETPIVOTDATA("Sum of qty",PT!$A$17,"product",A151,"FL/AZ","AZ"),0)</f>
        <v>0</v>
      </c>
      <c r="D151" s="2">
        <f t="shared" si="102"/>
        <v>0</v>
      </c>
      <c r="E151" s="117">
        <f t="shared" si="65"/>
        <v>0.93172360877594329</v>
      </c>
      <c r="F151" s="1">
        <f t="shared" si="103"/>
        <v>0</v>
      </c>
      <c r="G151" s="117"/>
      <c r="H151" s="18">
        <f t="shared" ref="H151" si="104">D151*G151</f>
        <v>0</v>
      </c>
      <c r="I151" s="117">
        <f>IFERROR(VLOOKUP(A151,'[2]Alameda Capitalization'!$A:$M,13,0),0)</f>
        <v>0</v>
      </c>
      <c r="J151" s="81">
        <f t="shared" ref="J151" si="105">C151*I151</f>
        <v>0</v>
      </c>
      <c r="K151" t="s">
        <v>550</v>
      </c>
      <c r="L151" s="2">
        <f>D151-IFERROR(VLOOKUP(A151,'[1]AZ WIP'!$A:$F,4,0),0)</f>
        <v>0</v>
      </c>
    </row>
    <row r="152" spans="1:12">
      <c r="A152" t="s">
        <v>549</v>
      </c>
      <c r="B152" t="s">
        <v>1056</v>
      </c>
      <c r="C152" s="228">
        <f>IFERROR(GETPIVOTDATA("Sum of qty",PT!$A$17,"product",A152,"FL/AZ","AZ"),0)</f>
        <v>14028</v>
      </c>
      <c r="D152" s="2">
        <f t="shared" si="29"/>
        <v>14028</v>
      </c>
      <c r="E152" s="117">
        <f t="shared" si="65"/>
        <v>0.93172360877594329</v>
      </c>
      <c r="F152" s="1">
        <f t="shared" si="38"/>
        <v>13070.218783908933</v>
      </c>
      <c r="G152" s="117">
        <f>G43</f>
        <v>0</v>
      </c>
      <c r="H152" s="18">
        <f t="shared" si="35"/>
        <v>0</v>
      </c>
      <c r="I152" s="117">
        <f>IFERROR(VLOOKUP(A152,'[2]Alameda Capitalization'!$A:$M,13,0),0)</f>
        <v>0.24885756508287168</v>
      </c>
      <c r="J152" s="81">
        <f>C152*I152</f>
        <v>3490.9739229825241</v>
      </c>
      <c r="K152" t="s">
        <v>550</v>
      </c>
      <c r="L152" s="2">
        <f>D152-IFERROR(VLOOKUP(A152,'[1]AZ WIP'!$A:$F,4,0),0)</f>
        <v>12414.8</v>
      </c>
    </row>
    <row r="153" spans="1:12">
      <c r="A153" t="s">
        <v>1057</v>
      </c>
      <c r="B153" t="s">
        <v>550</v>
      </c>
      <c r="C153" s="228">
        <f>IFERROR(GETPIVOTDATA("Sum of qty",PT!$A$17,"product",A153,"FL/AZ","AZ"),0)</f>
        <v>0</v>
      </c>
      <c r="D153" s="2">
        <f t="shared" si="29"/>
        <v>0</v>
      </c>
      <c r="E153" s="117">
        <f t="shared" si="65"/>
        <v>0.93172360877594329</v>
      </c>
      <c r="F153" s="1">
        <f t="shared" si="38"/>
        <v>0</v>
      </c>
      <c r="G153" s="117"/>
      <c r="H153" s="18">
        <f t="shared" si="35"/>
        <v>0</v>
      </c>
      <c r="I153" s="117">
        <f>IFERROR(VLOOKUP(A153,'[2]Alameda Capitalization'!$A:$M,13,0),0)</f>
        <v>0</v>
      </c>
      <c r="J153" s="81">
        <f t="shared" si="87"/>
        <v>0</v>
      </c>
      <c r="K153" t="s">
        <v>550</v>
      </c>
      <c r="L153" s="2">
        <f>D153-IFERROR(VLOOKUP(A153,'[1]AZ WIP'!$A:$F,4,0),0)</f>
        <v>0</v>
      </c>
    </row>
    <row r="154" spans="1:12">
      <c r="A154" t="s">
        <v>1058</v>
      </c>
      <c r="B154" t="s">
        <v>1059</v>
      </c>
      <c r="C154" s="228">
        <f>IFERROR(GETPIVOTDATA("Sum of qty",PT!$A$17,"product",A154,"FL/AZ","AZ"),0)</f>
        <v>0</v>
      </c>
      <c r="D154" s="2">
        <f t="shared" si="29"/>
        <v>0</v>
      </c>
      <c r="E154" s="117">
        <f t="shared" si="65"/>
        <v>0.93172360877594329</v>
      </c>
      <c r="F154" s="1">
        <f>D154*E154</f>
        <v>0</v>
      </c>
      <c r="G154" s="117"/>
      <c r="H154" s="18">
        <f t="shared" si="35"/>
        <v>0</v>
      </c>
      <c r="I154" s="117">
        <f>IFERROR(VLOOKUP(A154,'[2]Alameda Capitalization'!$A:$M,13,0),0)</f>
        <v>0</v>
      </c>
      <c r="J154" s="81">
        <f t="shared" ref="J154" si="106">C154*I154</f>
        <v>0</v>
      </c>
      <c r="K154" t="s">
        <v>550</v>
      </c>
      <c r="L154" s="2">
        <f>D154-IFERROR(VLOOKUP(A154,'[1]AZ WIP'!$A:$F,4,0),0)</f>
        <v>0</v>
      </c>
    </row>
    <row r="155" spans="1:12">
      <c r="A155" s="157" t="s">
        <v>1060</v>
      </c>
      <c r="B155" s="157" t="s">
        <v>1061</v>
      </c>
      <c r="C155" s="228">
        <f>IFERROR(GETPIVOTDATA("Sum of qty",PT!$A$17,"product",A155,"FL/AZ","AZ"),0)</f>
        <v>0</v>
      </c>
      <c r="D155" s="2">
        <f t="shared" ref="D155" si="107">C155</f>
        <v>0</v>
      </c>
      <c r="E155" s="117"/>
      <c r="F155" s="1">
        <f>D155*E155</f>
        <v>0</v>
      </c>
      <c r="G155" s="396">
        <v>0.53920000000000001</v>
      </c>
      <c r="H155" s="18">
        <f>D155*G155</f>
        <v>0</v>
      </c>
      <c r="I155" s="117">
        <f>IFERROR(VLOOKUP(A155,'[2]Alameda Capitalization'!$A:$M,13,0),0)</f>
        <v>0</v>
      </c>
      <c r="J155" s="81">
        <f t="shared" si="87"/>
        <v>0</v>
      </c>
      <c r="K155" t="s">
        <v>550</v>
      </c>
      <c r="L155" s="2">
        <f>D155-IFERROR(VLOOKUP(A155,'[1]AZ WIP'!$A:$F,4,0),0)</f>
        <v>0</v>
      </c>
    </row>
    <row r="156" spans="1:12">
      <c r="A156" t="s">
        <v>1062</v>
      </c>
      <c r="B156" t="s">
        <v>1063</v>
      </c>
      <c r="C156" s="228">
        <f>IFERROR(GETPIVOTDATA("Sum of qty",PT!$A$17,"product",A156,"FL/AZ","AZ"),0)</f>
        <v>9904</v>
      </c>
      <c r="D156" s="2">
        <f t="shared" ref="D156" si="108">C156</f>
        <v>9904</v>
      </c>
      <c r="E156" s="117">
        <f t="shared" si="65"/>
        <v>0.93172360877594329</v>
      </c>
      <c r="F156" s="1">
        <f t="shared" ref="F156" si="109">D156*E156</f>
        <v>9227.7906213169426</v>
      </c>
      <c r="G156" s="117">
        <f>G43</f>
        <v>0</v>
      </c>
      <c r="H156" s="18">
        <f>D156*G156</f>
        <v>0</v>
      </c>
      <c r="I156" s="117">
        <f>IFERROR(VLOOKUP(A156,'[2]Alameda Capitalization'!$A:$M,13,0),0)</f>
        <v>0.24885756508287168</v>
      </c>
      <c r="J156" s="81">
        <f t="shared" si="87"/>
        <v>2464.6853245807611</v>
      </c>
      <c r="K156" t="s">
        <v>550</v>
      </c>
      <c r="L156" s="2">
        <f>D156-IFERROR(VLOOKUP(A156,'[1]AZ WIP'!$A:$F,4,0),0)</f>
        <v>-3036</v>
      </c>
    </row>
    <row r="157" spans="1:12">
      <c r="A157" t="s">
        <v>1064</v>
      </c>
      <c r="B157" t="s">
        <v>1065</v>
      </c>
      <c r="C157" s="228">
        <f>IFERROR(GETPIVOTDATA("Sum of qty",PT!$A$17,"product",A157,"FL/AZ","AZ"),0)</f>
        <v>0</v>
      </c>
      <c r="D157" s="2">
        <f t="shared" si="29"/>
        <v>0</v>
      </c>
      <c r="E157" s="117">
        <v>0</v>
      </c>
      <c r="F157" s="1">
        <f t="shared" si="38"/>
        <v>0</v>
      </c>
      <c r="G157" s="117"/>
      <c r="H157" s="18">
        <f>D157*G157</f>
        <v>0</v>
      </c>
      <c r="I157" s="117">
        <f>IFERROR(VLOOKUP(A157,'[2]Alameda Capitalization'!$A:$M,13,0),0)</f>
        <v>0</v>
      </c>
      <c r="J157" s="81">
        <f t="shared" si="87"/>
        <v>0</v>
      </c>
      <c r="K157" t="s">
        <v>550</v>
      </c>
      <c r="L157" s="2">
        <f>D157-IFERROR(VLOOKUP(A157,'[1]AZ WIP'!$A:$F,4,0),0)</f>
        <v>0</v>
      </c>
    </row>
    <row r="158" spans="1:12">
      <c r="A158" s="397" t="s">
        <v>112</v>
      </c>
      <c r="B158" s="397" t="s">
        <v>1066</v>
      </c>
      <c r="C158" s="228">
        <f>IFERROR(GETPIVOTDATA("Sum of qty",PT!$A$17,"product",A158,"FL/AZ","AZ"),0)</f>
        <v>66511</v>
      </c>
      <c r="D158" s="2">
        <f t="shared" si="29"/>
        <v>66511</v>
      </c>
      <c r="E158" s="117">
        <f t="shared" si="65"/>
        <v>0.93172360877594329</v>
      </c>
      <c r="F158" s="1">
        <f>D158*E158</f>
        <v>61969.868943296766</v>
      </c>
      <c r="G158" s="117">
        <f>G43</f>
        <v>0</v>
      </c>
      <c r="H158" s="18">
        <f>D158*G158</f>
        <v>0</v>
      </c>
      <c r="I158" s="117">
        <f>IFERROR(VLOOKUP(A158,'[2]Alameda Capitalization'!$A:$M,13,0),0)</f>
        <v>0.24885756508287168</v>
      </c>
      <c r="J158" s="81">
        <f t="shared" si="87"/>
        <v>16551.76551122688</v>
      </c>
      <c r="K158" t="s">
        <v>550</v>
      </c>
      <c r="L158" s="2">
        <f>D158-IFERROR(VLOOKUP(A158,'[1]AZ WIP'!$A:$F,4,0),0)</f>
        <v>-2901</v>
      </c>
    </row>
    <row r="159" spans="1:12">
      <c r="A159" t="s">
        <v>1067</v>
      </c>
      <c r="B159" t="s">
        <v>113</v>
      </c>
      <c r="C159" s="228">
        <f>IFERROR(GETPIVOTDATA("Sum of qty",PT!$A$17,"product",A159,"FL/AZ","AZ"),0)</f>
        <v>0</v>
      </c>
      <c r="D159" s="2">
        <f t="shared" si="29"/>
        <v>0</v>
      </c>
      <c r="E159" s="117">
        <f t="shared" si="65"/>
        <v>0.93172360877594329</v>
      </c>
      <c r="F159" s="1">
        <f>D159*E159</f>
        <v>0</v>
      </c>
      <c r="G159" s="117"/>
      <c r="H159" s="18">
        <f t="shared" si="35"/>
        <v>0</v>
      </c>
      <c r="I159" s="117">
        <f>IFERROR(VLOOKUP(A159,'[2]Alameda Capitalization'!$A:$M,13,0),0)</f>
        <v>0</v>
      </c>
      <c r="J159" s="81">
        <f t="shared" si="87"/>
        <v>0</v>
      </c>
      <c r="K159" t="s">
        <v>550</v>
      </c>
      <c r="L159" s="2">
        <f>D159-IFERROR(VLOOKUP(A159,'[1]AZ WIP'!$A:$F,4,0),0)</f>
        <v>0</v>
      </c>
    </row>
    <row r="160" spans="1:12">
      <c r="A160" t="s">
        <v>1068</v>
      </c>
      <c r="B160" t="s">
        <v>1069</v>
      </c>
      <c r="C160" s="228">
        <f>IFERROR(GETPIVOTDATA("Sum of qty",PT!$A$17,"product",A160,"FL/AZ","AZ"),0)</f>
        <v>0</v>
      </c>
      <c r="D160" s="2">
        <f t="shared" si="29"/>
        <v>0</v>
      </c>
      <c r="E160" s="117">
        <v>0</v>
      </c>
      <c r="F160" s="1">
        <f t="shared" si="38"/>
        <v>0</v>
      </c>
      <c r="G160" s="117"/>
      <c r="H160" s="18">
        <f t="shared" si="35"/>
        <v>0</v>
      </c>
      <c r="I160" s="117">
        <f>IFERROR(VLOOKUP(A160,'[2]Alameda Capitalization'!$A:$M,13,0),0)</f>
        <v>0</v>
      </c>
      <c r="J160" s="81">
        <f t="shared" si="87"/>
        <v>0</v>
      </c>
      <c r="K160" t="s">
        <v>550</v>
      </c>
      <c r="L160" s="2">
        <f>D160-IFERROR(VLOOKUP(A160,'[1]AZ WIP'!$A:$F,4,0),0)</f>
        <v>0</v>
      </c>
    </row>
    <row r="161" spans="1:14">
      <c r="A161" t="s">
        <v>144</v>
      </c>
      <c r="B161" t="s">
        <v>145</v>
      </c>
      <c r="C161" s="228">
        <f>IFERROR(GETPIVOTDATA("Sum of qty",PT!$A$17,"product",A161,"FL/AZ","AZ"),0)</f>
        <v>4166</v>
      </c>
      <c r="D161" s="2">
        <f t="shared" ref="D161" si="110">C161</f>
        <v>4166</v>
      </c>
      <c r="E161" s="117">
        <v>0</v>
      </c>
      <c r="F161" s="1">
        <f t="shared" ref="F161" si="111">D161*E161</f>
        <v>0</v>
      </c>
      <c r="G161" s="396">
        <v>0.58089999999999997</v>
      </c>
      <c r="H161" s="18">
        <f t="shared" ref="H161" si="112">D161*G161</f>
        <v>2420.0293999999999</v>
      </c>
      <c r="I161" s="117">
        <f>IFERROR(VLOOKUP(A161,'[2]Alameda Capitalization'!$A:$M,13,0),0)</f>
        <v>0</v>
      </c>
      <c r="J161" s="81">
        <f>C161*I161</f>
        <v>0</v>
      </c>
      <c r="K161" t="s">
        <v>550</v>
      </c>
      <c r="L161" s="2">
        <f>D161-IFERROR(VLOOKUP(A161,'[1]AZ WIP'!$A:$F,4,0),0)</f>
        <v>4166</v>
      </c>
    </row>
    <row r="162" spans="1:14">
      <c r="A162" t="s">
        <v>318</v>
      </c>
      <c r="B162" t="s">
        <v>319</v>
      </c>
      <c r="C162" s="228">
        <f>IFERROR(GETPIVOTDATA("Sum of qty",PT!$A$17,"product",A162,"FL/AZ","AZ"),0)</f>
        <v>0</v>
      </c>
      <c r="D162" s="2">
        <f t="shared" ref="D162" si="113">C162</f>
        <v>0</v>
      </c>
      <c r="E162" s="117"/>
      <c r="F162" s="1"/>
      <c r="G162" s="117"/>
      <c r="H162" s="18">
        <f>D162*G162</f>
        <v>0</v>
      </c>
      <c r="I162" s="117">
        <f>IFERROR(VLOOKUP(A162,'[2]Alameda Capitalization'!$A:$M,13,0),0)</f>
        <v>6.9567001148166399E-2</v>
      </c>
      <c r="J162" s="81">
        <f>C162*I162</f>
        <v>0</v>
      </c>
      <c r="K162" s="157" t="s">
        <v>550</v>
      </c>
      <c r="L162" s="2">
        <f>D162-IFERROR(VLOOKUP(A162,'[1]AZ WIP'!$A:$F,4,0),0)</f>
        <v>0</v>
      </c>
    </row>
    <row r="163" spans="1:14">
      <c r="A163" t="s">
        <v>2873</v>
      </c>
      <c r="B163" t="s">
        <v>2874</v>
      </c>
      <c r="C163" s="228">
        <f>IFERROR(GETPIVOTDATA("Sum of qty",PT!$A$17,"product",A163,"FL/AZ","AZ"),0)</f>
        <v>0</v>
      </c>
      <c r="D163" s="2">
        <f t="shared" ref="D163" si="114">C163</f>
        <v>0</v>
      </c>
      <c r="E163" s="117"/>
      <c r="F163" s="1"/>
      <c r="G163" s="117"/>
      <c r="H163" s="18">
        <f>D163*G163</f>
        <v>0</v>
      </c>
      <c r="I163" s="117">
        <f>IFERROR(VLOOKUP(A163,'[2]Alameda Capitalization'!$A:$M,13,0),0)</f>
        <v>0</v>
      </c>
      <c r="J163" s="81">
        <f>C163*I163</f>
        <v>0</v>
      </c>
      <c r="K163" s="157" t="s">
        <v>550</v>
      </c>
      <c r="L163" s="2">
        <f>D163-IFERROR(VLOOKUP(A163,'[1]AZ WIP'!$A:$F,4,0),0)</f>
        <v>0</v>
      </c>
    </row>
    <row r="164" spans="1:14">
      <c r="A164" t="s">
        <v>1070</v>
      </c>
      <c r="B164" t="s">
        <v>1071</v>
      </c>
      <c r="C164" s="228">
        <f>IFERROR(GETPIVOTDATA("Sum of qty",PT!$A$17,"product",A164,"FL/AZ","AZ"),0)</f>
        <v>0</v>
      </c>
      <c r="D164" s="2">
        <f t="shared" si="29"/>
        <v>0</v>
      </c>
      <c r="E164" s="117">
        <f t="shared" si="65"/>
        <v>0.93172360877594329</v>
      </c>
      <c r="F164" s="1">
        <f t="shared" ref="F164:F174" si="115">D164*E164</f>
        <v>0</v>
      </c>
      <c r="G164" s="117"/>
      <c r="H164" s="18">
        <f t="shared" si="35"/>
        <v>0</v>
      </c>
      <c r="I164" s="117">
        <f>IFERROR(VLOOKUP(A164,'[2]Alameda Capitalization'!$A:$M,13,0),0)</f>
        <v>0</v>
      </c>
      <c r="J164" s="81">
        <f t="shared" si="87"/>
        <v>0</v>
      </c>
      <c r="K164" t="s">
        <v>550</v>
      </c>
      <c r="L164" s="2">
        <f>D164-IFERROR(VLOOKUP(A164,'[1]AZ WIP'!$A:$F,4,0),0)</f>
        <v>0</v>
      </c>
    </row>
    <row r="165" spans="1:14">
      <c r="A165" t="s">
        <v>1072</v>
      </c>
      <c r="B165" t="s">
        <v>1071</v>
      </c>
      <c r="C165" s="228">
        <f>IFERROR(GETPIVOTDATA("Sum of qty",PT!$A$17,"product",A165,"FL/AZ","AZ"),0)</f>
        <v>0</v>
      </c>
      <c r="D165" s="2">
        <f t="shared" si="29"/>
        <v>0</v>
      </c>
      <c r="E165" s="117">
        <f t="shared" si="65"/>
        <v>0.93172360877594329</v>
      </c>
      <c r="F165" s="1">
        <f t="shared" si="115"/>
        <v>0</v>
      </c>
      <c r="G165" s="117"/>
      <c r="H165" s="18">
        <f t="shared" si="35"/>
        <v>0</v>
      </c>
      <c r="I165" s="117">
        <f>IFERROR(VLOOKUP(A165,'[2]Alameda Capitalization'!$A:$M,13,0),0)</f>
        <v>0</v>
      </c>
      <c r="J165" s="81">
        <f t="shared" si="87"/>
        <v>0</v>
      </c>
      <c r="K165" t="s">
        <v>550</v>
      </c>
      <c r="L165" s="2">
        <f>D165-IFERROR(VLOOKUP(A165,'[1]AZ WIP'!$A:$F,4,0),0)</f>
        <v>0</v>
      </c>
    </row>
    <row r="166" spans="1:14">
      <c r="A166" t="s">
        <v>1073</v>
      </c>
      <c r="B166" s="157" t="s">
        <v>1074</v>
      </c>
      <c r="C166" s="228">
        <f>IFERROR(GETPIVOTDATA("Sum of qty",PT!$A$17,"product",A166,"FL/AZ","AZ"),0)</f>
        <v>0</v>
      </c>
      <c r="D166" s="2">
        <f t="shared" si="29"/>
        <v>0</v>
      </c>
      <c r="E166" s="117">
        <f t="shared" si="65"/>
        <v>0.93172360877594329</v>
      </c>
      <c r="F166" s="1">
        <f t="shared" si="115"/>
        <v>0</v>
      </c>
      <c r="G166" s="117"/>
      <c r="H166" s="18">
        <f t="shared" si="35"/>
        <v>0</v>
      </c>
      <c r="I166" s="117">
        <f>IFERROR(VLOOKUP(A166,'[2]Alameda Capitalization'!$A:$M,13,0),0)</f>
        <v>0</v>
      </c>
      <c r="J166" s="81">
        <f t="shared" si="87"/>
        <v>0</v>
      </c>
      <c r="K166" t="s">
        <v>550</v>
      </c>
      <c r="L166" s="2">
        <f>D166-IFERROR(VLOOKUP(A166,'[1]AZ WIP'!$A:$F,4,0),0)</f>
        <v>0</v>
      </c>
    </row>
    <row r="167" spans="1:14">
      <c r="A167" t="s">
        <v>1075</v>
      </c>
      <c r="B167" s="157" t="s">
        <v>891</v>
      </c>
      <c r="C167" s="228">
        <f>IFERROR(GETPIVOTDATA("Sum of qty",PT!$A$17,"product",A167,"FL/AZ","AZ"),0)</f>
        <v>0</v>
      </c>
      <c r="D167" s="2">
        <f>C167*45</f>
        <v>0</v>
      </c>
      <c r="E167" s="117">
        <f t="shared" si="65"/>
        <v>0.93172360877594329</v>
      </c>
      <c r="F167" s="1">
        <f t="shared" ref="F167:F168" si="116">D167*E167</f>
        <v>0</v>
      </c>
      <c r="G167" s="117"/>
      <c r="H167" s="18">
        <f t="shared" ref="H167:H168" si="117">D167*G167</f>
        <v>0</v>
      </c>
      <c r="I167" s="117">
        <f>IFERROR(VLOOKUP(A167,'[2]Alameda Capitalization'!$A:$M,13,0),0)</f>
        <v>0</v>
      </c>
      <c r="J167" s="81">
        <f t="shared" si="87"/>
        <v>0</v>
      </c>
      <c r="K167" t="s">
        <v>550</v>
      </c>
      <c r="L167" s="2">
        <f>D167-IFERROR(VLOOKUP(A167,'[1]AZ WIP'!$A:$F,4,0),0)</f>
        <v>0</v>
      </c>
    </row>
    <row r="168" spans="1:14">
      <c r="A168" t="s">
        <v>1076</v>
      </c>
      <c r="B168" s="157" t="s">
        <v>1077</v>
      </c>
      <c r="C168" s="228">
        <f>IFERROR(GETPIVOTDATA("Sum of qty",PT!$A$17,"product",A168,"FL/AZ","AZ"),0)</f>
        <v>0</v>
      </c>
      <c r="D168" s="2">
        <f>C168*45</f>
        <v>0</v>
      </c>
      <c r="E168" s="117">
        <f t="shared" si="65"/>
        <v>0.93172360877594329</v>
      </c>
      <c r="F168" s="1">
        <f t="shared" si="116"/>
        <v>0</v>
      </c>
      <c r="G168" s="117"/>
      <c r="H168" s="18">
        <f t="shared" si="117"/>
        <v>0</v>
      </c>
      <c r="I168" s="117">
        <f>IFERROR(VLOOKUP(A168,'[2]Alameda Capitalization'!$A:$M,13,0),0)</f>
        <v>0</v>
      </c>
      <c r="J168" s="81">
        <f t="shared" si="87"/>
        <v>0</v>
      </c>
      <c r="K168" t="s">
        <v>550</v>
      </c>
      <c r="L168" s="2">
        <f>D168-IFERROR(VLOOKUP(A168,'[1]AZ WIP'!$A:$F,4,0),0)</f>
        <v>0</v>
      </c>
    </row>
    <row r="169" spans="1:14">
      <c r="A169" s="157" t="s">
        <v>2820</v>
      </c>
      <c r="B169" s="157" t="s">
        <v>2821</v>
      </c>
      <c r="C169" s="228">
        <f>IFERROR(GETPIVOTDATA("Sum of qty",PT!$A$17,"product",A169,"FL/AZ","AZ"),0)</f>
        <v>98234</v>
      </c>
      <c r="D169" s="2">
        <f>C169</f>
        <v>98234</v>
      </c>
      <c r="E169" s="117">
        <f>+$E$10</f>
        <v>0.93172360877594329</v>
      </c>
      <c r="F169" s="1">
        <f t="shared" ref="F169" si="118">D169*E169</f>
        <v>91526.936984496017</v>
      </c>
      <c r="G169" s="117"/>
      <c r="H169" s="18">
        <f t="shared" ref="H169" si="119">D169*G169</f>
        <v>0</v>
      </c>
      <c r="I169" s="117">
        <f>I43</f>
        <v>0.23799401065250161</v>
      </c>
      <c r="J169" s="81">
        <f t="shared" ref="J169" si="120">C169*I169</f>
        <v>23379.103642437844</v>
      </c>
      <c r="K169" t="s">
        <v>550</v>
      </c>
      <c r="L169" s="2">
        <f>D169-IFERROR(VLOOKUP(A169,'[1]AZ WIP'!$A:$F,4,0),0)</f>
        <v>0</v>
      </c>
      <c r="N169" s="89" t="s">
        <v>2849</v>
      </c>
    </row>
    <row r="170" spans="1:14">
      <c r="A170" t="s">
        <v>1078</v>
      </c>
      <c r="B170" s="157" t="s">
        <v>1079</v>
      </c>
      <c r="C170" s="228">
        <f>IFERROR(GETPIVOTDATA("Sum of qty",PT!$A$17,"product",A170,"FL/AZ","AZ"),0)</f>
        <v>0</v>
      </c>
      <c r="D170" s="2">
        <f t="shared" ref="D170" si="121">C170</f>
        <v>0</v>
      </c>
      <c r="E170" s="117"/>
      <c r="F170" s="1">
        <f t="shared" ref="F170" si="122">D170*E170</f>
        <v>0</v>
      </c>
      <c r="G170" s="117"/>
      <c r="H170" s="18">
        <f t="shared" ref="H170" si="123">D170*G170</f>
        <v>0</v>
      </c>
      <c r="I170" s="117">
        <f>IFERROR(VLOOKUP(A170,'[2]Alameda Capitalization'!$A:$M,13,0),0)</f>
        <v>0</v>
      </c>
      <c r="J170" s="81">
        <f t="shared" si="87"/>
        <v>0</v>
      </c>
      <c r="K170" t="s">
        <v>550</v>
      </c>
      <c r="L170" s="2">
        <f>D170-IFERROR(VLOOKUP(A170,'[1]AZ WIP'!$A:$F,4,0),0)</f>
        <v>0</v>
      </c>
    </row>
    <row r="171" spans="1:14">
      <c r="A171" t="s">
        <v>1080</v>
      </c>
      <c r="B171" s="157" t="s">
        <v>1081</v>
      </c>
      <c r="C171" s="228">
        <f>IFERROR(GETPIVOTDATA("Sum of qty",PT!$A$17,"product",A171,"FL/AZ","AZ"),0)</f>
        <v>5722</v>
      </c>
      <c r="D171" s="2">
        <f t="shared" si="29"/>
        <v>5722</v>
      </c>
      <c r="E171" s="117">
        <f t="shared" si="65"/>
        <v>0.93172360877594329</v>
      </c>
      <c r="F171" s="1">
        <f t="shared" si="115"/>
        <v>5331.3224894159475</v>
      </c>
      <c r="G171" s="117"/>
      <c r="H171" s="18">
        <f t="shared" si="35"/>
        <v>0</v>
      </c>
      <c r="I171" s="117">
        <f>IFERROR(VLOOKUP(A171,'[2]Alameda Capitalization'!$A:$M,13,0),0)</f>
        <v>0</v>
      </c>
      <c r="J171" s="81">
        <f t="shared" si="87"/>
        <v>0</v>
      </c>
      <c r="K171" t="s">
        <v>896</v>
      </c>
      <c r="L171" s="2">
        <f>D171-IFERROR(VLOOKUP(A171,'[1]AZ WIP'!$A:$F,4,0),0)</f>
        <v>5722</v>
      </c>
      <c r="N171" s="89" t="s">
        <v>2887</v>
      </c>
    </row>
    <row r="172" spans="1:14">
      <c r="A172" t="s">
        <v>1082</v>
      </c>
      <c r="B172" t="s">
        <v>1083</v>
      </c>
      <c r="C172" s="228">
        <f>IFERROR(GETPIVOTDATA("Sum of qty",PT!$A$17,"product",A172,"FL/AZ","AZ"),0)</f>
        <v>0</v>
      </c>
      <c r="D172" s="2">
        <f t="shared" si="29"/>
        <v>0</v>
      </c>
      <c r="E172" s="117">
        <f t="shared" si="65"/>
        <v>0.93172360877594329</v>
      </c>
      <c r="F172" s="1">
        <f t="shared" si="115"/>
        <v>0</v>
      </c>
      <c r="G172" s="117"/>
      <c r="H172" s="18">
        <f t="shared" si="35"/>
        <v>0</v>
      </c>
      <c r="I172" s="117">
        <f>IFERROR(VLOOKUP(A172,'[2]Alameda Capitalization'!$A:$M,13,0),0)</f>
        <v>0</v>
      </c>
      <c r="J172" s="81">
        <f t="shared" si="87"/>
        <v>0</v>
      </c>
      <c r="K172" t="s">
        <v>896</v>
      </c>
      <c r="L172" s="2">
        <f>D172-IFERROR(VLOOKUP(A172,'[1]AZ WIP'!$A:$F,4,0),0)</f>
        <v>0</v>
      </c>
    </row>
    <row r="173" spans="1:14">
      <c r="A173" t="s">
        <v>1084</v>
      </c>
      <c r="B173" t="s">
        <v>896</v>
      </c>
      <c r="C173" s="228">
        <f>IFERROR(GETPIVOTDATA("Sum of qty",PT!$A$17,"product",A173,"FL/AZ","AZ"),0)</f>
        <v>685</v>
      </c>
      <c r="D173" s="2">
        <f t="shared" si="29"/>
        <v>685</v>
      </c>
      <c r="E173" s="117">
        <f t="shared" ref="E173:E206" si="124">+$E$10</f>
        <v>0.93172360877594329</v>
      </c>
      <c r="F173" s="1">
        <f t="shared" si="115"/>
        <v>638.23067201152116</v>
      </c>
      <c r="G173" s="117"/>
      <c r="H173" s="18">
        <f t="shared" si="35"/>
        <v>0</v>
      </c>
      <c r="I173" s="117">
        <f>IFERROR(VLOOKUP(A173,'[2]Alameda Capitalization'!$A:$M,13,0),0)</f>
        <v>0.37682125621923468</v>
      </c>
      <c r="J173" s="81">
        <f t="shared" si="87"/>
        <v>258.12256051017573</v>
      </c>
      <c r="K173" t="s">
        <v>896</v>
      </c>
      <c r="L173" s="2">
        <f>D173-IFERROR(VLOOKUP(A173,'[1]AZ WIP'!$A:$F,4,0),0)</f>
        <v>0</v>
      </c>
    </row>
    <row r="174" spans="1:14">
      <c r="A174" t="s">
        <v>1085</v>
      </c>
      <c r="B174" t="s">
        <v>896</v>
      </c>
      <c r="C174" s="228">
        <f>IFERROR(GETPIVOTDATA("Sum of qty",PT!$A$17,"product",A174,"FL/AZ","AZ"),0)</f>
        <v>0</v>
      </c>
      <c r="D174" s="2">
        <f t="shared" si="29"/>
        <v>0</v>
      </c>
      <c r="E174" s="117">
        <f t="shared" si="124"/>
        <v>0.93172360877594329</v>
      </c>
      <c r="F174" s="1">
        <f t="shared" si="115"/>
        <v>0</v>
      </c>
      <c r="G174" s="117"/>
      <c r="H174" s="18">
        <f t="shared" si="35"/>
        <v>0</v>
      </c>
      <c r="I174" s="117">
        <f>IFERROR(VLOOKUP(A174,'[2]Alameda Capitalization'!$A:$M,13,0),0)</f>
        <v>0</v>
      </c>
      <c r="J174" s="81">
        <f t="shared" si="87"/>
        <v>0</v>
      </c>
      <c r="K174" t="s">
        <v>896</v>
      </c>
      <c r="L174" s="2">
        <f>D174-IFERROR(VLOOKUP(A174,'[1]AZ WIP'!$A:$F,4,0),0)</f>
        <v>0</v>
      </c>
    </row>
    <row r="175" spans="1:14" ht="12.75" customHeight="1">
      <c r="A175" t="s">
        <v>1086</v>
      </c>
      <c r="B175" t="s">
        <v>1087</v>
      </c>
      <c r="C175" s="228">
        <f>IFERROR(GETPIVOTDATA("Sum of qty",PT!$A$17,"product",A175,"FL/AZ","AZ"),0)</f>
        <v>0</v>
      </c>
      <c r="D175" s="2">
        <f t="shared" si="29"/>
        <v>0</v>
      </c>
      <c r="E175" s="117">
        <f t="shared" si="124"/>
        <v>0.93172360877594329</v>
      </c>
      <c r="F175" s="1">
        <f t="shared" ref="F175:F202" si="125">D175*E175</f>
        <v>0</v>
      </c>
      <c r="G175" s="117"/>
      <c r="H175" s="18">
        <f t="shared" si="35"/>
        <v>0</v>
      </c>
      <c r="I175" s="117">
        <f>IFERROR(VLOOKUP(A175,'[2]Alameda Capitalization'!$A:$M,13,0),0)</f>
        <v>0</v>
      </c>
      <c r="J175" s="81">
        <f t="shared" si="87"/>
        <v>0</v>
      </c>
      <c r="K175" t="s">
        <v>896</v>
      </c>
      <c r="L175" s="2">
        <f>D175-IFERROR(VLOOKUP(A175,'[1]AZ WIP'!$A:$F,4,0),0)</f>
        <v>0</v>
      </c>
    </row>
    <row r="176" spans="1:14" ht="12.75" customHeight="1">
      <c r="A176" t="s">
        <v>73</v>
      </c>
      <c r="B176" t="s">
        <v>1088</v>
      </c>
      <c r="C176" s="228">
        <f>IFERROR(GETPIVOTDATA("Sum of qty",PT!$A$17,"product",A176,"FL/AZ","AZ"),0)</f>
        <v>50760</v>
      </c>
      <c r="D176" s="2">
        <f t="shared" ref="D176" si="126">C176</f>
        <v>50760</v>
      </c>
      <c r="E176" s="117"/>
      <c r="F176" s="1">
        <f t="shared" ref="F176" si="127">D176*E176</f>
        <v>0</v>
      </c>
      <c r="G176" s="396">
        <f>(11800*0.6187+19800*0.6187+19160*0.6502)/C176</f>
        <v>0.63059007092198582</v>
      </c>
      <c r="H176" s="18">
        <f>D176*G176</f>
        <v>32008.752</v>
      </c>
      <c r="I176" s="117">
        <f>IFERROR(VLOOKUP(A176,'[2]Alameda Capitalization'!$A:$M,13,0),0)</f>
        <v>0.3532699277055325</v>
      </c>
      <c r="J176" s="81">
        <f t="shared" si="87"/>
        <v>17931.981530332829</v>
      </c>
      <c r="K176" t="s">
        <v>896</v>
      </c>
      <c r="L176" s="2">
        <f>D176-IFERROR(VLOOKUP(A176,'[1]AZ WIP'!$A:$F,4,0),0)</f>
        <v>0</v>
      </c>
    </row>
    <row r="177" spans="1:12" ht="12.75" customHeight="1">
      <c r="A177" t="s">
        <v>1089</v>
      </c>
      <c r="B177" t="s">
        <v>1090</v>
      </c>
      <c r="C177" s="228">
        <f>IFERROR(GETPIVOTDATA("Sum of qty",PT!$A$17,"product",A177,"FL/AZ","AZ"),0)</f>
        <v>0</v>
      </c>
      <c r="D177" s="2">
        <f>C177*45</f>
        <v>0</v>
      </c>
      <c r="E177" s="117">
        <f t="shared" si="124"/>
        <v>0.93172360877594329</v>
      </c>
      <c r="F177" s="1">
        <f t="shared" si="125"/>
        <v>0</v>
      </c>
      <c r="G177" s="117"/>
      <c r="H177" s="18">
        <f>D177*G177</f>
        <v>0</v>
      </c>
      <c r="I177" s="117">
        <f>IFERROR(VLOOKUP(A177,'[2]Alameda Capitalization'!$A:$M,13,0),0)</f>
        <v>0</v>
      </c>
      <c r="J177" s="81">
        <f t="shared" si="87"/>
        <v>0</v>
      </c>
      <c r="K177" t="s">
        <v>896</v>
      </c>
      <c r="L177" s="2">
        <f>D177-IFERROR(VLOOKUP(A177,'[1]AZ WIP'!$A:$F,4,0),0)</f>
        <v>0</v>
      </c>
    </row>
    <row r="178" spans="1:12" ht="12.75" customHeight="1">
      <c r="A178" t="s">
        <v>1091</v>
      </c>
      <c r="B178" t="s">
        <v>1092</v>
      </c>
      <c r="C178" s="228">
        <f>IFERROR(GETPIVOTDATA("Sum of qty",PT!$A$17,"product",A178,"FL/AZ","AZ"),0)</f>
        <v>0</v>
      </c>
      <c r="D178" s="2">
        <f>C178*45</f>
        <v>0</v>
      </c>
      <c r="E178" s="117">
        <f t="shared" si="124"/>
        <v>0.93172360877594329</v>
      </c>
      <c r="F178" s="1">
        <f t="shared" ref="F178" si="128">D178*E178</f>
        <v>0</v>
      </c>
      <c r="G178" s="117"/>
      <c r="H178" s="18">
        <f>D178*G178</f>
        <v>0</v>
      </c>
      <c r="I178" s="117">
        <f>IFERROR(VLOOKUP(A178,'[2]Alameda Capitalization'!$A:$M,13,0),0)</f>
        <v>0</v>
      </c>
      <c r="J178" s="81">
        <f t="shared" si="87"/>
        <v>0</v>
      </c>
      <c r="K178" t="s">
        <v>896</v>
      </c>
      <c r="L178" s="2">
        <f>D178-IFERROR(VLOOKUP(A178,'[1]AZ WIP'!$A:$F,4,0),0)</f>
        <v>0</v>
      </c>
    </row>
    <row r="179" spans="1:12" ht="12.75" customHeight="1">
      <c r="A179" t="s">
        <v>665</v>
      </c>
      <c r="B179" t="s">
        <v>666</v>
      </c>
      <c r="C179" s="228">
        <f>IFERROR(GETPIVOTDATA("Sum of qty",PT!$A$17,"product",A179,"FL/AZ","AZ"),0)</f>
        <v>4560</v>
      </c>
      <c r="D179" s="2">
        <f t="shared" si="29"/>
        <v>4560</v>
      </c>
      <c r="E179" s="117">
        <f t="shared" si="124"/>
        <v>0.93172360877594329</v>
      </c>
      <c r="F179" s="1">
        <f t="shared" si="125"/>
        <v>4248.6596560183016</v>
      </c>
      <c r="G179" s="117">
        <f>0.1742*G9</f>
        <v>0</v>
      </c>
      <c r="H179" s="18">
        <f t="shared" si="35"/>
        <v>0</v>
      </c>
      <c r="I179" s="117">
        <f>IFERROR(VLOOKUP(A179,'[2]Alameda Capitalization'!$A:$M,13,0),0)</f>
        <v>0.41107773405734693</v>
      </c>
      <c r="J179" s="81">
        <f t="shared" si="87"/>
        <v>1874.514467301502</v>
      </c>
      <c r="K179" t="s">
        <v>828</v>
      </c>
      <c r="L179" s="2">
        <f>D179-IFERROR(VLOOKUP(A179,'[1]AZ WIP'!$A:$F,4,0),0)</f>
        <v>-439.80000000000018</v>
      </c>
    </row>
    <row r="180" spans="1:12" ht="12.75" customHeight="1">
      <c r="A180" t="s">
        <v>1093</v>
      </c>
      <c r="B180" t="s">
        <v>1094</v>
      </c>
      <c r="C180" s="228">
        <f>IFERROR(GETPIVOTDATA("Sum of qty",PT!$A$17,"product",A180,"FL/AZ","AZ"),0)</f>
        <v>0</v>
      </c>
      <c r="D180" s="2">
        <f t="shared" ref="D180:D184" si="129">C180</f>
        <v>0</v>
      </c>
      <c r="E180" s="117">
        <f t="shared" si="124"/>
        <v>0.93172360877594329</v>
      </c>
      <c r="F180" s="1">
        <f t="shared" si="125"/>
        <v>0</v>
      </c>
      <c r="G180" s="117"/>
      <c r="H180" s="18">
        <f>D180*G180</f>
        <v>0</v>
      </c>
      <c r="I180" s="117">
        <f>IFERROR(VLOOKUP(A180,'[2]Alameda Capitalization'!$A:$M,13,0),0)</f>
        <v>0</v>
      </c>
      <c r="J180" s="81">
        <f t="shared" si="87"/>
        <v>0</v>
      </c>
      <c r="K180" t="s">
        <v>828</v>
      </c>
      <c r="L180" s="2">
        <f>D180-IFERROR(VLOOKUP(A180,'[1]AZ WIP'!$A:$F,4,0),0)</f>
        <v>0</v>
      </c>
    </row>
    <row r="181" spans="1:12" ht="12.75" customHeight="1">
      <c r="A181" t="s">
        <v>1095</v>
      </c>
      <c r="B181" t="s">
        <v>1096</v>
      </c>
      <c r="C181" s="228">
        <f>IFERROR(GETPIVOTDATA("Sum of qty",PT!$A$17,"product",A181,"FL/AZ","AZ"),0)</f>
        <v>0</v>
      </c>
      <c r="D181" s="2">
        <f t="shared" si="129"/>
        <v>0</v>
      </c>
      <c r="E181" s="117">
        <f t="shared" si="124"/>
        <v>0.93172360877594329</v>
      </c>
      <c r="F181" s="1">
        <f t="shared" si="125"/>
        <v>0</v>
      </c>
      <c r="G181" s="117"/>
      <c r="H181" s="18">
        <f t="shared" si="35"/>
        <v>0</v>
      </c>
      <c r="I181" s="117">
        <f>IFERROR(VLOOKUP(A181,'[2]Alameda Capitalization'!$A:$M,13,0),0)</f>
        <v>0</v>
      </c>
      <c r="J181" s="81">
        <f t="shared" si="87"/>
        <v>0</v>
      </c>
      <c r="K181" t="s">
        <v>828</v>
      </c>
      <c r="L181" s="2">
        <f>D181-IFERROR(VLOOKUP(A181,'[1]AZ WIP'!$A:$F,4,0),0)</f>
        <v>0</v>
      </c>
    </row>
    <row r="182" spans="1:12" ht="12.75" customHeight="1">
      <c r="A182" t="s">
        <v>1097</v>
      </c>
      <c r="B182" t="s">
        <v>1098</v>
      </c>
      <c r="C182" s="228">
        <f>IFERROR(GETPIVOTDATA("Sum of qty",PT!$A$17,"product",A182,"FL/AZ","AZ"),0)</f>
        <v>0</v>
      </c>
      <c r="D182" s="2">
        <f t="shared" si="129"/>
        <v>0</v>
      </c>
      <c r="E182" s="117">
        <f t="shared" si="124"/>
        <v>0.93172360877594329</v>
      </c>
      <c r="F182" s="1">
        <f t="shared" ref="F182" si="130">D182*E182</f>
        <v>0</v>
      </c>
      <c r="G182" s="117"/>
      <c r="H182" s="18">
        <f t="shared" ref="H182" si="131">D182*G182</f>
        <v>0</v>
      </c>
      <c r="I182" s="117">
        <f>IFERROR(VLOOKUP(A182,'[2]Alameda Capitalization'!$A:$M,13,0),0)</f>
        <v>0</v>
      </c>
      <c r="J182" s="81">
        <f t="shared" si="87"/>
        <v>0</v>
      </c>
      <c r="K182" t="s">
        <v>828</v>
      </c>
      <c r="L182" s="2">
        <f>D182-IFERROR(VLOOKUP(A182,'[1]AZ WIP'!$A:$F,4,0),0)</f>
        <v>0</v>
      </c>
    </row>
    <row r="183" spans="1:12" ht="12.75" customHeight="1">
      <c r="A183" t="s">
        <v>1099</v>
      </c>
      <c r="B183" t="s">
        <v>1100</v>
      </c>
      <c r="C183" s="228">
        <f>IFERROR(GETPIVOTDATA("Sum of qty",PT!$A$17,"product",A183,"FL/AZ","AZ"),0)</f>
        <v>0</v>
      </c>
      <c r="D183" s="2">
        <f t="shared" si="129"/>
        <v>0</v>
      </c>
      <c r="E183" s="117">
        <f t="shared" si="124"/>
        <v>0.93172360877594329</v>
      </c>
      <c r="F183" s="1">
        <f t="shared" ref="F183" si="132">D183*E183</f>
        <v>0</v>
      </c>
      <c r="G183" s="117"/>
      <c r="H183" s="18">
        <f t="shared" ref="H183" si="133">D183*G183</f>
        <v>0</v>
      </c>
      <c r="I183" s="117">
        <f>IFERROR(VLOOKUP(A183,'[2]Alameda Capitalization'!$A:$M,13,0),0)</f>
        <v>0</v>
      </c>
      <c r="J183" s="81">
        <f t="shared" si="87"/>
        <v>0</v>
      </c>
      <c r="K183" t="s">
        <v>828</v>
      </c>
      <c r="L183" s="2">
        <f>D183-IFERROR(VLOOKUP(A183,'[1]AZ WIP'!$A:$F,4,0),0)</f>
        <v>0</v>
      </c>
    </row>
    <row r="184" spans="1:12" ht="12.75" customHeight="1">
      <c r="A184" t="s">
        <v>1101</v>
      </c>
      <c r="B184" t="s">
        <v>1102</v>
      </c>
      <c r="C184" s="228">
        <f>IFERROR(GETPIVOTDATA("Sum of qty",PT!$A$17,"product",A184,"FL/AZ","AZ"),0)</f>
        <v>0</v>
      </c>
      <c r="D184" s="2">
        <f t="shared" si="129"/>
        <v>0</v>
      </c>
      <c r="E184" s="117">
        <f t="shared" si="124"/>
        <v>0.93172360877594329</v>
      </c>
      <c r="F184" s="1">
        <f t="shared" si="125"/>
        <v>0</v>
      </c>
      <c r="G184" s="117"/>
      <c r="H184" s="18">
        <f>D184*G184</f>
        <v>0</v>
      </c>
      <c r="I184" s="117">
        <f>IFERROR(VLOOKUP(A184,'[2]Alameda Capitalization'!$A:$M,13,0),0)</f>
        <v>0</v>
      </c>
      <c r="J184" s="81">
        <f t="shared" si="87"/>
        <v>0</v>
      </c>
      <c r="K184" t="s">
        <v>828</v>
      </c>
      <c r="L184" s="2">
        <f>D184-IFERROR(VLOOKUP(A184,'[1]AZ WIP'!$A:$F,4,0),0)</f>
        <v>0</v>
      </c>
    </row>
    <row r="185" spans="1:12" ht="12.75" customHeight="1">
      <c r="A185" t="s">
        <v>1103</v>
      </c>
      <c r="B185" t="s">
        <v>1104</v>
      </c>
      <c r="C185" s="228">
        <f>IFERROR(GETPIVOTDATA("Sum of qty",PT!$A$17,"product",A185,"FL/AZ","AZ"),0)</f>
        <v>0</v>
      </c>
      <c r="D185" s="2">
        <f>C185</f>
        <v>0</v>
      </c>
      <c r="E185" s="117">
        <f t="shared" si="124"/>
        <v>0.93172360877594329</v>
      </c>
      <c r="F185" s="1">
        <f t="shared" ref="F185" si="134">D185*E185</f>
        <v>0</v>
      </c>
      <c r="G185" s="117"/>
      <c r="H185" s="18">
        <f>D185*G185</f>
        <v>0</v>
      </c>
      <c r="I185" s="117">
        <f>IFERROR(VLOOKUP(A185,'[2]Alameda Capitalization'!$A:$M,13,0),0)</f>
        <v>0.37682125621923468</v>
      </c>
      <c r="J185" s="81">
        <f t="shared" ref="J185" si="135">C185*I185</f>
        <v>0</v>
      </c>
      <c r="K185" t="s">
        <v>828</v>
      </c>
      <c r="L185" s="2">
        <f>D185-IFERROR(VLOOKUP(A185,'[1]AZ WIP'!$A:$F,4,0),0)</f>
        <v>-225</v>
      </c>
    </row>
    <row r="186" spans="1:12" ht="12.75" customHeight="1">
      <c r="A186" t="s">
        <v>1105</v>
      </c>
      <c r="B186" t="s">
        <v>1106</v>
      </c>
      <c r="C186" s="228">
        <f>IFERROR(GETPIVOTDATA("Sum of qty",PT!$A$17,"product",A186,"FL/AZ","AZ"),0)</f>
        <v>0</v>
      </c>
      <c r="D186" s="2">
        <f t="shared" si="29"/>
        <v>0</v>
      </c>
      <c r="E186" s="117">
        <f t="shared" si="124"/>
        <v>0.93172360877594329</v>
      </c>
      <c r="F186" s="1">
        <f t="shared" si="125"/>
        <v>0</v>
      </c>
      <c r="G186" s="117">
        <f>0.69*$G$9</f>
        <v>0</v>
      </c>
      <c r="H186" s="18">
        <f t="shared" si="35"/>
        <v>0</v>
      </c>
      <c r="I186" s="117">
        <f>IFERROR(VLOOKUP(A186,'[2]Alameda Capitalization'!$A:$M,13,0),0)</f>
        <v>0.37682125621923468</v>
      </c>
      <c r="J186" s="81">
        <f t="shared" si="87"/>
        <v>0</v>
      </c>
      <c r="K186" t="s">
        <v>828</v>
      </c>
      <c r="L186" s="2">
        <f>D186-IFERROR(VLOOKUP(A186,'[1]AZ WIP'!$A:$F,4,0),0)</f>
        <v>0</v>
      </c>
    </row>
    <row r="187" spans="1:12" ht="12.75" customHeight="1">
      <c r="A187" t="s">
        <v>1107</v>
      </c>
      <c r="B187" t="s">
        <v>1108</v>
      </c>
      <c r="C187" s="228">
        <f>IFERROR(GETPIVOTDATA("Sum of qty",PT!$A$17,"product",A187,"FL/AZ","AZ"),0)</f>
        <v>0</v>
      </c>
      <c r="D187" s="2">
        <f>C187</f>
        <v>0</v>
      </c>
      <c r="E187" s="117">
        <f t="shared" si="124"/>
        <v>0.93172360877594329</v>
      </c>
      <c r="F187" s="1">
        <f t="shared" si="125"/>
        <v>0</v>
      </c>
      <c r="G187" s="117"/>
      <c r="H187" s="18">
        <f t="shared" si="35"/>
        <v>0</v>
      </c>
      <c r="I187" s="117">
        <f>IFERROR(VLOOKUP(A187,'[2]Alameda Capitalization'!$A:$M,13,0),0)</f>
        <v>0</v>
      </c>
      <c r="J187" s="81">
        <f t="shared" si="87"/>
        <v>0</v>
      </c>
      <c r="K187" t="s">
        <v>828</v>
      </c>
      <c r="L187" s="2">
        <f>D187-IFERROR(VLOOKUP(A187,'[1]AZ WIP'!$A:$F,4,0),0)</f>
        <v>0</v>
      </c>
    </row>
    <row r="188" spans="1:12" ht="12.75" customHeight="1">
      <c r="A188" t="s">
        <v>707</v>
      </c>
      <c r="B188" t="s">
        <v>708</v>
      </c>
      <c r="C188" s="228">
        <f>IFERROR(GETPIVOTDATA("Sum of qty",PT!$A$17,"product",A188,"FL/AZ","AZ"),0)</f>
        <v>0</v>
      </c>
      <c r="D188" s="2">
        <f>C188</f>
        <v>0</v>
      </c>
      <c r="E188" s="117">
        <f t="shared" si="124"/>
        <v>0.93172360877594329</v>
      </c>
      <c r="F188" s="1">
        <f t="shared" si="125"/>
        <v>0</v>
      </c>
      <c r="G188" s="117"/>
      <c r="H188" s="18">
        <f>D188*G188</f>
        <v>0</v>
      </c>
      <c r="I188" s="117">
        <f>IFERROR(VLOOKUP(A188,'[2]Alameda Capitalization'!$A:$M,13,0),0)</f>
        <v>0</v>
      </c>
      <c r="J188" s="81">
        <f t="shared" si="87"/>
        <v>0</v>
      </c>
      <c r="K188" t="s">
        <v>828</v>
      </c>
      <c r="L188" s="2">
        <f>D188-IFERROR(VLOOKUP(A188,'[1]AZ WIP'!$A:$F,4,0),0)</f>
        <v>0</v>
      </c>
    </row>
    <row r="189" spans="1:12" ht="12.75" customHeight="1">
      <c r="A189" t="s">
        <v>592</v>
      </c>
      <c r="B189" t="s">
        <v>593</v>
      </c>
      <c r="C189" s="228">
        <f>IFERROR(GETPIVOTDATA("Sum of qty",PT!$A$17,"product",A189,"FL/AZ","AZ"),0)</f>
        <v>0</v>
      </c>
      <c r="D189" s="2">
        <f t="shared" si="29"/>
        <v>0</v>
      </c>
      <c r="E189" s="117">
        <f t="shared" si="124"/>
        <v>0.93172360877594329</v>
      </c>
      <c r="F189" s="1">
        <f t="shared" si="125"/>
        <v>0</v>
      </c>
      <c r="G189" s="117">
        <f>0.115*$G$19</f>
        <v>0</v>
      </c>
      <c r="H189" s="18">
        <f t="shared" si="35"/>
        <v>0</v>
      </c>
      <c r="I189" s="117">
        <f>IFERROR(VLOOKUP(A189,'[2]Alameda Capitalization'!$A:$M,13,0),0)</f>
        <v>0.37682125621923468</v>
      </c>
      <c r="J189" s="81">
        <f t="shared" si="87"/>
        <v>0</v>
      </c>
      <c r="K189" t="s">
        <v>828</v>
      </c>
      <c r="L189" s="2">
        <f>D189-IFERROR(VLOOKUP(A189,'[1]AZ WIP'!$A:$F,4,0),0)</f>
        <v>-4724</v>
      </c>
    </row>
    <row r="190" spans="1:12" ht="12.75" customHeight="1">
      <c r="A190" t="s">
        <v>1109</v>
      </c>
      <c r="B190" t="s">
        <v>1110</v>
      </c>
      <c r="C190" s="228">
        <f>IFERROR(GETPIVOTDATA("Sum of qty",PT!$A$17,"product",A190,"FL/AZ","AZ"),0)</f>
        <v>0</v>
      </c>
      <c r="D190" s="2">
        <f t="shared" si="29"/>
        <v>0</v>
      </c>
      <c r="E190" s="117">
        <f t="shared" si="124"/>
        <v>0.93172360877594329</v>
      </c>
      <c r="F190" s="1">
        <f t="shared" si="125"/>
        <v>0</v>
      </c>
      <c r="G190" s="117"/>
      <c r="H190" s="18">
        <f t="shared" si="35"/>
        <v>0</v>
      </c>
      <c r="I190" s="117">
        <f>IFERROR(VLOOKUP(A190,'[2]Alameda Capitalization'!$A:$M,13,0),0)</f>
        <v>0</v>
      </c>
      <c r="J190" s="81">
        <f t="shared" si="87"/>
        <v>0</v>
      </c>
      <c r="K190" t="s">
        <v>828</v>
      </c>
      <c r="L190" s="2">
        <f>D190-IFERROR(VLOOKUP(A190,'[1]AZ WIP'!$A:$F,4,0),0)</f>
        <v>0</v>
      </c>
    </row>
    <row r="191" spans="1:12" ht="12.75" customHeight="1">
      <c r="A191" t="s">
        <v>1111</v>
      </c>
      <c r="B191" t="s">
        <v>1112</v>
      </c>
      <c r="C191" s="228">
        <f>IFERROR(GETPIVOTDATA("Sum of qty",PT!$A$17,"product",A191,"FL/AZ","AZ"),0)</f>
        <v>0</v>
      </c>
      <c r="D191" s="2">
        <f t="shared" ref="D191" si="136">C191</f>
        <v>0</v>
      </c>
      <c r="E191" s="117">
        <f t="shared" si="124"/>
        <v>0.93172360877594329</v>
      </c>
      <c r="F191" s="1">
        <f t="shared" ref="F191" si="137">D191*E191</f>
        <v>0</v>
      </c>
      <c r="G191" s="117"/>
      <c r="H191" s="18">
        <f t="shared" ref="H191" si="138">D191*G191</f>
        <v>0</v>
      </c>
      <c r="I191" s="117">
        <f>IFERROR(VLOOKUP(A191,'[2]Alameda Capitalization'!$A:$M,13,0),0)</f>
        <v>0</v>
      </c>
      <c r="J191" s="81">
        <f t="shared" si="87"/>
        <v>0</v>
      </c>
      <c r="K191" t="s">
        <v>828</v>
      </c>
      <c r="L191" s="2">
        <f>D191-IFERROR(VLOOKUP(A191,'[1]AZ WIP'!$A:$F,4,0),0)</f>
        <v>0</v>
      </c>
    </row>
    <row r="192" spans="1:12" ht="12.75" customHeight="1">
      <c r="A192" t="s">
        <v>322</v>
      </c>
      <c r="B192" t="s">
        <v>323</v>
      </c>
      <c r="C192" s="228">
        <f>IFERROR(GETPIVOTDATA("Sum of qty",PT!$A$17,"product",A192,"FL/AZ","AZ"),0)</f>
        <v>4997</v>
      </c>
      <c r="D192" s="2">
        <f t="shared" si="29"/>
        <v>4997</v>
      </c>
      <c r="E192" s="117">
        <f t="shared" si="124"/>
        <v>0.93172360877594329</v>
      </c>
      <c r="F192" s="1">
        <f t="shared" si="125"/>
        <v>4655.8228730533883</v>
      </c>
      <c r="G192" s="117">
        <f>0.67042*$G$9</f>
        <v>0</v>
      </c>
      <c r="H192" s="18">
        <f t="shared" si="35"/>
        <v>0</v>
      </c>
      <c r="I192" s="117">
        <f>IFERROR(VLOOKUP(A192,'[2]Alameda Capitalization'!$A:$M,13,0),0)</f>
        <v>0.37682125621923468</v>
      </c>
      <c r="J192" s="81">
        <f t="shared" si="87"/>
        <v>1882.9758173275156</v>
      </c>
      <c r="K192" t="s">
        <v>828</v>
      </c>
      <c r="L192" s="2">
        <f>D192-IFERROR(VLOOKUP(A192,'[1]AZ WIP'!$A:$F,4,0),0)</f>
        <v>4741</v>
      </c>
    </row>
    <row r="193" spans="1:12">
      <c r="A193" t="s">
        <v>1113</v>
      </c>
      <c r="B193" t="s">
        <v>1114</v>
      </c>
      <c r="C193" s="228">
        <f>IFERROR(GETPIVOTDATA("Sum of qty",PT!$A$17,"product",A193,"FL/AZ","AZ"),0)</f>
        <v>0</v>
      </c>
      <c r="D193" s="2">
        <f>C193</f>
        <v>0</v>
      </c>
      <c r="E193" s="117">
        <f t="shared" si="124"/>
        <v>0.93172360877594329</v>
      </c>
      <c r="F193" s="1">
        <f t="shared" si="125"/>
        <v>0</v>
      </c>
      <c r="G193" s="117"/>
      <c r="H193" s="18">
        <f>D193*G193</f>
        <v>0</v>
      </c>
      <c r="I193" s="117">
        <f>IFERROR(VLOOKUP(A193,'[2]Alameda Capitalization'!$A:$M,13,0),0)</f>
        <v>0.37682125621923468</v>
      </c>
      <c r="J193" s="81">
        <f t="shared" si="87"/>
        <v>0</v>
      </c>
      <c r="K193" t="s">
        <v>828</v>
      </c>
      <c r="L193" s="2">
        <f>D193-IFERROR(VLOOKUP(A193,'[1]AZ WIP'!$A:$F,4,0),0)</f>
        <v>0</v>
      </c>
    </row>
    <row r="194" spans="1:12">
      <c r="A194" t="s">
        <v>1115</v>
      </c>
      <c r="B194" t="s">
        <v>1116</v>
      </c>
      <c r="C194" s="228">
        <f>IFERROR(GETPIVOTDATA("Sum of qty",PT!$A$17,"product",A194,"FL/AZ","AZ"),0)</f>
        <v>0</v>
      </c>
      <c r="D194" s="2">
        <f t="shared" si="29"/>
        <v>0</v>
      </c>
      <c r="E194" s="117">
        <f t="shared" si="124"/>
        <v>0.93172360877594329</v>
      </c>
      <c r="F194" s="1">
        <f t="shared" si="125"/>
        <v>0</v>
      </c>
      <c r="G194" s="117"/>
      <c r="H194" s="18">
        <f t="shared" si="35"/>
        <v>0</v>
      </c>
      <c r="I194" s="117">
        <f>IFERROR(VLOOKUP(A194,'[2]Alameda Capitalization'!$A:$M,13,0),0)</f>
        <v>0</v>
      </c>
      <c r="J194" s="81">
        <f t="shared" si="87"/>
        <v>0</v>
      </c>
      <c r="K194" t="s">
        <v>828</v>
      </c>
      <c r="L194" s="2">
        <f>D194-IFERROR(VLOOKUP(A194,'[1]AZ WIP'!$A:$F,4,0),0)</f>
        <v>0</v>
      </c>
    </row>
    <row r="195" spans="1:12">
      <c r="A195" t="s">
        <v>1117</v>
      </c>
      <c r="B195" t="s">
        <v>1118</v>
      </c>
      <c r="C195" s="228">
        <f>IFERROR(GETPIVOTDATA("Sum of qty",PT!$A$17,"product",A195,"FL/AZ","AZ"),0)</f>
        <v>0</v>
      </c>
      <c r="D195" s="2">
        <f t="shared" si="29"/>
        <v>0</v>
      </c>
      <c r="E195" s="117">
        <f t="shared" si="124"/>
        <v>0.93172360877594329</v>
      </c>
      <c r="F195" s="1">
        <f t="shared" si="125"/>
        <v>0</v>
      </c>
      <c r="G195" s="117"/>
      <c r="H195" s="18">
        <f t="shared" si="35"/>
        <v>0</v>
      </c>
      <c r="I195" s="117">
        <f>IFERROR(VLOOKUP(A195,'[2]Alameda Capitalization'!$A:$M,13,0),0)</f>
        <v>0</v>
      </c>
      <c r="J195" s="81">
        <f t="shared" si="87"/>
        <v>0</v>
      </c>
      <c r="K195" t="s">
        <v>828</v>
      </c>
      <c r="L195" s="2">
        <f>D195-IFERROR(VLOOKUP(A195,'[1]AZ WIP'!$A:$F,4,0),0)</f>
        <v>0</v>
      </c>
    </row>
    <row r="196" spans="1:12">
      <c r="A196" t="s">
        <v>1119</v>
      </c>
      <c r="B196" t="s">
        <v>1120</v>
      </c>
      <c r="C196" s="228">
        <f>IFERROR(GETPIVOTDATA("Sum of qty",PT!$A$17,"product",A196,"FL/AZ","AZ"),0)</f>
        <v>0</v>
      </c>
      <c r="D196" s="2">
        <f t="shared" ref="D196" si="139">C196</f>
        <v>0</v>
      </c>
      <c r="E196" s="117">
        <f t="shared" si="124"/>
        <v>0.93172360877594329</v>
      </c>
      <c r="F196" s="1">
        <f t="shared" ref="F196" si="140">D196*E196</f>
        <v>0</v>
      </c>
      <c r="G196" s="117"/>
      <c r="H196" s="18">
        <f t="shared" ref="H196" si="141">D196*G196</f>
        <v>0</v>
      </c>
      <c r="I196" s="117">
        <f>IFERROR(VLOOKUP(A196,'[2]Alameda Capitalization'!$A:$M,13,0),0)</f>
        <v>0</v>
      </c>
      <c r="J196" s="81">
        <f t="shared" ref="J196" si="142">C196*I196</f>
        <v>0</v>
      </c>
      <c r="K196" t="s">
        <v>828</v>
      </c>
      <c r="L196" s="2">
        <f>D196-IFERROR(VLOOKUP(A196,'[1]AZ WIP'!$A:$F,4,0),0)</f>
        <v>0</v>
      </c>
    </row>
    <row r="197" spans="1:12">
      <c r="A197" t="s">
        <v>1121</v>
      </c>
      <c r="B197" t="s">
        <v>1122</v>
      </c>
      <c r="C197" s="228">
        <f>IFERROR(GETPIVOTDATA("Sum of qty",PT!$A$17,"product",A197,"FL/AZ","AZ"),0)</f>
        <v>0</v>
      </c>
      <c r="D197" s="2">
        <f t="shared" ref="D197" si="143">C197</f>
        <v>0</v>
      </c>
      <c r="E197" s="117">
        <f t="shared" si="124"/>
        <v>0.93172360877594329</v>
      </c>
      <c r="F197" s="1">
        <f t="shared" ref="F197" si="144">D197*E197</f>
        <v>0</v>
      </c>
      <c r="G197" s="117"/>
      <c r="H197" s="18">
        <f t="shared" ref="H197" si="145">D197*G197</f>
        <v>0</v>
      </c>
      <c r="I197" s="117">
        <f>IFERROR(VLOOKUP(A197,'[2]Alameda Capitalization'!$A:$M,13,0),0)</f>
        <v>0.37682125621923468</v>
      </c>
      <c r="J197" s="81">
        <f t="shared" si="87"/>
        <v>0</v>
      </c>
      <c r="K197" t="s">
        <v>828</v>
      </c>
      <c r="L197" s="2">
        <f>D197-IFERROR(VLOOKUP(A197,'[1]AZ WIP'!$A:$F,4,0),0)</f>
        <v>0</v>
      </c>
    </row>
    <row r="198" spans="1:12">
      <c r="A198" t="s">
        <v>1123</v>
      </c>
      <c r="B198" s="157" t="s">
        <v>1124</v>
      </c>
      <c r="C198" s="228">
        <f>IFERROR(GETPIVOTDATA("Sum of qty",PT!$A$17,"product",A198,"FL/AZ","AZ"),0)</f>
        <v>0</v>
      </c>
      <c r="D198" s="2">
        <f t="shared" si="29"/>
        <v>0</v>
      </c>
      <c r="E198" s="117">
        <f t="shared" si="124"/>
        <v>0.93172360877594329</v>
      </c>
      <c r="F198" s="1">
        <f t="shared" si="125"/>
        <v>0</v>
      </c>
      <c r="G198" s="117"/>
      <c r="H198" s="18">
        <f t="shared" si="35"/>
        <v>0</v>
      </c>
      <c r="I198" s="117">
        <f>IFERROR(VLOOKUP(A198,'[2]Alameda Capitalization'!$A:$M,13,0),0)</f>
        <v>0</v>
      </c>
      <c r="J198" s="81">
        <f t="shared" si="87"/>
        <v>0</v>
      </c>
      <c r="K198" t="s">
        <v>828</v>
      </c>
      <c r="L198" s="2">
        <f>D198-IFERROR(VLOOKUP(A198,'[1]AZ WIP'!$A:$F,4,0),0)</f>
        <v>0</v>
      </c>
    </row>
    <row r="199" spans="1:12">
      <c r="A199" t="s">
        <v>1125</v>
      </c>
      <c r="B199" s="157" t="s">
        <v>1126</v>
      </c>
      <c r="C199" s="228">
        <f>IFERROR(GETPIVOTDATA("Sum of qty",PT!$A$17,"product",A199,"FL/AZ","AZ"),0)</f>
        <v>0</v>
      </c>
      <c r="D199" s="2">
        <f>C199</f>
        <v>0</v>
      </c>
      <c r="E199" s="117">
        <f t="shared" si="124"/>
        <v>0.93172360877594329</v>
      </c>
      <c r="F199" s="1">
        <f t="shared" si="125"/>
        <v>0</v>
      </c>
      <c r="G199" s="117">
        <f>0.1867*$G$9</f>
        <v>0</v>
      </c>
      <c r="H199" s="18">
        <f t="shared" si="35"/>
        <v>0</v>
      </c>
      <c r="I199" s="117">
        <f>IFERROR(VLOOKUP(A199,'[2]Alameda Capitalization'!$A:$M,13,0),0)</f>
        <v>0.37682125621923468</v>
      </c>
      <c r="J199" s="81">
        <f t="shared" si="87"/>
        <v>0</v>
      </c>
      <c r="K199" t="s">
        <v>828</v>
      </c>
      <c r="L199" s="2">
        <f>D199-IFERROR(VLOOKUP(A199,'[1]AZ WIP'!$A:$F,4,0),0)</f>
        <v>0</v>
      </c>
    </row>
    <row r="200" spans="1:12">
      <c r="A200" t="s">
        <v>512</v>
      </c>
      <c r="B200" s="157" t="s">
        <v>513</v>
      </c>
      <c r="C200" s="228">
        <f>IFERROR(GETPIVOTDATA("Sum of qty",PT!$A$17,"product",A200,"FL/AZ","AZ"),0)</f>
        <v>589</v>
      </c>
      <c r="D200" s="2">
        <f t="shared" si="29"/>
        <v>589</v>
      </c>
      <c r="E200" s="117">
        <f t="shared" si="124"/>
        <v>0.93172360877594329</v>
      </c>
      <c r="F200" s="1">
        <f t="shared" si="125"/>
        <v>548.78520556903061</v>
      </c>
      <c r="G200" s="117">
        <f>0.54782*$G$9</f>
        <v>0</v>
      </c>
      <c r="H200" s="18">
        <f t="shared" si="35"/>
        <v>0</v>
      </c>
      <c r="I200" s="117">
        <f>IFERROR(VLOOKUP(A200,'[2]Alameda Capitalization'!$A:$M,13,0),0)</f>
        <v>0.37682125621923468</v>
      </c>
      <c r="J200" s="81">
        <f t="shared" si="87"/>
        <v>221.94771991312922</v>
      </c>
      <c r="K200" t="s">
        <v>828</v>
      </c>
      <c r="L200" s="2">
        <f>D200-IFERROR(VLOOKUP(A200,'[1]AZ WIP'!$A:$F,4,0),0)</f>
        <v>454</v>
      </c>
    </row>
    <row r="201" spans="1:12">
      <c r="A201" t="s">
        <v>1125</v>
      </c>
      <c r="B201" s="157"/>
      <c r="C201" s="228">
        <f>IFERROR(GETPIVOTDATA("Sum of qty",PT!$A$17,"product",A201,"FL/AZ","AZ"),0)</f>
        <v>0</v>
      </c>
      <c r="D201" s="2">
        <f t="shared" ref="D201" si="146">C201</f>
        <v>0</v>
      </c>
      <c r="E201" s="117">
        <f t="shared" si="124"/>
        <v>0.93172360877594329</v>
      </c>
      <c r="F201" s="1">
        <f t="shared" ref="F201" si="147">D201*E201</f>
        <v>0</v>
      </c>
      <c r="G201" s="117">
        <f>0.54782*$G$9</f>
        <v>0</v>
      </c>
      <c r="H201" s="18">
        <f t="shared" ref="H201" si="148">D201*G201</f>
        <v>0</v>
      </c>
      <c r="I201" s="117">
        <f>IFERROR(VLOOKUP(A201,'[2]Alameda Capitalization'!$A:$M,13,0),0)</f>
        <v>0.37682125621923468</v>
      </c>
      <c r="J201" s="81">
        <f t="shared" ref="J201" si="149">C201*I201</f>
        <v>0</v>
      </c>
      <c r="K201" t="s">
        <v>828</v>
      </c>
      <c r="L201" s="2">
        <f>D201-IFERROR(VLOOKUP(A201,'[1]AZ WIP'!$A:$F,4,0),0)</f>
        <v>0</v>
      </c>
    </row>
    <row r="202" spans="1:12">
      <c r="A202" t="s">
        <v>1127</v>
      </c>
      <c r="C202" s="228">
        <f>IFERROR(GETPIVOTDATA("Sum of qty",PT!$A$17,"product",A202,"FL/AZ","AZ"),0)</f>
        <v>0</v>
      </c>
      <c r="D202" s="2">
        <f>C202</f>
        <v>0</v>
      </c>
      <c r="E202" s="117">
        <f t="shared" si="124"/>
        <v>0.93172360877594329</v>
      </c>
      <c r="F202" s="1">
        <f t="shared" si="125"/>
        <v>0</v>
      </c>
      <c r="G202" s="117"/>
      <c r="H202" s="18">
        <f>D202*G202</f>
        <v>0</v>
      </c>
      <c r="I202" s="117">
        <f>IFERROR(VLOOKUP(A202,'[2]Alameda Capitalization'!$A:$M,13,0),0)</f>
        <v>0</v>
      </c>
      <c r="J202" s="81">
        <f t="shared" si="87"/>
        <v>0</v>
      </c>
      <c r="K202" t="s">
        <v>828</v>
      </c>
      <c r="L202" s="2">
        <f>D202-IFERROR(VLOOKUP(A202,'[1]AZ WIP'!$A:$F,4,0),0)</f>
        <v>0</v>
      </c>
    </row>
    <row r="203" spans="1:12">
      <c r="A203" t="s">
        <v>71</v>
      </c>
      <c r="B203" t="s">
        <v>72</v>
      </c>
      <c r="C203" s="228">
        <f>IFERROR(GETPIVOTDATA("Sum of qty",PT!$A$17,"product",A203,"FL/AZ","AZ"),0)</f>
        <v>0</v>
      </c>
      <c r="D203" s="2">
        <f>C203</f>
        <v>0</v>
      </c>
      <c r="E203" s="117">
        <f t="shared" si="124"/>
        <v>0.93172360877594329</v>
      </c>
      <c r="F203" s="1">
        <f t="shared" ref="F203" si="150">D203*E203</f>
        <v>0</v>
      </c>
      <c r="G203" s="117">
        <f>0.3589*$G$9</f>
        <v>0</v>
      </c>
      <c r="H203" s="18">
        <f>D203*G203</f>
        <v>0</v>
      </c>
      <c r="I203" s="117">
        <f>IFERROR(VLOOKUP(A203,'[2]Alameda Capitalization'!$A:$M,13,0),0)</f>
        <v>0.37682125621923468</v>
      </c>
      <c r="J203" s="81">
        <f t="shared" ref="J203" si="151">C203*I203</f>
        <v>0</v>
      </c>
      <c r="K203" t="s">
        <v>828</v>
      </c>
      <c r="L203" s="2">
        <f>D203-IFERROR(VLOOKUP(A203,'[1]AZ WIP'!$A:$F,4,0),0)</f>
        <v>0</v>
      </c>
    </row>
    <row r="204" spans="1:12">
      <c r="A204" t="s">
        <v>1128</v>
      </c>
      <c r="C204" s="228">
        <f>IFERROR(GETPIVOTDATA("Sum of qty",PT!$A$17,"product",A204,"FL/AZ","AZ"),0)</f>
        <v>0</v>
      </c>
      <c r="D204" s="2">
        <v>0</v>
      </c>
      <c r="E204" s="117">
        <f t="shared" si="124"/>
        <v>0.93172360877594329</v>
      </c>
      <c r="F204" s="1"/>
      <c r="G204" s="117"/>
      <c r="H204" s="18">
        <f t="shared" si="35"/>
        <v>0</v>
      </c>
      <c r="I204" s="117">
        <f>IFERROR(VLOOKUP(A204,'[2]Alameda Capitalization'!$A:$M,13,0),0)</f>
        <v>0</v>
      </c>
      <c r="J204" s="81">
        <f t="shared" si="87"/>
        <v>0</v>
      </c>
      <c r="K204" t="s">
        <v>828</v>
      </c>
      <c r="L204" s="2">
        <f>D204-IFERROR(VLOOKUP(A204,'[1]AZ WIP'!$A:$F,4,0),0)</f>
        <v>0</v>
      </c>
    </row>
    <row r="205" spans="1:12">
      <c r="A205" t="s">
        <v>1129</v>
      </c>
      <c r="C205" s="228">
        <f>IFERROR(GETPIVOTDATA("Sum of qty",PT!$A$17,"product",A205,"FL/AZ","AZ"),0)</f>
        <v>0</v>
      </c>
      <c r="D205" s="2">
        <f t="shared" si="29"/>
        <v>0</v>
      </c>
      <c r="E205" s="117">
        <f t="shared" si="124"/>
        <v>0.93172360877594329</v>
      </c>
      <c r="F205" s="1"/>
      <c r="G205" s="117"/>
      <c r="H205" s="18">
        <f t="shared" si="35"/>
        <v>0</v>
      </c>
      <c r="I205" s="117">
        <f>IFERROR(VLOOKUP(A205,'[2]Alameda Capitalization'!$A:$M,13,0),0)</f>
        <v>0</v>
      </c>
      <c r="J205" s="81">
        <f t="shared" si="87"/>
        <v>0</v>
      </c>
      <c r="K205" t="s">
        <v>828</v>
      </c>
      <c r="L205" s="2">
        <f>D205-IFERROR(VLOOKUP(A205,'[1]AZ WIP'!$A:$F,4,0),0)</f>
        <v>0</v>
      </c>
    </row>
    <row r="206" spans="1:12">
      <c r="A206" t="s">
        <v>1130</v>
      </c>
      <c r="B206" t="s">
        <v>1131</v>
      </c>
      <c r="C206" s="228">
        <f>IFERROR(GETPIVOTDATA("Sum of qty",PT!$A$17,"product",A206,"FL/AZ","AZ"),0)</f>
        <v>0</v>
      </c>
      <c r="D206" s="2">
        <f>C206</f>
        <v>0</v>
      </c>
      <c r="E206" s="117">
        <f t="shared" si="124"/>
        <v>0.93172360877594329</v>
      </c>
      <c r="F206" s="1">
        <f>D206*E206</f>
        <v>0</v>
      </c>
      <c r="G206" s="117"/>
      <c r="H206" s="18">
        <f t="shared" si="35"/>
        <v>0</v>
      </c>
      <c r="I206" s="117">
        <f>IFERROR(VLOOKUP(A206,'[2]Alameda Capitalization'!$A:$M,13,0),0)</f>
        <v>0</v>
      </c>
      <c r="J206" s="81">
        <f t="shared" si="87"/>
        <v>0</v>
      </c>
      <c r="K206" t="s">
        <v>828</v>
      </c>
      <c r="L206" s="2">
        <f>D206-IFERROR(VLOOKUP(A206,'[1]AZ WIP'!$A:$F,4,0),0)</f>
        <v>0</v>
      </c>
    </row>
    <row r="207" spans="1:12">
      <c r="C207" s="89"/>
      <c r="D207" s="89"/>
      <c r="E207" s="11"/>
      <c r="G207" s="59"/>
    </row>
    <row r="208" spans="1:12">
      <c r="B208" t="s">
        <v>1132</v>
      </c>
      <c r="C208" s="14">
        <f>SUM(C57:C207)</f>
        <v>375507</v>
      </c>
      <c r="D208" s="14">
        <f>SUM(D57:D207)</f>
        <v>375507</v>
      </c>
      <c r="F208" s="8">
        <f>SUM(F57:F207)</f>
        <v>217510.87646874398</v>
      </c>
      <c r="G208" s="8"/>
      <c r="H208" s="8">
        <f>SUM(H57:H207)</f>
        <v>76811.146899999992</v>
      </c>
      <c r="I208" s="8"/>
      <c r="J208" s="8">
        <f>SUM(J57:J207)</f>
        <v>84168.706886392101</v>
      </c>
      <c r="L208" s="2">
        <f>SUM(L8:L206)</f>
        <v>18840</v>
      </c>
    </row>
    <row r="209" spans="2:13">
      <c r="C209" s="157"/>
      <c r="F209" s="1"/>
    </row>
    <row r="210" spans="2:13">
      <c r="C210" s="14">
        <f>C208+C55</f>
        <v>786355</v>
      </c>
      <c r="D210" s="14">
        <f>D208+D55</f>
        <v>786355</v>
      </c>
      <c r="F210" s="197">
        <f>F208+F55</f>
        <v>600307.6576871227</v>
      </c>
      <c r="G210" s="313"/>
      <c r="H210" s="197">
        <f>H208+H55</f>
        <v>98811.445899999992</v>
      </c>
      <c r="J210" s="197">
        <f>J208+J55</f>
        <v>176257.75400583699</v>
      </c>
      <c r="K210" s="156">
        <f>'FL+AZ - RM'!H74</f>
        <v>45869</v>
      </c>
    </row>
    <row r="211" spans="2:13">
      <c r="C211" s="14"/>
      <c r="D211" s="14"/>
      <c r="F211" s="117">
        <v>600805.19809420896</v>
      </c>
      <c r="H211" s="117">
        <v>56783.94</v>
      </c>
      <c r="J211" s="117">
        <v>170015.69916539139</v>
      </c>
      <c r="K211" s="156">
        <f>'FL+AZ - RM'!H75</f>
        <v>45838</v>
      </c>
    </row>
    <row r="212" spans="2:13" ht="13.5" thickBot="1">
      <c r="B212" s="97"/>
      <c r="C212" s="157"/>
      <c r="F212" s="23">
        <f>F210-F211</f>
        <v>-497.54040708625689</v>
      </c>
      <c r="H212" s="23">
        <f>H210-H211</f>
        <v>42027.505899999989</v>
      </c>
      <c r="J212" s="23">
        <f>J210-J211</f>
        <v>6242.0548404456058</v>
      </c>
      <c r="K212" s="275"/>
    </row>
    <row r="213" spans="2:13" ht="13.5" thickTop="1">
      <c r="B213" s="84"/>
      <c r="C213" s="157"/>
      <c r="E213" s="15" t="s">
        <v>2927</v>
      </c>
      <c r="H213" s="10" t="s">
        <v>2926</v>
      </c>
      <c r="J213" s="277" t="s">
        <v>2925</v>
      </c>
    </row>
    <row r="214" spans="2:13">
      <c r="B214" s="84"/>
      <c r="C214" s="157"/>
      <c r="D214" s="15"/>
      <c r="E214" s="384"/>
      <c r="F214" s="10"/>
      <c r="H214" s="10"/>
      <c r="I214" s="384"/>
      <c r="J214" s="368"/>
      <c r="M214" s="336"/>
    </row>
    <row r="215" spans="2:13">
      <c r="B215" s="17"/>
      <c r="C215" s="157"/>
      <c r="D215" s="15"/>
      <c r="E215" s="384"/>
      <c r="G215" s="73"/>
      <c r="H215" s="10"/>
      <c r="I215" s="384"/>
      <c r="J215" s="10"/>
      <c r="M215" s="89"/>
    </row>
    <row r="216" spans="2:13">
      <c r="B216" s="17" t="s">
        <v>1133</v>
      </c>
      <c r="C216" s="157" t="s">
        <v>1133</v>
      </c>
      <c r="D216" s="15"/>
      <c r="F216" s="1"/>
    </row>
    <row r="217" spans="2:13" ht="13.5" thickBot="1">
      <c r="C217" s="15"/>
      <c r="G217" s="15"/>
      <c r="H217" s="155">
        <f>H210-H211</f>
        <v>42027.505899999989</v>
      </c>
      <c r="J217" s="1"/>
    </row>
    <row r="218" spans="2:13" ht="13.5" thickTop="1">
      <c r="C218" s="157"/>
      <c r="D218" s="8"/>
      <c r="F218" t="s">
        <v>1134</v>
      </c>
      <c r="G218" s="15" t="s">
        <v>1135</v>
      </c>
      <c r="H218"/>
      <c r="J218" s="1"/>
    </row>
    <row r="219" spans="2:13">
      <c r="C219" s="157"/>
      <c r="E219" s="323"/>
      <c r="F219" s="8">
        <f>G219-'[5]AZ WIP'!G217</f>
        <v>79970</v>
      </c>
      <c r="G219" s="230">
        <f>SUMIF($K$8:$K$206,$I219,$D$8:$D$206)</f>
        <v>243326</v>
      </c>
      <c r="H219" s="253">
        <f>SUMIF($K$8:$K$206,$I219,$H$8:$H$206)</f>
        <v>24210.458999999999</v>
      </c>
      <c r="I219" t="s">
        <v>828</v>
      </c>
      <c r="J219" s="117">
        <v>0</v>
      </c>
      <c r="K219" s="10">
        <f>H219-J219</f>
        <v>24210.458999999999</v>
      </c>
    </row>
    <row r="220" spans="2:13">
      <c r="C220" s="157"/>
      <c r="F220" s="8">
        <f>G220-'[5]AZ WIP'!G218</f>
        <v>-73749</v>
      </c>
      <c r="G220" s="230">
        <f>SUMIF($K$8:$K$206,$I220,$D$8:$D$206)</f>
        <v>40083</v>
      </c>
      <c r="H220" s="253">
        <f>SUMIF($K$8:$K$206,$I220,$H$8:$H$206)</f>
        <v>6813.7065000000002</v>
      </c>
      <c r="I220" t="s">
        <v>852</v>
      </c>
      <c r="J220" s="117">
        <v>1505.6505000000002</v>
      </c>
      <c r="K220" s="10">
        <f>H220-J220</f>
        <v>5308.0560000000005</v>
      </c>
    </row>
    <row r="221" spans="2:13">
      <c r="C221" s="157"/>
      <c r="F221" s="8">
        <f>G221-'[5]AZ WIP'!G219</f>
        <v>61387</v>
      </c>
      <c r="G221" s="230">
        <f>SUMIF($K$8:$K$206,$I221,$D$8:$D$206)</f>
        <v>427286</v>
      </c>
      <c r="H221" s="253">
        <f>SUMIF($K$8:$K$206,$I221,$H$8:$H$206)</f>
        <v>31226.741399999999</v>
      </c>
      <c r="I221" t="s">
        <v>550</v>
      </c>
      <c r="J221" s="117">
        <v>19998.311999999998</v>
      </c>
      <c r="K221" s="10">
        <f>H221-J221</f>
        <v>11228.429400000001</v>
      </c>
      <c r="L221" s="10"/>
    </row>
    <row r="222" spans="2:13">
      <c r="C222" s="157"/>
      <c r="F222" s="8">
        <f>G222-'[5]AZ WIP'!G220</f>
        <v>21402</v>
      </c>
      <c r="G222" s="230">
        <f>SUMIF($K$8:$K$206,$I222,$D$8:$D$206)</f>
        <v>64422</v>
      </c>
      <c r="H222" s="253">
        <f>SUMIF($K$8:$K$206,$I222,$H$8:$H$206)</f>
        <v>36560.538999999997</v>
      </c>
      <c r="I222" t="s">
        <v>1136</v>
      </c>
      <c r="J222" s="117">
        <v>35279.977500000001</v>
      </c>
      <c r="K222" s="10">
        <f>H222-J222</f>
        <v>1280.5614999999962</v>
      </c>
    </row>
    <row r="223" spans="2:13">
      <c r="C223"/>
      <c r="F223" s="8">
        <f>G223-'[5]AZ WIP'!G221</f>
        <v>5545</v>
      </c>
      <c r="G223" s="230">
        <f>SUMIF($K$8:$K$206,$I223,$D$8:$D$206)</f>
        <v>5675</v>
      </c>
      <c r="H223" s="253">
        <f>SUMIF($K$8:$K$206,$I223,$H$8:$H$206)</f>
        <v>0</v>
      </c>
      <c r="I223" s="157" t="s">
        <v>907</v>
      </c>
      <c r="J223" s="117">
        <v>0</v>
      </c>
      <c r="K223" s="10">
        <f>H223-J223</f>
        <v>0</v>
      </c>
    </row>
    <row r="224" spans="2:13">
      <c r="C224"/>
      <c r="H224" s="18" t="s">
        <v>1133</v>
      </c>
      <c r="I224" t="s">
        <v>1133</v>
      </c>
      <c r="J224" s="259" t="s">
        <v>1137</v>
      </c>
    </row>
    <row r="225" spans="2:10">
      <c r="C225"/>
      <c r="H225" s="18">
        <f>SUM(H219:H224)</f>
        <v>98811.445899999992</v>
      </c>
      <c r="J225" s="1">
        <f>SUM(J219:J224)</f>
        <v>56783.94</v>
      </c>
    </row>
    <row r="226" spans="2:10" ht="13.5" thickBot="1">
      <c r="C226"/>
      <c r="H226"/>
      <c r="J226" s="1"/>
    </row>
    <row r="227" spans="2:10" ht="13.5" thickBot="1">
      <c r="C227"/>
      <c r="H227" s="161">
        <f>H210-H225</f>
        <v>0</v>
      </c>
      <c r="I227" t="s">
        <v>1138</v>
      </c>
      <c r="J227" s="1"/>
    </row>
    <row r="228" spans="2:10">
      <c r="C228"/>
      <c r="F228" s="1"/>
      <c r="H228"/>
      <c r="J228"/>
    </row>
    <row r="229" spans="2:10">
      <c r="B229" s="157" t="s">
        <v>1139</v>
      </c>
      <c r="C229" s="278">
        <f>D210-SUMIF(E8:E53,"",D8:D53)-SUMIF(E57:E206,"",D57:D206)</f>
        <v>654027</v>
      </c>
      <c r="F229" s="1"/>
      <c r="H229"/>
      <c r="J229"/>
    </row>
    <row r="230" spans="2:10">
      <c r="B230" s="276" t="s">
        <v>2794</v>
      </c>
      <c r="C230" s="276" t="s">
        <v>2793</v>
      </c>
      <c r="F230" s="1"/>
      <c r="H230"/>
      <c r="J230"/>
    </row>
    <row r="231" spans="2:10">
      <c r="C231" s="18"/>
      <c r="F231" s="1"/>
      <c r="H231"/>
      <c r="J231"/>
    </row>
    <row r="232" spans="2:10">
      <c r="C232"/>
      <c r="F232" s="1"/>
      <c r="H232"/>
      <c r="J232"/>
    </row>
    <row r="233" spans="2:10">
      <c r="C233"/>
      <c r="F233" s="1"/>
      <c r="H233"/>
      <c r="J233"/>
    </row>
    <row r="234" spans="2:10">
      <c r="C234"/>
      <c r="F234" s="1"/>
      <c r="H234"/>
      <c r="J234"/>
    </row>
    <row r="235" spans="2:10">
      <c r="C235"/>
      <c r="F235" s="1"/>
      <c r="H235"/>
      <c r="J235"/>
    </row>
    <row r="236" spans="2:10">
      <c r="C236"/>
      <c r="F236" s="1"/>
      <c r="H236"/>
      <c r="J236"/>
    </row>
    <row r="237" spans="2:10">
      <c r="C237"/>
      <c r="F237" s="1"/>
      <c r="H237"/>
      <c r="J237"/>
    </row>
    <row r="238" spans="2:10">
      <c r="C238"/>
      <c r="F238" s="1"/>
      <c r="H238"/>
      <c r="J238"/>
    </row>
    <row r="239" spans="2:10">
      <c r="C239"/>
      <c r="F239" s="1"/>
      <c r="H239"/>
      <c r="J239"/>
    </row>
    <row r="240" spans="2:10">
      <c r="C240"/>
      <c r="F240" s="1"/>
      <c r="H240"/>
      <c r="J240"/>
    </row>
    <row r="241" spans="3:10">
      <c r="C241"/>
      <c r="F241" s="1"/>
      <c r="H241"/>
      <c r="J241"/>
    </row>
    <row r="242" spans="3:10">
      <c r="C242"/>
      <c r="F242" s="1"/>
      <c r="H242"/>
      <c r="J242"/>
    </row>
    <row r="243" spans="3:10">
      <c r="C243"/>
      <c r="F243" s="1"/>
      <c r="H243"/>
      <c r="J243"/>
    </row>
    <row r="244" spans="3:10">
      <c r="C244"/>
      <c r="F244" s="1"/>
      <c r="H244"/>
      <c r="J244"/>
    </row>
    <row r="245" spans="3:10">
      <c r="C245"/>
      <c r="F245" s="1"/>
      <c r="H245"/>
      <c r="J245"/>
    </row>
    <row r="246" spans="3:10">
      <c r="C246"/>
      <c r="F246" s="1"/>
      <c r="H246"/>
      <c r="J246"/>
    </row>
    <row r="247" spans="3:10">
      <c r="C247"/>
      <c r="F247" s="1"/>
      <c r="H247"/>
      <c r="J247"/>
    </row>
    <row r="248" spans="3:10">
      <c r="C248"/>
      <c r="F248" s="1"/>
      <c r="H248"/>
      <c r="J248"/>
    </row>
    <row r="249" spans="3:10">
      <c r="C249"/>
      <c r="F249" s="1"/>
      <c r="H249"/>
      <c r="J249"/>
    </row>
    <row r="250" spans="3:10">
      <c r="C250"/>
      <c r="F250" s="1"/>
      <c r="H250"/>
      <c r="J250"/>
    </row>
    <row r="251" spans="3:10">
      <c r="C251"/>
      <c r="F251" s="1"/>
      <c r="H251"/>
      <c r="J251"/>
    </row>
    <row r="252" spans="3:10">
      <c r="C252"/>
      <c r="F252" s="1"/>
      <c r="H252"/>
      <c r="J252"/>
    </row>
    <row r="253" spans="3:10">
      <c r="C253"/>
      <c r="F253" s="1"/>
      <c r="H253"/>
      <c r="J253"/>
    </row>
    <row r="254" spans="3:10">
      <c r="C254"/>
      <c r="F254" s="1"/>
      <c r="H254"/>
      <c r="J254"/>
    </row>
    <row r="255" spans="3:10">
      <c r="C255"/>
      <c r="F255" s="1"/>
      <c r="H255"/>
      <c r="J255"/>
    </row>
    <row r="256" spans="3:10">
      <c r="C256"/>
      <c r="F256" s="1"/>
      <c r="H256"/>
      <c r="J256"/>
    </row>
    <row r="257" spans="3:10">
      <c r="C257"/>
      <c r="F257" s="1"/>
      <c r="H257"/>
      <c r="J257"/>
    </row>
    <row r="258" spans="3:10">
      <c r="C258"/>
      <c r="F258" s="1"/>
      <c r="H258"/>
      <c r="J258"/>
    </row>
    <row r="259" spans="3:10">
      <c r="C259"/>
      <c r="F259" s="1"/>
      <c r="H259"/>
      <c r="J259"/>
    </row>
    <row r="260" spans="3:10">
      <c r="C260"/>
      <c r="F260" s="1"/>
      <c r="H260"/>
      <c r="J260"/>
    </row>
    <row r="261" spans="3:10">
      <c r="C261"/>
      <c r="F261" s="1"/>
      <c r="H261"/>
      <c r="J261"/>
    </row>
    <row r="262" spans="3:10">
      <c r="C262"/>
      <c r="F262" s="1"/>
      <c r="H262"/>
      <c r="J262"/>
    </row>
    <row r="263" spans="3:10">
      <c r="C263"/>
      <c r="F263" s="1"/>
      <c r="H263"/>
      <c r="J263"/>
    </row>
    <row r="264" spans="3:10">
      <c r="C264"/>
      <c r="F264" s="1"/>
      <c r="H264"/>
      <c r="J264"/>
    </row>
    <row r="265" spans="3:10">
      <c r="C265"/>
      <c r="F265" s="1"/>
      <c r="H265"/>
      <c r="J265"/>
    </row>
    <row r="266" spans="3:10">
      <c r="C266"/>
      <c r="F266" s="1"/>
      <c r="H266"/>
      <c r="J266"/>
    </row>
    <row r="267" spans="3:10">
      <c r="C267"/>
      <c r="F267" s="1"/>
      <c r="H267"/>
      <c r="J267"/>
    </row>
    <row r="268" spans="3:10">
      <c r="C268"/>
      <c r="F268" s="1"/>
      <c r="H268"/>
      <c r="J268"/>
    </row>
    <row r="269" spans="3:10">
      <c r="C269"/>
      <c r="F269" s="1"/>
      <c r="H269"/>
      <c r="J269"/>
    </row>
    <row r="270" spans="3:10">
      <c r="C270"/>
      <c r="F270" s="1"/>
      <c r="H270"/>
      <c r="J270"/>
    </row>
    <row r="271" spans="3:10">
      <c r="C271"/>
      <c r="F271" s="1"/>
      <c r="H271"/>
      <c r="J271"/>
    </row>
    <row r="272" spans="3:10">
      <c r="C272"/>
      <c r="F272" s="1"/>
      <c r="H272"/>
      <c r="J272"/>
    </row>
    <row r="273" spans="3:10">
      <c r="C273"/>
      <c r="F273" s="1"/>
      <c r="H273"/>
      <c r="J273"/>
    </row>
    <row r="274" spans="3:10">
      <c r="C274"/>
      <c r="F274" s="1"/>
      <c r="H274"/>
      <c r="J274"/>
    </row>
    <row r="275" spans="3:10">
      <c r="C275"/>
      <c r="F275" s="1"/>
      <c r="H275"/>
      <c r="J275"/>
    </row>
    <row r="276" spans="3:10">
      <c r="C276"/>
      <c r="F276" s="1"/>
      <c r="H276"/>
      <c r="J276"/>
    </row>
    <row r="277" spans="3:10">
      <c r="C277"/>
      <c r="F277" s="1"/>
      <c r="H277"/>
      <c r="J277"/>
    </row>
    <row r="278" spans="3:10">
      <c r="C278"/>
      <c r="F278" s="1"/>
      <c r="H278"/>
      <c r="J278"/>
    </row>
    <row r="279" spans="3:10">
      <c r="C279"/>
      <c r="F279" s="1"/>
      <c r="H279"/>
      <c r="J279"/>
    </row>
    <row r="280" spans="3:10">
      <c r="C280"/>
      <c r="F280" s="1"/>
      <c r="H280"/>
      <c r="J280"/>
    </row>
    <row r="281" spans="3:10">
      <c r="C281"/>
      <c r="F281" s="1"/>
      <c r="H281"/>
      <c r="J281"/>
    </row>
    <row r="282" spans="3:10">
      <c r="C282"/>
      <c r="F282" s="1"/>
      <c r="H282"/>
      <c r="J282"/>
    </row>
    <row r="283" spans="3:10">
      <c r="C283"/>
      <c r="F283" s="1"/>
      <c r="H283"/>
      <c r="J283"/>
    </row>
    <row r="284" spans="3:10">
      <c r="C284"/>
      <c r="F284" s="1"/>
      <c r="H284"/>
      <c r="J284"/>
    </row>
  </sheetData>
  <mergeCells count="3">
    <mergeCell ref="A1:F1"/>
    <mergeCell ref="A2:F2"/>
    <mergeCell ref="A3:F3"/>
  </mergeCells>
  <phoneticPr fontId="10" type="noConversion"/>
  <pageMargins left="0.5" right="0.5" top="0.5" bottom="0.5" header="0.5" footer="0.5"/>
  <pageSetup scale="19" orientation="landscape" horizontalDpi="1200" verticalDpi="12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theme="0"/>
    <pageSetUpPr fitToPage="1"/>
  </sheetPr>
  <dimension ref="A1:Q312"/>
  <sheetViews>
    <sheetView zoomScale="90" zoomScaleNormal="90" workbookViewId="0">
      <pane xSplit="2" ySplit="6" topLeftCell="C263" activePane="bottomRight" state="frozen"/>
      <selection pane="topRight" activeCell="C1" sqref="C1"/>
      <selection pane="bottomLeft" activeCell="A7" sqref="A7"/>
      <selection pane="bottomRight" activeCell="M298" sqref="M298"/>
    </sheetView>
  </sheetViews>
  <sheetFormatPr defaultColWidth="9.140625" defaultRowHeight="12.75"/>
  <cols>
    <col min="1" max="1" width="8.42578125" style="49" customWidth="1"/>
    <col min="2" max="2" width="61.28515625" style="49" bestFit="1" customWidth="1"/>
    <col min="3" max="3" width="14.5703125" style="49" bestFit="1" customWidth="1"/>
    <col min="4" max="4" width="16.28515625" style="49" customWidth="1"/>
    <col min="5" max="5" width="15.85546875" style="49" customWidth="1"/>
    <col min="6" max="6" width="17.28515625" style="49" customWidth="1"/>
    <col min="7" max="7" width="1.140625" style="49" customWidth="1"/>
    <col min="8" max="8" width="11.5703125" style="49" customWidth="1"/>
    <col min="9" max="9" width="16.28515625" style="49" customWidth="1"/>
    <col min="10" max="10" width="13.85546875" style="49" customWidth="1"/>
    <col min="11" max="11" width="13.140625" style="49" customWidth="1"/>
    <col min="12" max="12" width="16.5703125" style="49" bestFit="1" customWidth="1"/>
    <col min="13" max="13" width="15" style="12" bestFit="1" customWidth="1"/>
    <col min="14" max="14" width="13.85546875" style="49" customWidth="1"/>
    <col min="15" max="15" width="23.85546875" style="49" customWidth="1"/>
    <col min="16" max="16384" width="9.140625" style="49"/>
  </cols>
  <sheetData>
    <row r="1" spans="1:17">
      <c r="A1" s="435" t="s">
        <v>730</v>
      </c>
      <c r="B1" s="435"/>
      <c r="C1" s="435"/>
      <c r="D1" s="435"/>
      <c r="E1" s="435"/>
      <c r="F1" s="435"/>
      <c r="G1" s="6"/>
      <c r="H1" s="6"/>
      <c r="I1" s="6"/>
      <c r="J1"/>
      <c r="K1"/>
      <c r="L1"/>
      <c r="M1"/>
      <c r="N1"/>
      <c r="O1"/>
    </row>
    <row r="2" spans="1:17">
      <c r="A2" s="435" t="s">
        <v>1140</v>
      </c>
      <c r="B2" s="435"/>
      <c r="C2" s="435"/>
      <c r="D2" s="435"/>
      <c r="E2" s="435"/>
      <c r="F2" s="6"/>
      <c r="G2" s="6"/>
      <c r="H2" s="6"/>
      <c r="I2" s="6"/>
      <c r="J2"/>
      <c r="K2"/>
      <c r="L2"/>
      <c r="M2"/>
      <c r="N2"/>
      <c r="O2"/>
    </row>
    <row r="3" spans="1:17">
      <c r="A3" s="435" t="str">
        <f>'FL+AZ - RM'!A3</f>
        <v>As of July 31st 2025</v>
      </c>
      <c r="B3" s="435"/>
      <c r="C3" s="435"/>
      <c r="D3" s="435"/>
      <c r="E3" s="435"/>
      <c r="F3" s="6"/>
      <c r="G3" s="6"/>
      <c r="H3" s="6"/>
      <c r="I3" s="6"/>
      <c r="J3"/>
      <c r="K3"/>
      <c r="L3"/>
      <c r="M3"/>
      <c r="N3"/>
      <c r="O3"/>
    </row>
    <row r="5" spans="1:17">
      <c r="A5"/>
      <c r="C5" s="5" t="s">
        <v>734</v>
      </c>
      <c r="D5" s="5" t="s">
        <v>817</v>
      </c>
      <c r="E5" s="5" t="s">
        <v>818</v>
      </c>
      <c r="F5" s="5" t="s">
        <v>818</v>
      </c>
      <c r="G5" s="5"/>
      <c r="H5" s="79" t="s">
        <v>812</v>
      </c>
      <c r="I5" s="82" t="s">
        <v>812</v>
      </c>
      <c r="J5" s="5" t="s">
        <v>1141</v>
      </c>
      <c r="K5" s="5" t="s">
        <v>1141</v>
      </c>
      <c r="L5" s="5" t="s">
        <v>1141</v>
      </c>
      <c r="M5" s="5" t="s">
        <v>1141</v>
      </c>
      <c r="N5"/>
      <c r="O5"/>
    </row>
    <row r="6" spans="1:17" ht="13.5" thickBot="1">
      <c r="A6"/>
      <c r="B6"/>
      <c r="C6" s="7"/>
      <c r="D6" s="7"/>
      <c r="E6" s="7" t="s">
        <v>821</v>
      </c>
      <c r="F6" s="7" t="s">
        <v>822</v>
      </c>
      <c r="G6" s="7"/>
      <c r="H6" s="80" t="s">
        <v>1142</v>
      </c>
      <c r="I6" s="83" t="s">
        <v>822</v>
      </c>
      <c r="J6" s="103">
        <f>+B280</f>
        <v>45838</v>
      </c>
      <c r="K6" s="103">
        <f>+B289</f>
        <v>45869</v>
      </c>
      <c r="L6" s="7" t="s">
        <v>1143</v>
      </c>
      <c r="M6" s="7" t="s">
        <v>822</v>
      </c>
      <c r="N6"/>
      <c r="O6" s="2" t="s">
        <v>825</v>
      </c>
    </row>
    <row r="7" spans="1:17" ht="13.5" customHeight="1">
      <c r="A7"/>
      <c r="B7"/>
      <c r="C7"/>
      <c r="D7"/>
      <c r="E7"/>
      <c r="F7"/>
      <c r="G7"/>
      <c r="H7"/>
      <c r="I7"/>
      <c r="J7"/>
      <c r="K7"/>
      <c r="L7"/>
      <c r="M7"/>
      <c r="N7"/>
      <c r="O7"/>
    </row>
    <row r="8" spans="1:17" ht="13.5" customHeight="1">
      <c r="A8" s="157" t="s">
        <v>141</v>
      </c>
      <c r="B8" t="s">
        <v>1144</v>
      </c>
      <c r="C8" s="228">
        <f>IFERROR(GETPIVOTDATA("Sum of qty",PT!$A$17,"product",A8,"FL/AZ","FL"),0)</f>
        <v>345280.97</v>
      </c>
      <c r="D8" s="284">
        <f>C8</f>
        <v>345280.97</v>
      </c>
      <c r="E8" s="120"/>
      <c r="F8" s="282">
        <f>D8*E8</f>
        <v>0</v>
      </c>
      <c r="G8"/>
      <c r="H8" s="383">
        <f>(9.5*3)/300</f>
        <v>9.5000000000000001E-2</v>
      </c>
      <c r="I8" s="282">
        <f t="shared" ref="I8:I16" si="0">H8*D8</f>
        <v>32801.692149999995</v>
      </c>
      <c r="J8" s="119"/>
      <c r="K8"/>
      <c r="L8"/>
      <c r="M8"/>
      <c r="N8" s="157" t="s">
        <v>828</v>
      </c>
      <c r="O8" s="275">
        <f>D8-IFERROR(VLOOKUP(A8,'[1]FL WIP'!$A:$F,4,0),0)</f>
        <v>-73160.080000000016</v>
      </c>
      <c r="Q8" s="431"/>
    </row>
    <row r="9" spans="1:17" ht="13.5" customHeight="1">
      <c r="A9" s="157" t="s">
        <v>963</v>
      </c>
      <c r="B9" t="s">
        <v>964</v>
      </c>
      <c r="C9" s="228">
        <f>IFERROR(GETPIVOTDATA("Sum of qty",PT!$A$17,"product",A9,"FL/AZ","FL"),0)</f>
        <v>0</v>
      </c>
      <c r="D9" s="284">
        <f>C9</f>
        <v>0</v>
      </c>
      <c r="E9" s="120"/>
      <c r="F9" s="282">
        <f t="shared" ref="F9:F16" si="1">D9*E9</f>
        <v>0</v>
      </c>
      <c r="G9"/>
      <c r="H9" s="383">
        <f>(19.95+16.8+12.08+11.25)/(4*45)</f>
        <v>0.33377777777777778</v>
      </c>
      <c r="I9" s="282">
        <f t="shared" si="0"/>
        <v>0</v>
      </c>
      <c r="J9" s="119"/>
      <c r="K9"/>
      <c r="L9"/>
      <c r="M9"/>
      <c r="N9" s="157" t="s">
        <v>828</v>
      </c>
      <c r="O9" s="275">
        <f>D9-IFERROR(VLOOKUP(A9,'[1]FL WIP'!$A:$F,4,0),0)</f>
        <v>0</v>
      </c>
      <c r="Q9" s="431"/>
    </row>
    <row r="10" spans="1:17" ht="13.5" customHeight="1">
      <c r="A10" s="157" t="s">
        <v>1145</v>
      </c>
      <c r="B10" s="157" t="s">
        <v>1146</v>
      </c>
      <c r="C10" s="228">
        <f>IFERROR(GETPIVOTDATA("Sum of qty",PT!$A$17,"product",A10,"FL/AZ","FL"),0)</f>
        <v>0</v>
      </c>
      <c r="D10" s="284">
        <f>C10</f>
        <v>0</v>
      </c>
      <c r="E10" s="120"/>
      <c r="F10" s="282">
        <f t="shared" ref="F10" si="2">D10*E10</f>
        <v>0</v>
      </c>
      <c r="G10"/>
      <c r="H10" s="120">
        <f>$H$8</f>
        <v>9.5000000000000001E-2</v>
      </c>
      <c r="I10" s="282">
        <f t="shared" ref="I10" si="3">H10*D10</f>
        <v>0</v>
      </c>
      <c r="J10" s="119"/>
      <c r="K10"/>
      <c r="L10"/>
      <c r="M10"/>
      <c r="N10" s="157" t="s">
        <v>828</v>
      </c>
      <c r="O10" s="275">
        <f>D10-IFERROR(VLOOKUP(A10,'[1]FL WIP'!$A:$F,4,0),0)</f>
        <v>0</v>
      </c>
      <c r="Q10" s="431"/>
    </row>
    <row r="11" spans="1:17" ht="13.5" customHeight="1">
      <c r="A11" s="157" t="s">
        <v>1147</v>
      </c>
      <c r="B11" s="157" t="s">
        <v>1148</v>
      </c>
      <c r="C11" s="228">
        <f>IFERROR(GETPIVOTDATA("Sum of qty",PT!$A$17,"product",A11,"FL/AZ","FL"),0)</f>
        <v>35000</v>
      </c>
      <c r="D11" s="284">
        <f>C11</f>
        <v>35000</v>
      </c>
      <c r="E11" s="120"/>
      <c r="F11" s="282">
        <f t="shared" ref="F11:F12" si="4">D11*E11</f>
        <v>0</v>
      </c>
      <c r="G11"/>
      <c r="H11" s="120">
        <f>$H$8</f>
        <v>9.5000000000000001E-2</v>
      </c>
      <c r="I11" s="282">
        <f t="shared" ref="I11:I12" si="5">H11*D11</f>
        <v>3325</v>
      </c>
      <c r="J11" s="119"/>
      <c r="K11"/>
      <c r="L11"/>
      <c r="M11"/>
      <c r="N11" s="157" t="s">
        <v>828</v>
      </c>
      <c r="O11" s="275">
        <f>D11-IFERROR(VLOOKUP(A11,'[1]FL WIP'!$A:$F,4,0),0)</f>
        <v>-381</v>
      </c>
      <c r="Q11" s="431"/>
    </row>
    <row r="12" spans="1:17" ht="13.5" customHeight="1">
      <c r="A12" s="157" t="s">
        <v>2754</v>
      </c>
      <c r="B12" s="157" t="s">
        <v>2755</v>
      </c>
      <c r="C12" s="228">
        <f>IFERROR(GETPIVOTDATA("Sum of qty",PT!$A$17,"product",A12,"FL/AZ","FL"),0)</f>
        <v>19025.02</v>
      </c>
      <c r="D12" s="284">
        <f>C12</f>
        <v>19025.02</v>
      </c>
      <c r="E12" s="120"/>
      <c r="F12" s="282">
        <f t="shared" si="4"/>
        <v>0</v>
      </c>
      <c r="G12"/>
      <c r="H12" s="120">
        <f>$H$8</f>
        <v>9.5000000000000001E-2</v>
      </c>
      <c r="I12" s="282">
        <f t="shared" si="5"/>
        <v>1807.3769</v>
      </c>
      <c r="J12" s="119"/>
      <c r="K12"/>
      <c r="L12"/>
      <c r="M12"/>
      <c r="N12" s="157" t="s">
        <v>828</v>
      </c>
      <c r="O12" s="275">
        <f>D12-IFERROR(VLOOKUP(A12,'[1]FL WIP'!$A:$F,4,0),0)</f>
        <v>19025.02</v>
      </c>
      <c r="Q12" s="431"/>
    </row>
    <row r="13" spans="1:17" ht="13.5" customHeight="1">
      <c r="A13" t="s">
        <v>1149</v>
      </c>
      <c r="B13" t="s">
        <v>634</v>
      </c>
      <c r="C13" s="228">
        <f>IFERROR(GETPIVOTDATA("Sum of qty",PT!$A$17,"product",A13,"FL/AZ","FL"),0)</f>
        <v>0</v>
      </c>
      <c r="D13" s="284">
        <f>C13*46</f>
        <v>0</v>
      </c>
      <c r="E13" s="383">
        <f>'[4]2024'!$L$41</f>
        <v>0.69981901303574467</v>
      </c>
      <c r="F13" s="282">
        <f t="shared" si="1"/>
        <v>0</v>
      </c>
      <c r="G13"/>
      <c r="H13" s="120">
        <f>$H$9</f>
        <v>0.33377777777777778</v>
      </c>
      <c r="I13" s="282">
        <f t="shared" si="0"/>
        <v>0</v>
      </c>
      <c r="J13" s="119"/>
      <c r="K13"/>
      <c r="L13"/>
      <c r="M13"/>
      <c r="N13" s="157" t="s">
        <v>828</v>
      </c>
      <c r="O13" s="275">
        <f>D13-IFERROR(VLOOKUP(A13,'[1]FL WIP'!$A:$F,4,0),0)</f>
        <v>0</v>
      </c>
      <c r="Q13" s="431"/>
    </row>
    <row r="14" spans="1:17" ht="13.5" customHeight="1">
      <c r="A14" s="157" t="s">
        <v>832</v>
      </c>
      <c r="B14" s="22" t="s">
        <v>833</v>
      </c>
      <c r="C14" s="228">
        <f>IFERROR(GETPIVOTDATA("Sum of qty",PT!$A$17,"product",A14,"FL/AZ","FL"),0)</f>
        <v>0</v>
      </c>
      <c r="D14" s="284">
        <f>C14*46</f>
        <v>0</v>
      </c>
      <c r="E14" s="120">
        <f>+$E$13</f>
        <v>0.69981901303574467</v>
      </c>
      <c r="F14" s="282">
        <f t="shared" si="1"/>
        <v>0</v>
      </c>
      <c r="G14"/>
      <c r="H14" s="120">
        <f t="shared" ref="H14:H42" si="6">$H$9</f>
        <v>0.33377777777777778</v>
      </c>
      <c r="I14" s="282">
        <f t="shared" si="0"/>
        <v>0</v>
      </c>
      <c r="J14" s="119"/>
      <c r="K14"/>
      <c r="L14"/>
      <c r="M14"/>
      <c r="N14" s="157" t="s">
        <v>828</v>
      </c>
      <c r="O14" s="275">
        <f>D14-IFERROR(VLOOKUP(A14,'[1]FL WIP'!$A:$F,4,0),0)</f>
        <v>0</v>
      </c>
      <c r="Q14" s="431"/>
    </row>
    <row r="15" spans="1:17" ht="13.5" customHeight="1">
      <c r="A15" s="157" t="s">
        <v>838</v>
      </c>
      <c r="B15" s="157" t="s">
        <v>839</v>
      </c>
      <c r="C15" s="228">
        <f>IFERROR(GETPIVOTDATA("Sum of qty",PT!$A$17,"product",A15,"FL/AZ","FL"),0)</f>
        <v>0</v>
      </c>
      <c r="D15" s="284">
        <f>C15*46</f>
        <v>0</v>
      </c>
      <c r="E15" s="120"/>
      <c r="F15" s="282">
        <f t="shared" si="1"/>
        <v>0</v>
      </c>
      <c r="G15"/>
      <c r="H15" s="120">
        <f t="shared" si="6"/>
        <v>0.33377777777777778</v>
      </c>
      <c r="I15" s="282">
        <f t="shared" si="0"/>
        <v>0</v>
      </c>
      <c r="J15" s="119"/>
      <c r="K15"/>
      <c r="L15"/>
      <c r="M15"/>
      <c r="N15" s="157" t="s">
        <v>828</v>
      </c>
      <c r="O15" s="275">
        <f>D15-IFERROR(VLOOKUP(A15,'[1]FL WIP'!$A:$F,4,0),0)</f>
        <v>0</v>
      </c>
      <c r="Q15" s="431"/>
    </row>
    <row r="16" spans="1:17" ht="13.5" customHeight="1">
      <c r="A16" s="157" t="s">
        <v>980</v>
      </c>
      <c r="B16" s="157" t="s">
        <v>981</v>
      </c>
      <c r="C16" s="228">
        <f>IFERROR(GETPIVOTDATA("Sum of qty",PT!$A$17,"product",A16,"FL/AZ","FL"),0)</f>
        <v>0</v>
      </c>
      <c r="D16" s="284">
        <f>C16</f>
        <v>0</v>
      </c>
      <c r="E16" s="120">
        <f>+$E$13</f>
        <v>0.69981901303574467</v>
      </c>
      <c r="F16" s="282">
        <f t="shared" si="1"/>
        <v>0</v>
      </c>
      <c r="G16" s="282"/>
      <c r="H16" s="120">
        <f t="shared" si="6"/>
        <v>0.33377777777777778</v>
      </c>
      <c r="I16" s="282">
        <f t="shared" si="0"/>
        <v>0</v>
      </c>
      <c r="J16" s="119"/>
      <c r="K16"/>
      <c r="L16"/>
      <c r="M16"/>
      <c r="N16" s="157" t="s">
        <v>828</v>
      </c>
      <c r="O16" s="275">
        <f>D16-IFERROR(VLOOKUP(A16,'[1]FL WIP'!$A:$F,4,0),0)</f>
        <v>0</v>
      </c>
      <c r="Q16" s="431"/>
    </row>
    <row r="17" spans="1:17">
      <c r="A17" s="157" t="s">
        <v>1150</v>
      </c>
      <c r="B17" s="157" t="s">
        <v>634</v>
      </c>
      <c r="C17" s="228">
        <f>IFERROR(GETPIVOTDATA("Sum of qty",PT!$A$17,"product",A17,"FL/AZ","FL"),0)</f>
        <v>0</v>
      </c>
      <c r="D17" s="284">
        <f>C17*45</f>
        <v>0</v>
      </c>
      <c r="E17" s="120">
        <f>+$E$13</f>
        <v>0.69981901303574467</v>
      </c>
      <c r="F17" s="282">
        <f t="shared" ref="F17:F68" si="7">D17*E17</f>
        <v>0</v>
      </c>
      <c r="G17" s="282"/>
      <c r="H17" s="120">
        <f t="shared" si="6"/>
        <v>0.33377777777777778</v>
      </c>
      <c r="I17" s="282">
        <f t="shared" ref="I17:I64" si="8">H17*D17</f>
        <v>0</v>
      </c>
      <c r="J17" s="119"/>
      <c r="K17"/>
      <c r="L17" s="282"/>
      <c r="M17"/>
      <c r="N17" s="157" t="s">
        <v>828</v>
      </c>
      <c r="O17" s="275">
        <f>D17-IFERROR(VLOOKUP(A17,'[1]FL WIP'!$A:$F,4,0),0)</f>
        <v>0</v>
      </c>
      <c r="Q17" s="431"/>
    </row>
    <row r="18" spans="1:17">
      <c r="A18" s="157" t="s">
        <v>1151</v>
      </c>
      <c r="B18" s="157" t="s">
        <v>1152</v>
      </c>
      <c r="C18" s="228">
        <f>IFERROR(GETPIVOTDATA("Sum of qty",PT!$A$17,"product",A18,"FL/AZ","FL"),0)</f>
        <v>0</v>
      </c>
      <c r="D18" s="284">
        <f>C18*45</f>
        <v>0</v>
      </c>
      <c r="E18" s="120">
        <f>+$E$13</f>
        <v>0.69981901303574467</v>
      </c>
      <c r="F18" s="282">
        <f t="shared" si="7"/>
        <v>0</v>
      </c>
      <c r="G18" s="282"/>
      <c r="H18" s="120">
        <f t="shared" si="6"/>
        <v>0.33377777777777778</v>
      </c>
      <c r="I18" s="282">
        <f t="shared" si="8"/>
        <v>0</v>
      </c>
      <c r="J18" s="119"/>
      <c r="K18"/>
      <c r="L18" s="282"/>
      <c r="M18"/>
      <c r="N18" s="157" t="s">
        <v>828</v>
      </c>
      <c r="O18" s="275">
        <f>D18-IFERROR(VLOOKUP(A18,'[1]FL WIP'!$A:$F,4,0),0)</f>
        <v>0</v>
      </c>
      <c r="Q18" s="431"/>
    </row>
    <row r="19" spans="1:17">
      <c r="A19" s="157" t="s">
        <v>1153</v>
      </c>
      <c r="B19" s="157" t="s">
        <v>1154</v>
      </c>
      <c r="C19" s="228">
        <f>IFERROR(GETPIVOTDATA("Sum of qty",PT!$A$17,"product",A19,"FL/AZ","FL"),0)</f>
        <v>0</v>
      </c>
      <c r="D19" s="284">
        <f>C19*48</f>
        <v>0</v>
      </c>
      <c r="E19" s="120">
        <f>+$E$13</f>
        <v>0.69981901303574467</v>
      </c>
      <c r="F19" s="282">
        <f t="shared" si="7"/>
        <v>0</v>
      </c>
      <c r="G19" s="282"/>
      <c r="H19" s="120">
        <f t="shared" si="6"/>
        <v>0.33377777777777778</v>
      </c>
      <c r="I19" s="282">
        <f t="shared" si="8"/>
        <v>0</v>
      </c>
      <c r="J19" s="119"/>
      <c r="K19"/>
      <c r="L19" s="282"/>
      <c r="M19"/>
      <c r="N19" s="157" t="s">
        <v>828</v>
      </c>
      <c r="O19" s="275">
        <f>D19-IFERROR(VLOOKUP(A19,'[1]FL WIP'!$A:$F,4,0),0)</f>
        <v>0</v>
      </c>
      <c r="Q19" s="431"/>
    </row>
    <row r="20" spans="1:17">
      <c r="A20" s="157" t="s">
        <v>1155</v>
      </c>
      <c r="B20" s="157" t="s">
        <v>634</v>
      </c>
      <c r="C20" s="228">
        <f>IFERROR(GETPIVOTDATA("Sum of qty",PT!$A$17,"product",A20,"FL/AZ","FL"),0)</f>
        <v>0</v>
      </c>
      <c r="D20" s="284">
        <f>C20*46</f>
        <v>0</v>
      </c>
      <c r="E20" s="120">
        <f>+$E$13</f>
        <v>0.69981901303574467</v>
      </c>
      <c r="F20" s="282">
        <f t="shared" si="7"/>
        <v>0</v>
      </c>
      <c r="G20" s="282"/>
      <c r="H20" s="120">
        <f t="shared" si="6"/>
        <v>0.33377777777777778</v>
      </c>
      <c r="I20" s="282">
        <f t="shared" si="8"/>
        <v>0</v>
      </c>
      <c r="J20" s="119"/>
      <c r="K20"/>
      <c r="L20" s="282"/>
      <c r="M20"/>
      <c r="N20" s="157" t="s">
        <v>828</v>
      </c>
      <c r="O20" s="275">
        <f>D20-IFERROR(VLOOKUP(A20,'[1]FL WIP'!$A:$F,4,0),0)</f>
        <v>0</v>
      </c>
      <c r="Q20" s="431"/>
    </row>
    <row r="21" spans="1:17">
      <c r="A21" s="157" t="s">
        <v>1156</v>
      </c>
      <c r="B21" s="157" t="s">
        <v>1157</v>
      </c>
      <c r="C21" s="228">
        <f>IFERROR(GETPIVOTDATA("Sum of qty",PT!$A$17,"product",A21,"FL/AZ","FL"),0)</f>
        <v>0</v>
      </c>
      <c r="D21" s="284">
        <f>C21*46</f>
        <v>0</v>
      </c>
      <c r="E21" s="120"/>
      <c r="F21" s="282">
        <f t="shared" ref="F21:F30" si="9">D21*E21</f>
        <v>0</v>
      </c>
      <c r="G21" s="282"/>
      <c r="H21" s="120">
        <f t="shared" si="6"/>
        <v>0.33377777777777778</v>
      </c>
      <c r="I21" s="282">
        <f>H21*D21</f>
        <v>0</v>
      </c>
      <c r="J21" s="119"/>
      <c r="K21"/>
      <c r="L21" s="282"/>
      <c r="M21"/>
      <c r="N21" s="157" t="s">
        <v>828</v>
      </c>
      <c r="O21" s="275">
        <f>D21-IFERROR(VLOOKUP(A21,'[1]FL WIP'!$A:$F,4,0),0)</f>
        <v>0</v>
      </c>
      <c r="Q21" s="431"/>
    </row>
    <row r="22" spans="1:17">
      <c r="A22" s="157" t="s">
        <v>842</v>
      </c>
      <c r="B22" s="157" t="s">
        <v>843</v>
      </c>
      <c r="C22" s="228">
        <f>IFERROR(GETPIVOTDATA("Sum of qty",PT!$A$17,"product",A22,"FL/AZ","FL"),0)</f>
        <v>0</v>
      </c>
      <c r="D22" s="284">
        <f>C22*46</f>
        <v>0</v>
      </c>
      <c r="E22" s="120"/>
      <c r="F22" s="282">
        <f t="shared" si="9"/>
        <v>0</v>
      </c>
      <c r="G22" s="282"/>
      <c r="H22" s="120">
        <f t="shared" si="6"/>
        <v>0.33377777777777778</v>
      </c>
      <c r="I22" s="282">
        <f>H22*D22</f>
        <v>0</v>
      </c>
      <c r="J22" s="119"/>
      <c r="K22"/>
      <c r="L22" s="282"/>
      <c r="M22"/>
      <c r="N22" s="157" t="s">
        <v>828</v>
      </c>
      <c r="O22" s="275">
        <f>D22-IFERROR(VLOOKUP(A22,'[1]FL WIP'!$A:$F,4,0),0)</f>
        <v>0</v>
      </c>
      <c r="Q22" s="431"/>
    </row>
    <row r="23" spans="1:17">
      <c r="A23" t="s">
        <v>844</v>
      </c>
      <c r="B23" s="22" t="s">
        <v>845</v>
      </c>
      <c r="C23" s="228">
        <f>IFERROR(GETPIVOTDATA("Sum of qty",PT!$A$17,"product",A23,"FL/AZ","FL"),0)</f>
        <v>0</v>
      </c>
      <c r="D23" s="284">
        <f>C23</f>
        <v>0</v>
      </c>
      <c r="E23" s="120"/>
      <c r="F23" s="282">
        <f t="shared" ref="F23" si="10">D23*E23</f>
        <v>0</v>
      </c>
      <c r="G23" s="282"/>
      <c r="H23" s="120">
        <f t="shared" si="6"/>
        <v>0.33377777777777778</v>
      </c>
      <c r="I23" s="282">
        <f>H23*D23</f>
        <v>0</v>
      </c>
      <c r="J23" s="119"/>
      <c r="K23"/>
      <c r="L23" s="282"/>
      <c r="M23"/>
      <c r="N23" s="157" t="s">
        <v>828</v>
      </c>
      <c r="O23" s="275">
        <f>D23-IFERROR(VLOOKUP(A23,'[1]FL WIP'!$A:$F,4,0),0)</f>
        <v>0</v>
      </c>
      <c r="Q23" s="431"/>
    </row>
    <row r="24" spans="1:17">
      <c r="A24" s="157" t="s">
        <v>848</v>
      </c>
      <c r="B24" s="157" t="s">
        <v>1158</v>
      </c>
      <c r="C24" s="228">
        <f>IFERROR(GETPIVOTDATA("Sum of qty",PT!$A$17,"product",A24,"FL/AZ","FL"),0)</f>
        <v>0</v>
      </c>
      <c r="D24" s="284">
        <f>C24*48</f>
        <v>0</v>
      </c>
      <c r="E24" s="120">
        <f>+$E$13</f>
        <v>0.69981901303574467</v>
      </c>
      <c r="F24" s="282">
        <f t="shared" si="9"/>
        <v>0</v>
      </c>
      <c r="G24" s="282"/>
      <c r="H24" s="120">
        <f t="shared" si="6"/>
        <v>0.33377777777777778</v>
      </c>
      <c r="I24" s="282">
        <f t="shared" si="8"/>
        <v>0</v>
      </c>
      <c r="J24" s="119"/>
      <c r="K24"/>
      <c r="L24" s="282"/>
      <c r="M24"/>
      <c r="N24" s="157" t="s">
        <v>828</v>
      </c>
      <c r="O24" s="275">
        <f>D24-IFERROR(VLOOKUP(A24,'[1]FL WIP'!$A:$F,4,0),0)</f>
        <v>0</v>
      </c>
      <c r="Q24" s="431"/>
    </row>
    <row r="25" spans="1:17" ht="12" customHeight="1">
      <c r="A25" s="157" t="s">
        <v>1159</v>
      </c>
      <c r="B25" s="157" t="s">
        <v>1160</v>
      </c>
      <c r="C25" s="228">
        <f>IFERROR(GETPIVOTDATA("Sum of qty",PT!$A$17,"product",A25,"FL/AZ","FL"),0)</f>
        <v>0</v>
      </c>
      <c r="D25" s="284">
        <f t="shared" ref="D25:D32" si="11">C25*45</f>
        <v>0</v>
      </c>
      <c r="E25" s="120">
        <f>+$E$13</f>
        <v>0.69981901303574467</v>
      </c>
      <c r="F25" s="282">
        <f t="shared" si="9"/>
        <v>0</v>
      </c>
      <c r="G25" s="282"/>
      <c r="H25" s="120">
        <f t="shared" si="6"/>
        <v>0.33377777777777778</v>
      </c>
      <c r="I25" s="282">
        <f>H25*D25</f>
        <v>0</v>
      </c>
      <c r="J25" s="119"/>
      <c r="K25"/>
      <c r="L25" s="282"/>
      <c r="M25"/>
      <c r="N25" s="157" t="s">
        <v>828</v>
      </c>
      <c r="O25" s="275">
        <f>D25-IFERROR(VLOOKUP(A25,'[1]FL WIP'!$A:$F,4,0),0)</f>
        <v>0</v>
      </c>
      <c r="Q25" s="431"/>
    </row>
    <row r="26" spans="1:17" ht="12" customHeight="1">
      <c r="A26" s="157" t="s">
        <v>1161</v>
      </c>
      <c r="B26" s="157" t="s">
        <v>1162</v>
      </c>
      <c r="C26" s="228">
        <f>IFERROR(GETPIVOTDATA("Sum of qty",PT!$A$17,"product",A26,"FL/AZ","FL"),0)</f>
        <v>0</v>
      </c>
      <c r="D26" s="284">
        <f t="shared" si="11"/>
        <v>0</v>
      </c>
      <c r="E26" s="120">
        <f>+$E$13</f>
        <v>0.69981901303574467</v>
      </c>
      <c r="F26" s="282">
        <f t="shared" si="9"/>
        <v>0</v>
      </c>
      <c r="G26" s="282"/>
      <c r="H26" s="120">
        <f t="shared" si="6"/>
        <v>0.33377777777777778</v>
      </c>
      <c r="I26" s="282">
        <f>H26*D26</f>
        <v>0</v>
      </c>
      <c r="J26" s="119"/>
      <c r="K26"/>
      <c r="L26" s="282"/>
      <c r="M26"/>
      <c r="N26" s="157" t="s">
        <v>828</v>
      </c>
      <c r="O26" s="275">
        <f>D26-IFERROR(VLOOKUP(A26,'[1]FL WIP'!$A:$F,4,0),0)</f>
        <v>0</v>
      </c>
      <c r="Q26" s="431"/>
    </row>
    <row r="27" spans="1:17" ht="12.75" customHeight="1">
      <c r="A27" s="157" t="s">
        <v>359</v>
      </c>
      <c r="B27" s="157" t="s">
        <v>1011</v>
      </c>
      <c r="C27" s="228">
        <f>IFERROR(GETPIVOTDATA("Sum of qty",PT!$A$17,"product",A27,"FL/AZ","FL"),0)</f>
        <v>0</v>
      </c>
      <c r="D27" s="284">
        <f>C27</f>
        <v>0</v>
      </c>
      <c r="E27" s="120">
        <f t="shared" ref="E27" si="12">+$E$13</f>
        <v>0.69981901303574467</v>
      </c>
      <c r="F27" s="282">
        <f t="shared" si="9"/>
        <v>0</v>
      </c>
      <c r="G27" s="282"/>
      <c r="H27" s="120">
        <f t="shared" si="6"/>
        <v>0.33377777777777778</v>
      </c>
      <c r="I27" s="282">
        <f t="shared" ref="I27" si="13">H27*D27</f>
        <v>0</v>
      </c>
      <c r="J27" s="119"/>
      <c r="K27"/>
      <c r="L27" s="282"/>
      <c r="M27"/>
      <c r="N27" s="157" t="s">
        <v>852</v>
      </c>
      <c r="O27" s="275">
        <f>D27-IFERROR(VLOOKUP(A27,'[1]FL WIP'!$A:$F,4,0),0)</f>
        <v>0</v>
      </c>
      <c r="Q27" s="431"/>
    </row>
    <row r="28" spans="1:17" ht="12" customHeight="1">
      <c r="A28" s="157" t="s">
        <v>850</v>
      </c>
      <c r="B28" s="157" t="s">
        <v>851</v>
      </c>
      <c r="C28" s="228">
        <f>IFERROR(GETPIVOTDATA("Sum of qty",PT!$A$17,"product",A28,"FL/AZ","FL"),0)</f>
        <v>0</v>
      </c>
      <c r="D28" s="284">
        <f t="shared" si="11"/>
        <v>0</v>
      </c>
      <c r="E28" s="120">
        <f>+$E$13</f>
        <v>0.69981901303574467</v>
      </c>
      <c r="F28" s="282">
        <f t="shared" si="9"/>
        <v>0</v>
      </c>
      <c r="G28" s="282"/>
      <c r="H28" s="120">
        <f t="shared" si="6"/>
        <v>0.33377777777777778</v>
      </c>
      <c r="I28" s="282">
        <f t="shared" si="8"/>
        <v>0</v>
      </c>
      <c r="J28" s="119"/>
      <c r="K28"/>
      <c r="L28" s="282"/>
      <c r="M28"/>
      <c r="N28" s="157" t="s">
        <v>852</v>
      </c>
      <c r="O28" s="275">
        <f>D28-IFERROR(VLOOKUP(A28,'[1]FL WIP'!$A:$F,4,0),0)</f>
        <v>0</v>
      </c>
      <c r="Q28" s="431"/>
    </row>
    <row r="29" spans="1:17" ht="12" customHeight="1">
      <c r="A29" s="157" t="s">
        <v>1016</v>
      </c>
      <c r="B29" s="157" t="s">
        <v>1163</v>
      </c>
      <c r="C29" s="228">
        <f>IFERROR(GETPIVOTDATA("Sum of qty",PT!$A$17,"product",A29,"FL/AZ","FL"),0)</f>
        <v>0</v>
      </c>
      <c r="D29" s="284">
        <f>C29*50</f>
        <v>0</v>
      </c>
      <c r="E29" s="120"/>
      <c r="F29" s="282">
        <f t="shared" ref="F29" si="14">D29*E29</f>
        <v>0</v>
      </c>
      <c r="G29" s="282"/>
      <c r="H29" s="120">
        <f t="shared" si="6"/>
        <v>0.33377777777777778</v>
      </c>
      <c r="I29" s="282">
        <f t="shared" ref="I29" si="15">H29*D29</f>
        <v>0</v>
      </c>
      <c r="J29" s="119"/>
      <c r="K29"/>
      <c r="L29" s="282"/>
      <c r="M29"/>
      <c r="N29" s="157" t="s">
        <v>852</v>
      </c>
      <c r="O29" s="275">
        <f>D29-IFERROR(VLOOKUP(A29,'[1]FL WIP'!$A:$F,4,0),0)</f>
        <v>0</v>
      </c>
      <c r="Q29" s="431"/>
    </row>
    <row r="30" spans="1:17" ht="12" customHeight="1">
      <c r="A30" s="157" t="s">
        <v>855</v>
      </c>
      <c r="B30" s="157" t="s">
        <v>1164</v>
      </c>
      <c r="C30" s="228">
        <f>IFERROR(GETPIVOTDATA("Sum of qty",PT!$A$17,"product",A30,"FL/AZ","FL"),0)</f>
        <v>0</v>
      </c>
      <c r="D30" s="284">
        <f t="shared" si="11"/>
        <v>0</v>
      </c>
      <c r="E30" s="120">
        <f t="shared" ref="E30:E68" si="16">+$E$13</f>
        <v>0.69981901303574467</v>
      </c>
      <c r="F30" s="282">
        <f t="shared" si="9"/>
        <v>0</v>
      </c>
      <c r="G30" s="282"/>
      <c r="H30" s="120">
        <f t="shared" si="6"/>
        <v>0.33377777777777778</v>
      </c>
      <c r="I30" s="282">
        <f>H30*D30</f>
        <v>0</v>
      </c>
      <c r="J30" s="119"/>
      <c r="K30"/>
      <c r="L30" s="282"/>
      <c r="M30"/>
      <c r="N30" s="157" t="s">
        <v>852</v>
      </c>
      <c r="O30" s="275">
        <f>D30-IFERROR(VLOOKUP(A30,'[1]FL WIP'!$A:$F,4,0),0)</f>
        <v>0</v>
      </c>
      <c r="Q30" s="431"/>
    </row>
    <row r="31" spans="1:17" ht="12.75" customHeight="1">
      <c r="A31" s="157" t="s">
        <v>857</v>
      </c>
      <c r="B31" s="157" t="s">
        <v>858</v>
      </c>
      <c r="C31" s="228">
        <f>IFERROR(GETPIVOTDATA("Sum of qty",PT!$A$17,"product",A31,"FL/AZ","FL"),0)</f>
        <v>0</v>
      </c>
      <c r="D31" s="284">
        <f t="shared" si="11"/>
        <v>0</v>
      </c>
      <c r="E31" s="120">
        <f t="shared" si="16"/>
        <v>0.69981901303574467</v>
      </c>
      <c r="F31" s="282">
        <f t="shared" si="7"/>
        <v>0</v>
      </c>
      <c r="G31" s="282"/>
      <c r="H31" s="120">
        <f t="shared" si="6"/>
        <v>0.33377777777777778</v>
      </c>
      <c r="I31" s="282">
        <f t="shared" si="8"/>
        <v>0</v>
      </c>
      <c r="J31" s="119"/>
      <c r="K31"/>
      <c r="L31" s="282"/>
      <c r="M31"/>
      <c r="N31" s="157" t="s">
        <v>852</v>
      </c>
      <c r="O31" s="275">
        <f>D31-IFERROR(VLOOKUP(A31,'[1]FL WIP'!$A:$F,4,0),0)</f>
        <v>0</v>
      </c>
      <c r="Q31" s="431"/>
    </row>
    <row r="32" spans="1:17" ht="12.75" customHeight="1">
      <c r="A32" s="157" t="s">
        <v>1165</v>
      </c>
      <c r="B32" s="157" t="s">
        <v>1164</v>
      </c>
      <c r="C32" s="228">
        <f>IFERROR(GETPIVOTDATA("Sum of qty",PT!$A$17,"product",A32,"FL/AZ","FL"),0)</f>
        <v>0</v>
      </c>
      <c r="D32" s="284">
        <f t="shared" si="11"/>
        <v>0</v>
      </c>
      <c r="E32" s="120">
        <f t="shared" si="16"/>
        <v>0.69981901303574467</v>
      </c>
      <c r="F32" s="282">
        <f t="shared" si="7"/>
        <v>0</v>
      </c>
      <c r="G32" s="282"/>
      <c r="H32" s="120">
        <f t="shared" si="6"/>
        <v>0.33377777777777778</v>
      </c>
      <c r="I32" s="282">
        <f t="shared" si="8"/>
        <v>0</v>
      </c>
      <c r="J32" s="119"/>
      <c r="K32" s="275"/>
      <c r="L32" s="282"/>
      <c r="M32"/>
      <c r="N32" s="157" t="s">
        <v>852</v>
      </c>
      <c r="O32" s="275">
        <f>D32-IFERROR(VLOOKUP(A32,'[1]FL WIP'!$A:$F,4,0),0)</f>
        <v>0</v>
      </c>
      <c r="Q32" s="431"/>
    </row>
    <row r="33" spans="1:17" ht="12.75" customHeight="1">
      <c r="A33" s="157" t="s">
        <v>1166</v>
      </c>
      <c r="B33" s="157" t="s">
        <v>1167</v>
      </c>
      <c r="C33" s="228">
        <f>IFERROR(GETPIVOTDATA("Sum of qty",PT!$A$17,"product",A33,"FL/AZ","FL"),0)</f>
        <v>0</v>
      </c>
      <c r="D33" s="284">
        <f>C33*48</f>
        <v>0</v>
      </c>
      <c r="E33" s="120">
        <f t="shared" si="16"/>
        <v>0.69981901303574467</v>
      </c>
      <c r="F33" s="282">
        <f>D33*E33</f>
        <v>0</v>
      </c>
      <c r="G33" s="282"/>
      <c r="H33" s="120">
        <f t="shared" si="6"/>
        <v>0.33377777777777778</v>
      </c>
      <c r="I33" s="282">
        <f>H33*D33</f>
        <v>0</v>
      </c>
      <c r="J33" s="119">
        <v>12192</v>
      </c>
      <c r="K33" s="275">
        <f>D33</f>
        <v>0</v>
      </c>
      <c r="L33" s="282">
        <f>K33-J33</f>
        <v>-12192</v>
      </c>
      <c r="M33" s="282">
        <f>L33*0.0674</f>
        <v>-821.74080000000004</v>
      </c>
      <c r="N33" s="157" t="s">
        <v>852</v>
      </c>
      <c r="O33" s="275">
        <f>D33-IFERROR(VLOOKUP(A33,'[1]FL WIP'!$A:$F,4,0),0)</f>
        <v>0</v>
      </c>
      <c r="Q33" s="431"/>
    </row>
    <row r="34" spans="1:17" ht="12.75" customHeight="1">
      <c r="A34" s="157" t="s">
        <v>1037</v>
      </c>
      <c r="B34" s="157" t="s">
        <v>1168</v>
      </c>
      <c r="C34" s="228">
        <f>IFERROR(GETPIVOTDATA("Sum of qty",PT!$A$17,"product",A34,"FL/AZ","FL"),0)</f>
        <v>0</v>
      </c>
      <c r="D34" s="284">
        <f t="shared" ref="D34:D41" si="17">C34</f>
        <v>0</v>
      </c>
      <c r="E34" s="120"/>
      <c r="F34" s="282">
        <f>D34*E34</f>
        <v>0</v>
      </c>
      <c r="G34" s="282"/>
      <c r="H34" s="120">
        <f t="shared" si="6"/>
        <v>0.33377777777777778</v>
      </c>
      <c r="I34" s="282">
        <f>H34*D34</f>
        <v>0</v>
      </c>
      <c r="J34" s="119">
        <v>-626.73</v>
      </c>
      <c r="K34" s="275">
        <f t="shared" ref="K34:K41" si="18">D34</f>
        <v>0</v>
      </c>
      <c r="L34" s="282"/>
      <c r="M34" s="282"/>
      <c r="N34" s="157" t="s">
        <v>550</v>
      </c>
      <c r="O34" s="275">
        <f>D34-IFERROR(VLOOKUP(A34,'[1]FL WIP'!$A:$F,4,0),0)</f>
        <v>0</v>
      </c>
      <c r="Q34" s="431"/>
    </row>
    <row r="35" spans="1:17" ht="12.75" customHeight="1">
      <c r="A35" s="157" t="s">
        <v>1169</v>
      </c>
      <c r="B35" s="157" t="s">
        <v>1170</v>
      </c>
      <c r="C35" s="228">
        <f>IFERROR(GETPIVOTDATA("Sum of qty",PT!$A$17,"product",A35,"FL/AZ","FL"),0)</f>
        <v>0</v>
      </c>
      <c r="D35" s="284">
        <f t="shared" si="17"/>
        <v>0</v>
      </c>
      <c r="E35" s="120">
        <f t="shared" si="16"/>
        <v>0.69981901303574467</v>
      </c>
      <c r="F35" s="282">
        <f t="shared" ref="F35:F41" si="19">D35*E35</f>
        <v>0</v>
      </c>
      <c r="G35" s="282"/>
      <c r="H35" s="120">
        <f t="shared" si="6"/>
        <v>0.33377777777777778</v>
      </c>
      <c r="I35" s="282">
        <f t="shared" ref="I35:I41" si="20">H35*D35</f>
        <v>0</v>
      </c>
      <c r="J35" s="119">
        <v>0</v>
      </c>
      <c r="K35" s="275">
        <f t="shared" si="18"/>
        <v>0</v>
      </c>
      <c r="L35" s="282"/>
      <c r="M35" s="282"/>
      <c r="N35" s="157" t="s">
        <v>550</v>
      </c>
      <c r="O35" s="275">
        <f>D35-IFERROR(VLOOKUP(A35,'[1]FL WIP'!$A:$F,4,0),0)</f>
        <v>0</v>
      </c>
      <c r="Q35" s="431"/>
    </row>
    <row r="36" spans="1:17" ht="12.75" customHeight="1">
      <c r="A36" s="157" t="s">
        <v>1171</v>
      </c>
      <c r="B36" s="157" t="s">
        <v>1172</v>
      </c>
      <c r="C36" s="228">
        <f>IFERROR(GETPIVOTDATA("Sum of qty",PT!$A$17,"product",A36,"FL/AZ","FL"),0)</f>
        <v>0</v>
      </c>
      <c r="D36" s="284">
        <f t="shared" si="17"/>
        <v>0</v>
      </c>
      <c r="E36" s="120">
        <f t="shared" si="16"/>
        <v>0.69981901303574467</v>
      </c>
      <c r="F36" s="282">
        <f t="shared" ref="F36" si="21">D36*E36</f>
        <v>0</v>
      </c>
      <c r="G36" s="282"/>
      <c r="H36" s="120">
        <f t="shared" si="6"/>
        <v>0.33377777777777778</v>
      </c>
      <c r="I36" s="282">
        <f t="shared" ref="I36" si="22">H36*D36</f>
        <v>0</v>
      </c>
      <c r="J36" s="119">
        <v>0</v>
      </c>
      <c r="K36" s="275">
        <f t="shared" si="18"/>
        <v>0</v>
      </c>
      <c r="L36" s="282"/>
      <c r="M36" s="282"/>
      <c r="N36" s="157" t="s">
        <v>550</v>
      </c>
      <c r="O36" s="275">
        <f>D36-IFERROR(VLOOKUP(A36,'[1]FL WIP'!$A:$F,4,0),0)</f>
        <v>0</v>
      </c>
      <c r="Q36" s="431"/>
    </row>
    <row r="37" spans="1:17" ht="12.75" customHeight="1">
      <c r="A37" s="157" t="s">
        <v>1173</v>
      </c>
      <c r="B37" s="157" t="s">
        <v>1174</v>
      </c>
      <c r="C37" s="228">
        <f>IFERROR(GETPIVOTDATA("Sum of qty",PT!$A$17,"product",A37,"FL/AZ","FL"),0)</f>
        <v>0</v>
      </c>
      <c r="D37" s="284">
        <f t="shared" si="17"/>
        <v>0</v>
      </c>
      <c r="E37" s="120">
        <f t="shared" si="16"/>
        <v>0.69981901303574467</v>
      </c>
      <c r="F37" s="282">
        <f t="shared" si="19"/>
        <v>0</v>
      </c>
      <c r="G37" s="282"/>
      <c r="H37" s="120">
        <f t="shared" si="6"/>
        <v>0.33377777777777778</v>
      </c>
      <c r="I37" s="282">
        <f t="shared" si="20"/>
        <v>0</v>
      </c>
      <c r="J37" s="119">
        <v>686.5</v>
      </c>
      <c r="K37" s="275">
        <f t="shared" si="18"/>
        <v>0</v>
      </c>
      <c r="L37" s="282"/>
      <c r="M37" s="282"/>
      <c r="N37" s="157" t="s">
        <v>550</v>
      </c>
      <c r="O37" s="275">
        <f>D37-IFERROR(VLOOKUP(A37,'[1]FL WIP'!$A:$F,4,0),0)</f>
        <v>0</v>
      </c>
      <c r="Q37" s="431"/>
    </row>
    <row r="38" spans="1:17" ht="12.75" customHeight="1">
      <c r="A38" s="157" t="s">
        <v>1175</v>
      </c>
      <c r="B38" s="157" t="s">
        <v>1176</v>
      </c>
      <c r="C38" s="228">
        <f>IFERROR(GETPIVOTDATA("Sum of qty",PT!$A$17,"product",A38,"FL/AZ","FL"),0)</f>
        <v>0</v>
      </c>
      <c r="D38" s="284">
        <f t="shared" si="17"/>
        <v>0</v>
      </c>
      <c r="E38" s="120">
        <f t="shared" si="16"/>
        <v>0.69981901303574467</v>
      </c>
      <c r="F38" s="282">
        <f t="shared" ref="F38" si="23">D38*E38</f>
        <v>0</v>
      </c>
      <c r="G38" s="282"/>
      <c r="H38" s="120">
        <f t="shared" si="6"/>
        <v>0.33377777777777778</v>
      </c>
      <c r="I38" s="282">
        <f t="shared" ref="I38" si="24">H38*D38</f>
        <v>0</v>
      </c>
      <c r="J38" s="119">
        <v>0</v>
      </c>
      <c r="K38" s="275">
        <f t="shared" si="18"/>
        <v>0</v>
      </c>
      <c r="L38" s="282"/>
      <c r="M38" s="282"/>
      <c r="N38" s="157" t="s">
        <v>550</v>
      </c>
      <c r="O38" s="275">
        <f>D38-IFERROR(VLOOKUP(A38,'[1]FL WIP'!$A:$F,4,0),0)</f>
        <v>0</v>
      </c>
      <c r="Q38" s="431"/>
    </row>
    <row r="39" spans="1:17" ht="12.75" customHeight="1">
      <c r="A39" s="157" t="s">
        <v>1177</v>
      </c>
      <c r="B39" s="157" t="s">
        <v>1178</v>
      </c>
      <c r="C39" s="228">
        <f>IFERROR(GETPIVOTDATA("Sum of qty",PT!$A$17,"product",A39,"FL/AZ","FL"),0)</f>
        <v>0</v>
      </c>
      <c r="D39" s="284">
        <f t="shared" si="17"/>
        <v>0</v>
      </c>
      <c r="E39" s="120">
        <f t="shared" si="16"/>
        <v>0.69981901303574467</v>
      </c>
      <c r="F39" s="282">
        <f t="shared" si="19"/>
        <v>0</v>
      </c>
      <c r="G39" s="282"/>
      <c r="H39" s="120">
        <f t="shared" si="6"/>
        <v>0.33377777777777778</v>
      </c>
      <c r="I39" s="282">
        <f t="shared" si="20"/>
        <v>0</v>
      </c>
      <c r="J39" s="119">
        <v>6390.5</v>
      </c>
      <c r="K39" s="275">
        <f t="shared" si="18"/>
        <v>0</v>
      </c>
      <c r="L39" s="282"/>
      <c r="M39" s="282"/>
      <c r="N39" s="157" t="s">
        <v>550</v>
      </c>
      <c r="O39" s="275">
        <f>D39-IFERROR(VLOOKUP(A39,'[1]FL WIP'!$A:$F,4,0),0)</f>
        <v>0</v>
      </c>
      <c r="Q39" s="431"/>
    </row>
    <row r="40" spans="1:17" ht="12.75" customHeight="1">
      <c r="A40" s="157" t="s">
        <v>1179</v>
      </c>
      <c r="B40" s="157" t="s">
        <v>1180</v>
      </c>
      <c r="C40" s="228">
        <f>IFERROR(GETPIVOTDATA("Sum of qty",PT!$A$17,"product",A40,"FL/AZ","FL"),0)</f>
        <v>0</v>
      </c>
      <c r="D40" s="284">
        <f t="shared" si="17"/>
        <v>0</v>
      </c>
      <c r="E40" s="120">
        <f t="shared" si="16"/>
        <v>0.69981901303574467</v>
      </c>
      <c r="F40" s="282">
        <f t="shared" ref="F40" si="25">D40*E40</f>
        <v>0</v>
      </c>
      <c r="G40" s="282"/>
      <c r="H40" s="120">
        <f t="shared" si="6"/>
        <v>0.33377777777777778</v>
      </c>
      <c r="I40" s="282">
        <f t="shared" ref="I40" si="26">H40*D40</f>
        <v>0</v>
      </c>
      <c r="J40" s="119">
        <v>0</v>
      </c>
      <c r="K40" s="275">
        <f t="shared" si="18"/>
        <v>0</v>
      </c>
      <c r="L40" s="282"/>
      <c r="M40" s="282"/>
      <c r="N40" s="157" t="s">
        <v>550</v>
      </c>
      <c r="O40" s="275">
        <f>D40-IFERROR(VLOOKUP(A40,'[1]FL WIP'!$A:$F,4,0),0)</f>
        <v>0</v>
      </c>
      <c r="Q40" s="431"/>
    </row>
    <row r="41" spans="1:17" ht="12.75" customHeight="1">
      <c r="A41" s="157" t="s">
        <v>1181</v>
      </c>
      <c r="B41" s="157" t="s">
        <v>1182</v>
      </c>
      <c r="C41" s="228">
        <f>IFERROR(GETPIVOTDATA("Sum of qty",PT!$A$17,"product",A41,"FL/AZ","FL"),0)</f>
        <v>0</v>
      </c>
      <c r="D41" s="284">
        <f t="shared" si="17"/>
        <v>0</v>
      </c>
      <c r="E41" s="120">
        <f t="shared" si="16"/>
        <v>0.69981901303574467</v>
      </c>
      <c r="F41" s="282">
        <f t="shared" si="19"/>
        <v>0</v>
      </c>
      <c r="G41" s="282"/>
      <c r="H41" s="120">
        <f t="shared" si="6"/>
        <v>0.33377777777777778</v>
      </c>
      <c r="I41" s="282">
        <f t="shared" si="20"/>
        <v>0</v>
      </c>
      <c r="J41" s="119">
        <v>13381.5</v>
      </c>
      <c r="K41" s="275">
        <f t="shared" si="18"/>
        <v>0</v>
      </c>
      <c r="L41" s="282"/>
      <c r="M41" s="282"/>
      <c r="N41" s="157" t="s">
        <v>550</v>
      </c>
      <c r="O41" s="275">
        <f>D41-IFERROR(VLOOKUP(A41,'[1]FL WIP'!$A:$F,4,0),0)</f>
        <v>0</v>
      </c>
      <c r="Q41" s="431"/>
    </row>
    <row r="42" spans="1:17" ht="12.75" customHeight="1">
      <c r="A42" s="157" t="s">
        <v>1183</v>
      </c>
      <c r="B42" s="157" t="s">
        <v>1184</v>
      </c>
      <c r="C42" s="228">
        <f>IFERROR(GETPIVOTDATA("Sum of qty",PT!$A$17,"product",A42,"FL/AZ","FL"),0)</f>
        <v>0</v>
      </c>
      <c r="D42" s="284">
        <f t="shared" ref="D42" si="27">C42</f>
        <v>0</v>
      </c>
      <c r="E42" s="120">
        <f t="shared" si="16"/>
        <v>0.69981901303574467</v>
      </c>
      <c r="F42" s="282">
        <f t="shared" ref="F42" si="28">D42*E42</f>
        <v>0</v>
      </c>
      <c r="G42" s="282"/>
      <c r="H42" s="120">
        <f t="shared" si="6"/>
        <v>0.33377777777777778</v>
      </c>
      <c r="I42" s="282">
        <f t="shared" ref="I42" si="29">H42*D42</f>
        <v>0</v>
      </c>
      <c r="J42" s="119">
        <v>3486.2</v>
      </c>
      <c r="K42" s="275">
        <f t="shared" ref="K42:K43" si="30">D42</f>
        <v>0</v>
      </c>
      <c r="L42" s="282"/>
      <c r="M42" s="282"/>
      <c r="N42" s="157" t="s">
        <v>550</v>
      </c>
      <c r="O42" s="275">
        <f>D42-IFERROR(VLOOKUP(A42,'[1]FL WIP'!$A:$F,4,0),0)</f>
        <v>0</v>
      </c>
      <c r="Q42" s="431"/>
    </row>
    <row r="43" spans="1:17" ht="13.5" customHeight="1">
      <c r="A43" s="157" t="s">
        <v>166</v>
      </c>
      <c r="B43" s="193" t="s">
        <v>167</v>
      </c>
      <c r="C43" s="228">
        <f>IFERROR(GETPIVOTDATA("Sum of qty",PT!$A$17,"product",A43,"FL/AZ","FL"),0)</f>
        <v>5400</v>
      </c>
      <c r="D43" s="284">
        <f>C43</f>
        <v>5400</v>
      </c>
      <c r="E43" s="120">
        <f t="shared" si="16"/>
        <v>0.69981901303574467</v>
      </c>
      <c r="F43" s="282">
        <f>D43*E43</f>
        <v>3779.0226703930211</v>
      </c>
      <c r="G43" s="282"/>
      <c r="H43" s="383">
        <f>(9.5*3)/(4*45)</f>
        <v>0.15833333333333333</v>
      </c>
      <c r="I43" s="282">
        <f>H43*D43</f>
        <v>855</v>
      </c>
      <c r="J43" s="119">
        <v>0</v>
      </c>
      <c r="K43" s="275">
        <f t="shared" si="30"/>
        <v>5400</v>
      </c>
      <c r="L43" s="282">
        <f>K43-J43</f>
        <v>5400</v>
      </c>
      <c r="M43" s="282">
        <f>L43*0.0674</f>
        <v>363.96000000000004</v>
      </c>
      <c r="N43" s="157" t="s">
        <v>1185</v>
      </c>
      <c r="O43" s="275">
        <f>D43-IFERROR(VLOOKUP(A43,'[1]FL WIP'!$A:$F,4,0),0)</f>
        <v>0</v>
      </c>
      <c r="Q43" s="431"/>
    </row>
    <row r="44" spans="1:17" ht="12.75" customHeight="1">
      <c r="A44" s="157" t="s">
        <v>871</v>
      </c>
      <c r="B44" s="157" t="s">
        <v>872</v>
      </c>
      <c r="C44" s="228">
        <f>IFERROR(GETPIVOTDATA("Sum of qty",PT!$A$17,"product",A44,"FL/AZ","FL"),0)</f>
        <v>0</v>
      </c>
      <c r="D44" s="284">
        <f>C44*48</f>
        <v>0</v>
      </c>
      <c r="E44" s="120">
        <f t="shared" si="16"/>
        <v>0.69981901303574467</v>
      </c>
      <c r="F44" s="282">
        <f>D44*E44</f>
        <v>0</v>
      </c>
      <c r="G44" s="282"/>
      <c r="H44" s="120">
        <f t="shared" ref="H44:H68" si="31">$H$9</f>
        <v>0.33377777777777778</v>
      </c>
      <c r="I44" s="282">
        <f>H44*D44</f>
        <v>0</v>
      </c>
      <c r="J44" s="119">
        <v>0</v>
      </c>
      <c r="K44" s="275">
        <f t="shared" ref="K44:K64" si="32">D44</f>
        <v>0</v>
      </c>
      <c r="L44" s="282">
        <f>K44-J44</f>
        <v>0</v>
      </c>
      <c r="M44" s="282">
        <f>L44*0.0674</f>
        <v>0</v>
      </c>
      <c r="N44" s="157" t="s">
        <v>550</v>
      </c>
      <c r="O44" s="275">
        <f>D44-IFERROR(VLOOKUP(A44,'[1]FL WIP'!$A:$F,4,0),0)</f>
        <v>0</v>
      </c>
      <c r="Q44" s="431"/>
    </row>
    <row r="45" spans="1:17" ht="12.75" customHeight="1">
      <c r="A45" s="157" t="s">
        <v>1186</v>
      </c>
      <c r="B45" s="157" t="s">
        <v>872</v>
      </c>
      <c r="C45" s="228">
        <f>IFERROR(GETPIVOTDATA("Sum of qty",PT!$A$17,"product",A45,"FL/AZ","FL"),0)</f>
        <v>0</v>
      </c>
      <c r="D45" s="284">
        <f t="shared" ref="D45:D51" si="33">C45*45</f>
        <v>0</v>
      </c>
      <c r="E45" s="120">
        <f t="shared" si="16"/>
        <v>0.69981901303574467</v>
      </c>
      <c r="F45" s="282">
        <f t="shared" si="7"/>
        <v>0</v>
      </c>
      <c r="G45" s="282"/>
      <c r="H45" s="120">
        <f t="shared" si="31"/>
        <v>0.33377777777777778</v>
      </c>
      <c r="I45" s="282">
        <f t="shared" si="8"/>
        <v>0</v>
      </c>
      <c r="J45" s="119">
        <v>45</v>
      </c>
      <c r="K45" s="275">
        <f>D45</f>
        <v>0</v>
      </c>
      <c r="L45" s="282">
        <f>K45-J45</f>
        <v>-45</v>
      </c>
      <c r="M45" s="282">
        <f>L45*0.0674</f>
        <v>-3.0329999999999999</v>
      </c>
      <c r="N45" s="157" t="s">
        <v>550</v>
      </c>
      <c r="O45" s="275">
        <f>D45-IFERROR(VLOOKUP(A45,'[1]FL WIP'!$A:$F,4,0),0)</f>
        <v>0</v>
      </c>
      <c r="Q45" s="431"/>
    </row>
    <row r="46" spans="1:17" ht="12.75" customHeight="1">
      <c r="A46" s="157" t="s">
        <v>1187</v>
      </c>
      <c r="B46" s="157" t="s">
        <v>1188</v>
      </c>
      <c r="C46" s="228">
        <f>IFERROR(GETPIVOTDATA("Sum of qty",PT!$A$17,"product",A46,"FL/AZ","FL"),0)</f>
        <v>0</v>
      </c>
      <c r="D46" s="284">
        <f t="shared" si="33"/>
        <v>0</v>
      </c>
      <c r="E46" s="120">
        <f t="shared" si="16"/>
        <v>0.69981901303574467</v>
      </c>
      <c r="F46" s="282">
        <f t="shared" si="7"/>
        <v>0</v>
      </c>
      <c r="G46" s="282"/>
      <c r="H46" s="120">
        <f t="shared" si="31"/>
        <v>0.33377777777777778</v>
      </c>
      <c r="I46" s="282">
        <f t="shared" si="8"/>
        <v>0</v>
      </c>
      <c r="J46" s="119">
        <v>0</v>
      </c>
      <c r="K46" s="275">
        <f t="shared" si="32"/>
        <v>0</v>
      </c>
      <c r="L46" s="282">
        <f t="shared" ref="L46:L63" si="34">K46-J46</f>
        <v>0</v>
      </c>
      <c r="M46" s="282">
        <f>L46*0.0674</f>
        <v>0</v>
      </c>
      <c r="N46" s="157" t="s">
        <v>550</v>
      </c>
      <c r="O46" s="275">
        <f>D46-IFERROR(VLOOKUP(A46,'[1]FL WIP'!$A:$F,4,0),0)</f>
        <v>0</v>
      </c>
      <c r="Q46" s="431"/>
    </row>
    <row r="47" spans="1:17">
      <c r="A47" s="157" t="s">
        <v>880</v>
      </c>
      <c r="B47" s="157" t="s">
        <v>881</v>
      </c>
      <c r="C47" s="228">
        <f>IFERROR(GETPIVOTDATA("Sum of qty",PT!$A$17,"product",A47,"FL/AZ","FL"),0)</f>
        <v>0</v>
      </c>
      <c r="D47" s="284">
        <f t="shared" si="33"/>
        <v>0</v>
      </c>
      <c r="E47" s="120">
        <f t="shared" si="16"/>
        <v>0.69981901303574467</v>
      </c>
      <c r="F47" s="282">
        <f t="shared" si="7"/>
        <v>0</v>
      </c>
      <c r="G47" s="282"/>
      <c r="H47" s="120">
        <f>$H$9</f>
        <v>0.33377777777777778</v>
      </c>
      <c r="I47" s="282">
        <f t="shared" si="8"/>
        <v>0</v>
      </c>
      <c r="J47" s="119">
        <v>405</v>
      </c>
      <c r="K47" s="275">
        <f>D47</f>
        <v>0</v>
      </c>
      <c r="L47" s="282">
        <f t="shared" si="34"/>
        <v>-405</v>
      </c>
      <c r="M47" s="282">
        <f>L47*0.0674</f>
        <v>-27.297000000000001</v>
      </c>
      <c r="N47" s="157" t="s">
        <v>550</v>
      </c>
      <c r="O47" s="275">
        <f>D47-IFERROR(VLOOKUP(A47,'[1]FL WIP'!$A:$F,4,0),0)</f>
        <v>0</v>
      </c>
      <c r="Q47" s="431"/>
    </row>
    <row r="48" spans="1:17">
      <c r="A48" s="157" t="s">
        <v>879</v>
      </c>
      <c r="B48" s="157" t="s">
        <v>1189</v>
      </c>
      <c r="C48" s="228">
        <f>IFERROR(GETPIVOTDATA("Sum of qty",PT!$A$17,"product",A48,"FL/AZ","FL"),0)</f>
        <v>0</v>
      </c>
      <c r="D48" s="284">
        <f t="shared" si="33"/>
        <v>0</v>
      </c>
      <c r="E48" s="120">
        <f t="shared" si="16"/>
        <v>0.69981901303574467</v>
      </c>
      <c r="F48" s="282">
        <f t="shared" si="7"/>
        <v>0</v>
      </c>
      <c r="G48" s="282"/>
      <c r="H48" s="120">
        <f t="shared" si="31"/>
        <v>0.33377777777777778</v>
      </c>
      <c r="I48" s="282">
        <f t="shared" si="8"/>
        <v>0</v>
      </c>
      <c r="J48" s="119">
        <v>2115</v>
      </c>
      <c r="K48" s="275">
        <f t="shared" si="32"/>
        <v>0</v>
      </c>
      <c r="L48" s="282">
        <f t="shared" si="34"/>
        <v>-2115</v>
      </c>
      <c r="M48" s="282">
        <f t="shared" ref="M48:M64" si="35">L48*0.0674</f>
        <v>-142.55100000000002</v>
      </c>
      <c r="N48" s="157" t="s">
        <v>550</v>
      </c>
      <c r="O48" s="275">
        <f>D48-IFERROR(VLOOKUP(A48,'[1]FL WIP'!$A:$F,4,0),0)</f>
        <v>0</v>
      </c>
      <c r="Q48" s="431"/>
    </row>
    <row r="49" spans="1:17">
      <c r="A49" s="157" t="s">
        <v>1190</v>
      </c>
      <c r="B49" s="157" t="s">
        <v>1191</v>
      </c>
      <c r="C49" s="228">
        <f>IFERROR(GETPIVOTDATA("Sum of qty",PT!$A$17,"product",A49,"FL/AZ","FL"),0)</f>
        <v>0</v>
      </c>
      <c r="D49" s="284">
        <f t="shared" si="33"/>
        <v>0</v>
      </c>
      <c r="E49" s="120">
        <f t="shared" si="16"/>
        <v>0.69981901303574467</v>
      </c>
      <c r="F49" s="282">
        <f>D49*E49</f>
        <v>0</v>
      </c>
      <c r="G49" s="282"/>
      <c r="H49" s="120">
        <f t="shared" si="31"/>
        <v>0.33377777777777778</v>
      </c>
      <c r="I49" s="282">
        <f>H49*D49</f>
        <v>0</v>
      </c>
      <c r="J49" s="119">
        <v>0</v>
      </c>
      <c r="K49" s="275">
        <f>D49</f>
        <v>0</v>
      </c>
      <c r="L49" s="282">
        <f>K49-J49</f>
        <v>0</v>
      </c>
      <c r="M49" s="282">
        <f>L49*0.0674</f>
        <v>0</v>
      </c>
      <c r="N49" s="157" t="s">
        <v>550</v>
      </c>
      <c r="O49" s="275">
        <f>D49-IFERROR(VLOOKUP(A49,'[1]FL WIP'!$A:$F,4,0),0)</f>
        <v>0</v>
      </c>
      <c r="Q49" s="431"/>
    </row>
    <row r="50" spans="1:17">
      <c r="A50" s="157" t="s">
        <v>1076</v>
      </c>
      <c r="B50" s="157" t="s">
        <v>1077</v>
      </c>
      <c r="C50" s="228">
        <f>IFERROR(GETPIVOTDATA("Sum of qty",PT!$A$17,"product",A50,"FL/AZ","FL"),0)</f>
        <v>0</v>
      </c>
      <c r="D50" s="284">
        <f t="shared" si="33"/>
        <v>0</v>
      </c>
      <c r="E50" s="120">
        <f t="shared" si="16"/>
        <v>0.69981901303574467</v>
      </c>
      <c r="F50" s="282">
        <f t="shared" si="7"/>
        <v>0</v>
      </c>
      <c r="G50" s="282"/>
      <c r="H50" s="120">
        <f t="shared" si="31"/>
        <v>0.33377777777777778</v>
      </c>
      <c r="I50" s="282">
        <f t="shared" si="8"/>
        <v>0</v>
      </c>
      <c r="J50" s="119">
        <v>0</v>
      </c>
      <c r="K50" s="275">
        <f t="shared" si="32"/>
        <v>0</v>
      </c>
      <c r="L50" s="282">
        <f t="shared" si="34"/>
        <v>0</v>
      </c>
      <c r="M50" s="282">
        <f t="shared" si="35"/>
        <v>0</v>
      </c>
      <c r="N50" s="157" t="s">
        <v>550</v>
      </c>
      <c r="O50" s="275">
        <f>D50-IFERROR(VLOOKUP(A50,'[1]FL WIP'!$A:$F,4,0),0)</f>
        <v>0</v>
      </c>
      <c r="Q50" s="431"/>
    </row>
    <row r="51" spans="1:17">
      <c r="A51" s="157" t="s">
        <v>1192</v>
      </c>
      <c r="B51" s="157" t="s">
        <v>891</v>
      </c>
      <c r="C51" s="228">
        <f>IFERROR(GETPIVOTDATA("Sum of qty",PT!$A$17,"product",A51,"FL/AZ","FL"),0)</f>
        <v>0</v>
      </c>
      <c r="D51" s="284">
        <f t="shared" si="33"/>
        <v>0</v>
      </c>
      <c r="E51" s="120">
        <f t="shared" si="16"/>
        <v>0.69981901303574467</v>
      </c>
      <c r="F51" s="282">
        <f t="shared" si="7"/>
        <v>0</v>
      </c>
      <c r="G51" s="282"/>
      <c r="H51" s="120">
        <f t="shared" si="31"/>
        <v>0.33377777777777778</v>
      </c>
      <c r="I51" s="282">
        <f t="shared" si="8"/>
        <v>0</v>
      </c>
      <c r="J51" s="119">
        <v>0</v>
      </c>
      <c r="K51" s="275">
        <f t="shared" si="32"/>
        <v>0</v>
      </c>
      <c r="L51" s="282">
        <f t="shared" si="34"/>
        <v>0</v>
      </c>
      <c r="M51" s="282">
        <f>L51*0.0674</f>
        <v>0</v>
      </c>
      <c r="N51" s="157" t="s">
        <v>550</v>
      </c>
      <c r="O51" s="275">
        <f>D51-IFERROR(VLOOKUP(A51,'[1]FL WIP'!$A:$F,4,0),0)</f>
        <v>0</v>
      </c>
      <c r="Q51" s="431"/>
    </row>
    <row r="52" spans="1:17">
      <c r="A52" s="157" t="s">
        <v>882</v>
      </c>
      <c r="B52" s="157" t="s">
        <v>1193</v>
      </c>
      <c r="C52" s="228">
        <f>IFERROR(GETPIVOTDATA("Sum of qty",PT!$A$17,"product",A52,"FL/AZ","FL"),0)</f>
        <v>0</v>
      </c>
      <c r="D52" s="284">
        <f>C52*48</f>
        <v>0</v>
      </c>
      <c r="E52" s="120">
        <f t="shared" si="16"/>
        <v>0.69981901303574467</v>
      </c>
      <c r="F52" s="282">
        <f t="shared" si="7"/>
        <v>0</v>
      </c>
      <c r="G52" s="282"/>
      <c r="H52" s="120">
        <f t="shared" si="31"/>
        <v>0.33377777777777778</v>
      </c>
      <c r="I52" s="282">
        <f t="shared" si="8"/>
        <v>0</v>
      </c>
      <c r="J52" s="119">
        <v>0</v>
      </c>
      <c r="K52" s="275">
        <f t="shared" si="32"/>
        <v>0</v>
      </c>
      <c r="L52" s="282">
        <f t="shared" si="34"/>
        <v>0</v>
      </c>
      <c r="M52" s="282">
        <f t="shared" si="35"/>
        <v>0</v>
      </c>
      <c r="N52" s="157" t="s">
        <v>550</v>
      </c>
      <c r="O52" s="275">
        <f>D52-IFERROR(VLOOKUP(A52,'[1]FL WIP'!$A:$F,4,0),0)</f>
        <v>0</v>
      </c>
      <c r="Q52" s="431"/>
    </row>
    <row r="53" spans="1:17">
      <c r="A53" s="157" t="s">
        <v>1194</v>
      </c>
      <c r="B53" s="157" t="s">
        <v>1195</v>
      </c>
      <c r="C53" s="228">
        <f>IFERROR(GETPIVOTDATA("Sum of qty",PT!$A$17,"product",A53,"FL/AZ","FL"),0)</f>
        <v>0</v>
      </c>
      <c r="D53" s="284">
        <f>C53*48</f>
        <v>0</v>
      </c>
      <c r="E53" s="120">
        <f t="shared" si="16"/>
        <v>0.69981901303574467</v>
      </c>
      <c r="F53" s="282">
        <f t="shared" si="7"/>
        <v>0</v>
      </c>
      <c r="G53" s="282"/>
      <c r="H53" s="120">
        <f t="shared" si="31"/>
        <v>0.33377777777777778</v>
      </c>
      <c r="I53" s="282">
        <f t="shared" si="8"/>
        <v>0</v>
      </c>
      <c r="J53" s="119">
        <v>0</v>
      </c>
      <c r="K53" s="275">
        <f t="shared" si="32"/>
        <v>0</v>
      </c>
      <c r="L53" s="282">
        <f t="shared" si="34"/>
        <v>0</v>
      </c>
      <c r="M53" s="282">
        <f t="shared" si="35"/>
        <v>0</v>
      </c>
      <c r="N53" s="157" t="s">
        <v>550</v>
      </c>
      <c r="O53" s="275">
        <f>D53-IFERROR(VLOOKUP(A53,'[1]FL WIP'!$A:$F,4,0),0)</f>
        <v>0</v>
      </c>
      <c r="Q53" s="431"/>
    </row>
    <row r="54" spans="1:17">
      <c r="A54" s="157" t="s">
        <v>537</v>
      </c>
      <c r="B54" s="157" t="s">
        <v>2758</v>
      </c>
      <c r="C54" s="228">
        <f>IFERROR(GETPIVOTDATA("Sum of qty",PT!$A$17,"product",A54,"FL/AZ","FL"),0)</f>
        <v>5820</v>
      </c>
      <c r="D54" s="284">
        <f>C54</f>
        <v>5820</v>
      </c>
      <c r="E54" s="120">
        <f t="shared" si="16"/>
        <v>0.69981901303574467</v>
      </c>
      <c r="F54" s="282">
        <f>D54*E54</f>
        <v>4072.9466558680342</v>
      </c>
      <c r="G54" s="282"/>
      <c r="H54" s="120">
        <f>$H$9</f>
        <v>0.33377777777777778</v>
      </c>
      <c r="I54" s="282">
        <f>H54*C54</f>
        <v>1942.5866666666668</v>
      </c>
      <c r="J54" s="119">
        <v>0</v>
      </c>
      <c r="K54" s="275">
        <f>D54</f>
        <v>5820</v>
      </c>
      <c r="L54" s="282">
        <f>K54-J54</f>
        <v>5820</v>
      </c>
      <c r="M54" s="282">
        <f>L54*0.0674</f>
        <v>392.26800000000003</v>
      </c>
      <c r="N54" s="157" t="s">
        <v>550</v>
      </c>
      <c r="O54" s="275">
        <f>D54-IFERROR(VLOOKUP(A54,'[1]FL WIP'!$A:$F,4,0),0)</f>
        <v>-4788</v>
      </c>
      <c r="Q54" s="431"/>
    </row>
    <row r="55" spans="1:17">
      <c r="A55" s="157" t="s">
        <v>1196</v>
      </c>
      <c r="B55" s="157" t="s">
        <v>1197</v>
      </c>
      <c r="C55" s="228">
        <f>IFERROR(GETPIVOTDATA("Sum of qty",PT!$A$17,"product",A55,"FL/AZ","FL"),0)</f>
        <v>0</v>
      </c>
      <c r="D55" s="284">
        <f>C55</f>
        <v>0</v>
      </c>
      <c r="E55" s="120">
        <f t="shared" si="16"/>
        <v>0.69981901303574467</v>
      </c>
      <c r="F55" s="282">
        <f t="shared" ref="F55" si="36">D55*E55</f>
        <v>0</v>
      </c>
      <c r="G55" s="282"/>
      <c r="H55" s="120">
        <f t="shared" si="31"/>
        <v>0.33377777777777778</v>
      </c>
      <c r="I55" s="282">
        <f t="shared" ref="I55" si="37">H55*D55</f>
        <v>0</v>
      </c>
      <c r="J55" s="119">
        <v>0</v>
      </c>
      <c r="K55" s="275">
        <f t="shared" ref="K55" si="38">D55</f>
        <v>0</v>
      </c>
      <c r="L55" s="282">
        <f t="shared" ref="L55" si="39">K55-J55</f>
        <v>0</v>
      </c>
      <c r="M55" s="282">
        <f t="shared" ref="M55" si="40">L55*0.0674</f>
        <v>0</v>
      </c>
      <c r="N55" s="157" t="s">
        <v>1198</v>
      </c>
      <c r="O55" s="275">
        <f>D55-IFERROR(VLOOKUP(A55,'[1]FL WIP'!$A:$F,4,0),0)</f>
        <v>0</v>
      </c>
      <c r="Q55" s="431"/>
    </row>
    <row r="56" spans="1:17">
      <c r="A56" s="157" t="s">
        <v>1199</v>
      </c>
      <c r="B56" s="157" t="s">
        <v>1200</v>
      </c>
      <c r="C56" s="228">
        <f>IFERROR(GETPIVOTDATA("Sum of qty",PT!$A$17,"product",A56,"FL/AZ","FL"),0)</f>
        <v>0</v>
      </c>
      <c r="D56" s="284">
        <f>C56*48</f>
        <v>0</v>
      </c>
      <c r="E56" s="120">
        <f t="shared" si="16"/>
        <v>0.69981901303574467</v>
      </c>
      <c r="F56" s="282">
        <f t="shared" si="7"/>
        <v>0</v>
      </c>
      <c r="G56" s="282"/>
      <c r="H56" s="120">
        <f t="shared" si="31"/>
        <v>0.33377777777777778</v>
      </c>
      <c r="I56" s="282">
        <f t="shared" si="8"/>
        <v>0</v>
      </c>
      <c r="J56" s="119">
        <v>0</v>
      </c>
      <c r="K56" s="275">
        <f t="shared" si="32"/>
        <v>0</v>
      </c>
      <c r="L56" s="282">
        <f t="shared" si="34"/>
        <v>0</v>
      </c>
      <c r="M56" s="282">
        <f t="shared" si="35"/>
        <v>0</v>
      </c>
      <c r="N56" s="157" t="s">
        <v>550</v>
      </c>
      <c r="O56" s="275">
        <f>D56-IFERROR(VLOOKUP(A56,'[1]FL WIP'!$A:$F,4,0),0)</f>
        <v>0</v>
      </c>
      <c r="Q56" s="431"/>
    </row>
    <row r="57" spans="1:17">
      <c r="A57" s="157" t="s">
        <v>177</v>
      </c>
      <c r="B57" s="157" t="s">
        <v>178</v>
      </c>
      <c r="C57" s="228">
        <f>IFERROR(GETPIVOTDATA("Sum of qty",PT!$A$17,"product",A57,"FL/AZ","FL"),0)</f>
        <v>2352</v>
      </c>
      <c r="D57" s="284">
        <f>C57</f>
        <v>2352</v>
      </c>
      <c r="E57" s="120">
        <f t="shared" si="16"/>
        <v>0.69981901303574467</v>
      </c>
      <c r="F57" s="282">
        <f t="shared" ref="F57" si="41">D57*E57</f>
        <v>1645.9743186600715</v>
      </c>
      <c r="G57" s="282"/>
      <c r="H57" s="120">
        <f t="shared" si="31"/>
        <v>0.33377777777777778</v>
      </c>
      <c r="I57" s="282">
        <f t="shared" ref="I57" si="42">H57*D57</f>
        <v>785.04533333333336</v>
      </c>
      <c r="J57" s="119">
        <v>0</v>
      </c>
      <c r="K57" s="275">
        <f>D57</f>
        <v>2352</v>
      </c>
      <c r="L57" s="282">
        <f t="shared" ref="L57" si="43">K57-J57</f>
        <v>2352</v>
      </c>
      <c r="M57" s="282">
        <f t="shared" ref="M57" si="44">L57*0.0674</f>
        <v>158.5248</v>
      </c>
      <c r="N57" s="157" t="s">
        <v>550</v>
      </c>
      <c r="O57" s="275">
        <f>D57-IFERROR(VLOOKUP(A57,'[1]FL WIP'!$A:$F,4,0),0)</f>
        <v>-163</v>
      </c>
      <c r="Q57" s="431"/>
    </row>
    <row r="58" spans="1:17">
      <c r="A58" s="157" t="s">
        <v>1201</v>
      </c>
      <c r="B58" s="157" t="s">
        <v>1202</v>
      </c>
      <c r="C58" s="228">
        <f>IFERROR(GETPIVOTDATA("Sum of qty",PT!$A$17,"product",A58,"FL/AZ","FL"),0)</f>
        <v>0</v>
      </c>
      <c r="D58" s="284">
        <f>C58*45</f>
        <v>0</v>
      </c>
      <c r="E58" s="120">
        <f t="shared" si="16"/>
        <v>0.69981901303574467</v>
      </c>
      <c r="F58" s="282">
        <f t="shared" si="7"/>
        <v>0</v>
      </c>
      <c r="G58" s="282"/>
      <c r="H58" s="120">
        <f t="shared" si="31"/>
        <v>0.33377777777777778</v>
      </c>
      <c r="I58" s="282">
        <f t="shared" si="8"/>
        <v>0</v>
      </c>
      <c r="J58" s="119">
        <v>0</v>
      </c>
      <c r="K58" s="275">
        <f t="shared" si="32"/>
        <v>0</v>
      </c>
      <c r="L58" s="282">
        <f t="shared" si="34"/>
        <v>0</v>
      </c>
      <c r="M58" s="282">
        <f>L58*0.0674</f>
        <v>0</v>
      </c>
      <c r="N58" s="157" t="s">
        <v>550</v>
      </c>
      <c r="O58" s="275">
        <f>D58-IFERROR(VLOOKUP(A58,'[1]FL WIP'!$A:$F,4,0),0)</f>
        <v>0</v>
      </c>
      <c r="Q58" s="431"/>
    </row>
    <row r="59" spans="1:17">
      <c r="A59" s="157" t="s">
        <v>1203</v>
      </c>
      <c r="B59" s="157" t="s">
        <v>1204</v>
      </c>
      <c r="C59" s="228">
        <f>IFERROR(GETPIVOTDATA("Sum of qty",PT!$A$17,"product",A59,"FL/AZ","FL"),0)</f>
        <v>0</v>
      </c>
      <c r="D59" s="284">
        <f>C59*45</f>
        <v>0</v>
      </c>
      <c r="E59" s="120">
        <f t="shared" si="16"/>
        <v>0.69981901303574467</v>
      </c>
      <c r="F59" s="282">
        <f t="shared" si="7"/>
        <v>0</v>
      </c>
      <c r="G59" s="282"/>
      <c r="H59" s="120">
        <f t="shared" si="31"/>
        <v>0.33377777777777778</v>
      </c>
      <c r="I59" s="282">
        <f t="shared" si="8"/>
        <v>0</v>
      </c>
      <c r="J59" s="119">
        <v>0</v>
      </c>
      <c r="K59" s="275">
        <f t="shared" si="32"/>
        <v>0</v>
      </c>
      <c r="L59" s="282">
        <f t="shared" si="34"/>
        <v>0</v>
      </c>
      <c r="M59" s="282">
        <f>L59*0.0674</f>
        <v>0</v>
      </c>
      <c r="N59" s="157" t="s">
        <v>550</v>
      </c>
      <c r="O59" s="275">
        <f>D59-IFERROR(VLOOKUP(A59,'[1]FL WIP'!$A:$F,4,0),0)</f>
        <v>0</v>
      </c>
      <c r="Q59" s="431"/>
    </row>
    <row r="60" spans="1:17">
      <c r="A60" s="157" t="s">
        <v>1205</v>
      </c>
      <c r="B60" s="157" t="s">
        <v>1206</v>
      </c>
      <c r="C60" s="228">
        <f>IFERROR(GETPIVOTDATA("Sum of qty",PT!$A$17,"product",A60,"FL/AZ","FL"),0)</f>
        <v>0</v>
      </c>
      <c r="D60" s="284">
        <f>C60*48</f>
        <v>0</v>
      </c>
      <c r="E60" s="120">
        <f t="shared" si="16"/>
        <v>0.69981901303574467</v>
      </c>
      <c r="F60" s="282">
        <f>D60*E60</f>
        <v>0</v>
      </c>
      <c r="G60" s="282"/>
      <c r="H60" s="120">
        <f t="shared" si="31"/>
        <v>0.33377777777777778</v>
      </c>
      <c r="I60" s="282">
        <f>H60*D60</f>
        <v>0</v>
      </c>
      <c r="J60" s="119">
        <v>0</v>
      </c>
      <c r="K60" s="275">
        <f t="shared" si="32"/>
        <v>0</v>
      </c>
      <c r="L60" s="282">
        <f>K60-J60</f>
        <v>0</v>
      </c>
      <c r="M60" s="282">
        <f>L60*0.0674</f>
        <v>0</v>
      </c>
      <c r="N60" s="157" t="s">
        <v>550</v>
      </c>
      <c r="O60" s="275">
        <f>D60-IFERROR(VLOOKUP(A60,'[1]FL WIP'!$A:$F,4,0),0)</f>
        <v>0</v>
      </c>
      <c r="Q60" s="431"/>
    </row>
    <row r="61" spans="1:17">
      <c r="A61" s="157" t="s">
        <v>897</v>
      </c>
      <c r="B61" s="157"/>
      <c r="C61" s="228">
        <f>IFERROR(GETPIVOTDATA("Sum of qty",PT!$A$17,"product",A61,"FL/AZ","FL"),0)</f>
        <v>0</v>
      </c>
      <c r="D61" s="284">
        <f>C61*48</f>
        <v>0</v>
      </c>
      <c r="E61" s="120">
        <f t="shared" si="16"/>
        <v>0.69981901303574467</v>
      </c>
      <c r="F61" s="282">
        <f>D61*E61</f>
        <v>0</v>
      </c>
      <c r="G61" s="282"/>
      <c r="H61" s="120">
        <f t="shared" si="31"/>
        <v>0.33377777777777778</v>
      </c>
      <c r="I61" s="282">
        <f>H61*D61</f>
        <v>0</v>
      </c>
      <c r="J61" s="119">
        <v>0</v>
      </c>
      <c r="K61" s="275">
        <f t="shared" ref="K61" si="45">D61</f>
        <v>0</v>
      </c>
      <c r="L61" s="282">
        <f>K61-J61</f>
        <v>0</v>
      </c>
      <c r="M61" s="282">
        <f>L61*0.0674</f>
        <v>0</v>
      </c>
      <c r="N61" s="157" t="s">
        <v>1207</v>
      </c>
      <c r="O61" s="275">
        <f>D61-IFERROR(VLOOKUP(A61,'[1]FL WIP'!$A:$F,4,0),0)</f>
        <v>0</v>
      </c>
      <c r="Q61" s="431"/>
    </row>
    <row r="62" spans="1:17">
      <c r="A62" s="157" t="s">
        <v>1208</v>
      </c>
      <c r="B62" s="157" t="s">
        <v>1209</v>
      </c>
      <c r="C62" s="228">
        <f>IFERROR(GETPIVOTDATA("Sum of qty",PT!$A$17,"product",A62,"FL/AZ","FL"),0)</f>
        <v>0</v>
      </c>
      <c r="D62" s="284">
        <f>C62*45</f>
        <v>0</v>
      </c>
      <c r="E62" s="120">
        <f t="shared" si="16"/>
        <v>0.69981901303574467</v>
      </c>
      <c r="F62" s="282">
        <f t="shared" si="7"/>
        <v>0</v>
      </c>
      <c r="G62" s="282"/>
      <c r="H62" s="120">
        <f t="shared" si="31"/>
        <v>0.33377777777777778</v>
      </c>
      <c r="I62" s="282">
        <f t="shared" si="8"/>
        <v>0</v>
      </c>
      <c r="J62" s="119">
        <v>360</v>
      </c>
      <c r="K62" s="275">
        <f t="shared" si="32"/>
        <v>0</v>
      </c>
      <c r="L62" s="282">
        <f t="shared" si="34"/>
        <v>-360</v>
      </c>
      <c r="M62" s="282">
        <f t="shared" si="35"/>
        <v>-24.263999999999999</v>
      </c>
      <c r="N62" s="157" t="s">
        <v>1207</v>
      </c>
      <c r="O62" s="275">
        <f>D62-IFERROR(VLOOKUP(A62,'[1]FL WIP'!$A:$F,4,0),0)</f>
        <v>0</v>
      </c>
      <c r="Q62" s="431"/>
    </row>
    <row r="63" spans="1:17">
      <c r="A63" s="157" t="s">
        <v>1210</v>
      </c>
      <c r="B63" s="157" t="s">
        <v>900</v>
      </c>
      <c r="C63" s="228">
        <f>IFERROR(GETPIVOTDATA("Sum of qty",PT!$A$17,"product",A63,"FL/AZ","FL"),0)</f>
        <v>0</v>
      </c>
      <c r="D63" s="284">
        <f>C63*48</f>
        <v>0</v>
      </c>
      <c r="E63" s="120">
        <f t="shared" si="16"/>
        <v>0.69981901303574467</v>
      </c>
      <c r="F63" s="282">
        <f t="shared" si="7"/>
        <v>0</v>
      </c>
      <c r="G63" s="282"/>
      <c r="H63" s="120">
        <f t="shared" si="31"/>
        <v>0.33377777777777778</v>
      </c>
      <c r="I63" s="282">
        <f t="shared" si="8"/>
        <v>0</v>
      </c>
      <c r="J63" s="119">
        <v>1440</v>
      </c>
      <c r="K63" s="275">
        <f>D63</f>
        <v>0</v>
      </c>
      <c r="L63" s="282">
        <f t="shared" si="34"/>
        <v>-1440</v>
      </c>
      <c r="M63" s="282">
        <f t="shared" si="35"/>
        <v>-97.055999999999997</v>
      </c>
      <c r="N63" s="157" t="s">
        <v>1207</v>
      </c>
      <c r="O63" s="275">
        <f>D63-IFERROR(VLOOKUP(A63,'[1]FL WIP'!$A:$F,4,0),0)</f>
        <v>0</v>
      </c>
      <c r="Q63" s="431"/>
    </row>
    <row r="64" spans="1:17">
      <c r="A64" s="157" t="s">
        <v>1211</v>
      </c>
      <c r="B64" s="157" t="s">
        <v>1212</v>
      </c>
      <c r="C64" s="228">
        <f>IFERROR(GETPIVOTDATA("Sum of qty",PT!$A$17,"product",A64,"FL/AZ","FL"),0)</f>
        <v>0</v>
      </c>
      <c r="D64" s="284">
        <f>C64*48</f>
        <v>0</v>
      </c>
      <c r="E64" s="120">
        <f t="shared" si="16"/>
        <v>0.69981901303574467</v>
      </c>
      <c r="F64" s="282">
        <f t="shared" si="7"/>
        <v>0</v>
      </c>
      <c r="G64" s="282"/>
      <c r="H64" s="120">
        <f t="shared" si="31"/>
        <v>0.33377777777777778</v>
      </c>
      <c r="I64" s="282">
        <f t="shared" si="8"/>
        <v>0</v>
      </c>
      <c r="J64" s="119">
        <v>0</v>
      </c>
      <c r="K64" s="275">
        <f t="shared" si="32"/>
        <v>0</v>
      </c>
      <c r="L64" s="282">
        <v>0</v>
      </c>
      <c r="M64" s="282">
        <f t="shared" si="35"/>
        <v>0</v>
      </c>
      <c r="N64" s="157" t="s">
        <v>1207</v>
      </c>
      <c r="O64" s="275">
        <f>D64-IFERROR(VLOOKUP(A64,'[1]FL WIP'!$A:$F,4,0),0)</f>
        <v>0</v>
      </c>
      <c r="Q64" s="431"/>
    </row>
    <row r="65" spans="1:17">
      <c r="A65" s="157" t="s">
        <v>1213</v>
      </c>
      <c r="B65" s="157" t="s">
        <v>1214</v>
      </c>
      <c r="C65" s="228">
        <f>IFERROR(GETPIVOTDATA("Sum of qty",PT!$A$17,"product",A65,"FL/AZ","FL"),0)</f>
        <v>0</v>
      </c>
      <c r="D65" s="284">
        <f>C65*48</f>
        <v>0</v>
      </c>
      <c r="E65" s="120">
        <f t="shared" si="16"/>
        <v>0.69981901303574467</v>
      </c>
      <c r="F65" s="282">
        <f t="shared" si="7"/>
        <v>0</v>
      </c>
      <c r="G65" s="282"/>
      <c r="H65" s="120">
        <f t="shared" si="31"/>
        <v>0.33377777777777778</v>
      </c>
      <c r="I65" s="282"/>
      <c r="J65" s="119"/>
      <c r="K65" s="275"/>
      <c r="L65" s="282"/>
      <c r="M65" s="282"/>
      <c r="N65" s="157" t="s">
        <v>1215</v>
      </c>
      <c r="O65" s="275">
        <f>D65-IFERROR(VLOOKUP(A65,'[1]FL WIP'!$A:$F,4,0),0)</f>
        <v>0</v>
      </c>
      <c r="Q65" s="431"/>
    </row>
    <row r="66" spans="1:17">
      <c r="A66" s="157" t="s">
        <v>1216</v>
      </c>
      <c r="B66" s="157" t="s">
        <v>1214</v>
      </c>
      <c r="C66" s="228">
        <f>IFERROR(GETPIVOTDATA("Sum of qty",PT!$A$17,"product",A66,"FL/AZ","FL"),0)</f>
        <v>0</v>
      </c>
      <c r="D66" s="284">
        <v>0</v>
      </c>
      <c r="E66" s="120">
        <f t="shared" si="16"/>
        <v>0.69981901303574467</v>
      </c>
      <c r="F66" s="282">
        <f t="shared" si="7"/>
        <v>0</v>
      </c>
      <c r="G66" s="282"/>
      <c r="H66" s="120">
        <f t="shared" si="31"/>
        <v>0.33377777777777778</v>
      </c>
      <c r="I66" s="282"/>
      <c r="J66" s="119"/>
      <c r="K66" s="275"/>
      <c r="L66" s="282"/>
      <c r="M66"/>
      <c r="N66" s="157" t="s">
        <v>1215</v>
      </c>
      <c r="O66" s="275">
        <f>D66-IFERROR(VLOOKUP(A66,'[1]FL WIP'!$A:$F,4,0),0)</f>
        <v>0</v>
      </c>
      <c r="Q66" s="431"/>
    </row>
    <row r="67" spans="1:17">
      <c r="A67" s="157" t="s">
        <v>908</v>
      </c>
      <c r="B67" s="157" t="s">
        <v>909</v>
      </c>
      <c r="C67" s="228">
        <f>IFERROR(GETPIVOTDATA("Sum of qty",PT!$A$17,"product",A67,"FL/AZ","FL"),0)</f>
        <v>0</v>
      </c>
      <c r="D67" s="284">
        <v>0</v>
      </c>
      <c r="E67" s="120">
        <f t="shared" si="16"/>
        <v>0.69981901303574467</v>
      </c>
      <c r="F67" s="282">
        <f t="shared" si="7"/>
        <v>0</v>
      </c>
      <c r="G67" s="282"/>
      <c r="H67" s="120">
        <f t="shared" si="31"/>
        <v>0.33377777777777778</v>
      </c>
      <c r="I67" s="282"/>
      <c r="J67" s="119"/>
      <c r="K67"/>
      <c r="L67" s="282"/>
      <c r="M67"/>
      <c r="N67" s="157" t="s">
        <v>1215</v>
      </c>
      <c r="O67" s="275">
        <f>D67-IFERROR(VLOOKUP(A67,'[1]FL WIP'!$A:$F,4,0),0)</f>
        <v>0</v>
      </c>
      <c r="Q67" s="431"/>
    </row>
    <row r="68" spans="1:17">
      <c r="A68" s="157" t="s">
        <v>1217</v>
      </c>
      <c r="B68" s="157" t="s">
        <v>1218</v>
      </c>
      <c r="C68" s="228">
        <f>IFERROR(GETPIVOTDATA("Sum of qty",PT!$A$17,"product",A68,"FL/AZ","FL"),0)</f>
        <v>0</v>
      </c>
      <c r="D68" s="284">
        <v>0</v>
      </c>
      <c r="E68" s="120">
        <f t="shared" si="16"/>
        <v>0.69981901303574467</v>
      </c>
      <c r="F68" s="282">
        <f t="shared" si="7"/>
        <v>0</v>
      </c>
      <c r="G68" s="282"/>
      <c r="H68" s="120">
        <f t="shared" si="31"/>
        <v>0.33377777777777778</v>
      </c>
      <c r="I68" s="282"/>
      <c r="J68" s="119"/>
      <c r="K68"/>
      <c r="L68" s="282"/>
      <c r="M68"/>
      <c r="N68" s="157" t="s">
        <v>852</v>
      </c>
      <c r="O68" s="275">
        <f>D68-IFERROR(VLOOKUP(A68,'[1]FL WIP'!$A:$F,4,0),0)</f>
        <v>0</v>
      </c>
      <c r="Q68" s="431"/>
    </row>
    <row r="69" spans="1:17">
      <c r="A69"/>
      <c r="B69"/>
      <c r="C69"/>
      <c r="D69"/>
      <c r="E69" s="282"/>
      <c r="F69" s="282"/>
      <c r="G69" s="282"/>
      <c r="H69" s="282"/>
      <c r="I69" s="282"/>
      <c r="J69"/>
      <c r="K69"/>
      <c r="L69" s="282"/>
      <c r="M69"/>
      <c r="N69" s="157"/>
      <c r="O69" s="275"/>
      <c r="Q69" s="431"/>
    </row>
    <row r="70" spans="1:17">
      <c r="A70"/>
      <c r="B70" s="15" t="s">
        <v>1219</v>
      </c>
      <c r="C70" s="14">
        <f>SUM(C8:C69)</f>
        <v>412877.99</v>
      </c>
      <c r="D70" s="14">
        <f>SUM(D8:D69)</f>
        <v>412877.99</v>
      </c>
      <c r="E70" s="98"/>
      <c r="F70" s="98">
        <f>SUM(F8:F69)</f>
        <v>9497.9436449211262</v>
      </c>
      <c r="G70" s="98"/>
      <c r="H70" s="98"/>
      <c r="I70" s="98">
        <f>SUM(I8:I69)</f>
        <v>41516.701050000003</v>
      </c>
      <c r="J70" s="98">
        <v>39874.97</v>
      </c>
      <c r="K70" s="98">
        <f>SUM(K8:K69)</f>
        <v>13572</v>
      </c>
      <c r="L70" s="98">
        <f>SUM(L8:L69)</f>
        <v>-2985</v>
      </c>
      <c r="M70" s="98">
        <f>SUM(M8:M69)</f>
        <v>-201.18900000000005</v>
      </c>
      <c r="N70" s="157"/>
      <c r="O70" s="275"/>
      <c r="Q70" s="431"/>
    </row>
    <row r="71" spans="1:17">
      <c r="A71"/>
      <c r="B71" s="15"/>
      <c r="C71" s="14"/>
      <c r="D71" s="14"/>
      <c r="E71" s="98"/>
      <c r="F71" s="98"/>
      <c r="G71" s="98"/>
      <c r="H71" s="98"/>
      <c r="I71" s="98"/>
      <c r="J71" s="98"/>
      <c r="K71" s="98"/>
      <c r="L71" s="98"/>
      <c r="M71" s="98"/>
      <c r="N71" s="157"/>
      <c r="O71" s="275"/>
      <c r="Q71" s="431"/>
    </row>
    <row r="72" spans="1:17">
      <c r="A72"/>
      <c r="B72" s="15"/>
      <c r="C72" s="14"/>
      <c r="D72" s="14"/>
      <c r="E72" s="282"/>
      <c r="F72" s="98"/>
      <c r="G72" s="98"/>
      <c r="H72" s="98"/>
      <c r="I72" s="98"/>
      <c r="J72"/>
      <c r="K72"/>
      <c r="L72" s="282"/>
      <c r="M72"/>
      <c r="N72" s="157"/>
      <c r="O72" s="275"/>
      <c r="Q72" s="431"/>
    </row>
    <row r="73" spans="1:17">
      <c r="A73" s="157" t="s">
        <v>394</v>
      </c>
      <c r="B73" s="157" t="s">
        <v>395</v>
      </c>
      <c r="C73" s="228">
        <f>IFERROR(GETPIVOTDATA("Sum of qty",PT!$A$17,"product",A73,"FL/AZ","FL"),0)</f>
        <v>75244</v>
      </c>
      <c r="D73" s="275">
        <f>C73*0.078123</f>
        <v>5878.2870119999998</v>
      </c>
      <c r="E73" s="120">
        <f>+$E$13</f>
        <v>0.69981901303574467</v>
      </c>
      <c r="F73" s="282">
        <f>D73*E73</f>
        <v>4113.7370150786764</v>
      </c>
      <c r="G73" s="282"/>
      <c r="H73" s="282"/>
      <c r="I73" s="282"/>
      <c r="J73" s="109"/>
      <c r="K73"/>
      <c r="L73" s="282"/>
      <c r="M73"/>
      <c r="N73" s="157" t="s">
        <v>1215</v>
      </c>
      <c r="O73" s="275">
        <f>D73-IFERROR(VLOOKUP(A73,'[1]FL WIP'!$A:$F,4,0),0)</f>
        <v>382.80270000000019</v>
      </c>
      <c r="Q73" s="431"/>
    </row>
    <row r="74" spans="1:17">
      <c r="A74" s="157" t="s">
        <v>373</v>
      </c>
      <c r="B74" s="157" t="s">
        <v>374</v>
      </c>
      <c r="C74" s="228">
        <f>IFERROR(GETPIVOTDATA("Sum of qty",PT!$A$17,"product",A74,"FL/AZ","FL"),0)</f>
        <v>94127</v>
      </c>
      <c r="D74" s="275">
        <f t="shared" ref="D74:D76" si="46">C74*0.078123</f>
        <v>7353.4836209999994</v>
      </c>
      <c r="E74" s="120">
        <f t="shared" ref="E74:E76" si="47">+$E$13</f>
        <v>0.69981901303574467</v>
      </c>
      <c r="F74" s="282">
        <f t="shared" ref="F74:F76" si="48">D74*E74</f>
        <v>5146.1076500227337</v>
      </c>
      <c r="G74" s="282"/>
      <c r="H74" s="282"/>
      <c r="I74" s="282"/>
      <c r="J74" s="109"/>
      <c r="K74"/>
      <c r="L74" s="282"/>
      <c r="M74"/>
      <c r="N74" s="157" t="s">
        <v>1215</v>
      </c>
      <c r="O74" s="275">
        <f>D74-IFERROR(VLOOKUP(A74,'[1]FL WIP'!$A:$F,4,0),0)</f>
        <v>911.46104099999957</v>
      </c>
      <c r="Q74" s="431"/>
    </row>
    <row r="75" spans="1:17">
      <c r="A75" s="157" t="s">
        <v>436</v>
      </c>
      <c r="B75" s="157" t="s">
        <v>437</v>
      </c>
      <c r="C75" s="228">
        <f>IFERROR(GETPIVOTDATA("Sum of qty",PT!$A$17,"product",A75,"FL/AZ","FL"),0)</f>
        <v>112287</v>
      </c>
      <c r="D75" s="275">
        <f t="shared" si="46"/>
        <v>8772.1973010000002</v>
      </c>
      <c r="E75" s="120">
        <f t="shared" si="47"/>
        <v>0.69981901303574467</v>
      </c>
      <c r="F75" s="282">
        <f t="shared" si="48"/>
        <v>6138.950457340643</v>
      </c>
      <c r="G75" s="282"/>
      <c r="H75" s="282"/>
      <c r="I75" s="282"/>
      <c r="J75" s="109"/>
      <c r="K75"/>
      <c r="L75" s="282"/>
      <c r="M75"/>
      <c r="N75" s="157" t="s">
        <v>1215</v>
      </c>
      <c r="O75" s="275">
        <f>D75-IFERROR(VLOOKUP(A75,'[1]FL WIP'!$A:$F,4,0),0)</f>
        <v>1280.592216</v>
      </c>
      <c r="Q75" s="431"/>
    </row>
    <row r="76" spans="1:17">
      <c r="A76" s="157" t="s">
        <v>441</v>
      </c>
      <c r="B76" s="157" t="s">
        <v>442</v>
      </c>
      <c r="C76" s="228">
        <f>IFERROR(GETPIVOTDATA("Sum of qty",PT!$A$17,"product",A76,"FL/AZ","FL"),0)</f>
        <v>113179</v>
      </c>
      <c r="D76" s="275">
        <f t="shared" si="46"/>
        <v>8841.8830170000001</v>
      </c>
      <c r="E76" s="120">
        <f t="shared" si="47"/>
        <v>0.69981901303574467</v>
      </c>
      <c r="F76" s="282">
        <f t="shared" si="48"/>
        <v>6187.7178463344526</v>
      </c>
      <c r="G76" s="282"/>
      <c r="H76" s="282"/>
      <c r="I76" s="282"/>
      <c r="J76" s="109"/>
      <c r="K76"/>
      <c r="L76" s="282"/>
      <c r="M76"/>
      <c r="N76" s="157" t="s">
        <v>1215</v>
      </c>
      <c r="O76" s="275">
        <f>D76-IFERROR(VLOOKUP(A76,'[1]FL WIP'!$A:$F,4,0),0)</f>
        <v>3667.0936200000006</v>
      </c>
      <c r="Q76" s="431"/>
    </row>
    <row r="77" spans="1:17">
      <c r="A77" s="157" t="s">
        <v>1220</v>
      </c>
      <c r="B77" s="157" t="s">
        <v>1221</v>
      </c>
      <c r="C77" s="228">
        <f>IFERROR(GETPIVOTDATA("Sum of qty",PT!$A$17,"product",A77,"FL/AZ","FL"),0)</f>
        <v>0</v>
      </c>
      <c r="D77" s="275">
        <f t="shared" ref="D77:D254" si="49">C77</f>
        <v>0</v>
      </c>
      <c r="E77" s="120">
        <f t="shared" ref="E77:E116" si="50">+$E$13</f>
        <v>0.69981901303574467</v>
      </c>
      <c r="F77" s="282">
        <f t="shared" ref="F77:F121" si="51">D77*E77</f>
        <v>0</v>
      </c>
      <c r="G77" s="282"/>
      <c r="H77" s="282"/>
      <c r="I77" s="282"/>
      <c r="J77" s="109"/>
      <c r="K77"/>
      <c r="L77" s="282"/>
      <c r="M77"/>
      <c r="N77" s="157" t="s">
        <v>1215</v>
      </c>
      <c r="O77" s="275">
        <f>D77-IFERROR(VLOOKUP(A77,'[1]FL WIP'!$A:$F,4,0),0)</f>
        <v>0</v>
      </c>
      <c r="Q77" s="431"/>
    </row>
    <row r="78" spans="1:17">
      <c r="A78" s="157" t="s">
        <v>1222</v>
      </c>
      <c r="B78" s="157" t="s">
        <v>1223</v>
      </c>
      <c r="C78" s="228">
        <f>IFERROR(GETPIVOTDATA("Sum of qty",PT!$A$17,"product",A78,"FL/AZ","FL"),0)</f>
        <v>0</v>
      </c>
      <c r="D78" s="275">
        <f t="shared" ref="D78:D91" si="52">C78</f>
        <v>0</v>
      </c>
      <c r="E78" s="120">
        <f t="shared" si="50"/>
        <v>0.69981901303574467</v>
      </c>
      <c r="F78" s="282">
        <f t="shared" si="51"/>
        <v>0</v>
      </c>
      <c r="G78" s="282"/>
      <c r="H78" s="282"/>
      <c r="I78" s="282"/>
      <c r="J78" s="109"/>
      <c r="K78"/>
      <c r="L78" s="282"/>
      <c r="M78"/>
      <c r="N78" s="157" t="s">
        <v>1215</v>
      </c>
      <c r="O78" s="275">
        <f>D78-IFERROR(VLOOKUP(A78,'[1]FL WIP'!$A:$F,4,0),0)</f>
        <v>0</v>
      </c>
      <c r="Q78" s="431"/>
    </row>
    <row r="79" spans="1:17">
      <c r="A79" s="157" t="s">
        <v>1224</v>
      </c>
      <c r="B79" s="157" t="s">
        <v>1225</v>
      </c>
      <c r="C79" s="228">
        <f>IFERROR(GETPIVOTDATA("Sum of qty",PT!$A$17,"product",A79,"FL/AZ","FL"),0)</f>
        <v>0</v>
      </c>
      <c r="D79" s="275">
        <f t="shared" si="52"/>
        <v>0</v>
      </c>
      <c r="E79" s="120">
        <f t="shared" si="50"/>
        <v>0.69981901303574467</v>
      </c>
      <c r="F79" s="282">
        <f t="shared" si="51"/>
        <v>0</v>
      </c>
      <c r="G79" s="282"/>
      <c r="H79" s="282"/>
      <c r="I79" s="282"/>
      <c r="J79" s="109"/>
      <c r="K79"/>
      <c r="L79" s="282"/>
      <c r="M79"/>
      <c r="N79" s="157" t="s">
        <v>1215</v>
      </c>
      <c r="O79" s="275">
        <f>D79-IFERROR(VLOOKUP(A79,'[1]FL WIP'!$A:$F,4,0),0)</f>
        <v>0</v>
      </c>
      <c r="Q79" s="431"/>
    </row>
    <row r="80" spans="1:17">
      <c r="A80" s="157" t="s">
        <v>1226</v>
      </c>
      <c r="B80" s="157" t="s">
        <v>1227</v>
      </c>
      <c r="C80" s="228">
        <f>IFERROR(GETPIVOTDATA("Sum of qty",PT!$A$17,"product",A80,"FL/AZ","FL"),0)</f>
        <v>0</v>
      </c>
      <c r="D80" s="275">
        <f t="shared" si="52"/>
        <v>0</v>
      </c>
      <c r="E80" s="120">
        <f t="shared" si="50"/>
        <v>0.69981901303574467</v>
      </c>
      <c r="F80" s="282">
        <f t="shared" si="51"/>
        <v>0</v>
      </c>
      <c r="G80" s="282"/>
      <c r="H80" s="282"/>
      <c r="I80" s="282"/>
      <c r="J80" s="109"/>
      <c r="K80"/>
      <c r="L80" s="282"/>
      <c r="M80"/>
      <c r="N80" s="157" t="s">
        <v>1215</v>
      </c>
      <c r="O80" s="275">
        <f>D80-IFERROR(VLOOKUP(A80,'[1]FL WIP'!$A:$F,4,0),0)</f>
        <v>0</v>
      </c>
      <c r="Q80" s="431"/>
    </row>
    <row r="81" spans="1:17">
      <c r="A81" t="s">
        <v>912</v>
      </c>
      <c r="B81" t="s">
        <v>913</v>
      </c>
      <c r="C81" s="228">
        <f>IFERROR(GETPIVOTDATA("Sum of qty",PT!$A$17,"product",A81,"FL/AZ","FL"),0)</f>
        <v>0</v>
      </c>
      <c r="D81" s="275">
        <f t="shared" ref="D81:D82" si="53">C81</f>
        <v>0</v>
      </c>
      <c r="E81" s="120">
        <f t="shared" si="50"/>
        <v>0.69981901303574467</v>
      </c>
      <c r="F81" s="282">
        <f>D81*E81</f>
        <v>0</v>
      </c>
      <c r="G81" s="282"/>
      <c r="H81" s="282"/>
      <c r="I81" s="282"/>
      <c r="J81" s="109"/>
      <c r="K81"/>
      <c r="L81" s="282"/>
      <c r="M81" s="259"/>
      <c r="N81" s="157" t="s">
        <v>1215</v>
      </c>
      <c r="O81" s="275">
        <f>D81-IFERROR(VLOOKUP(A81,'[1]FL WIP'!$A:$F,4,0),0)</f>
        <v>0</v>
      </c>
      <c r="Q81" s="431"/>
    </row>
    <row r="82" spans="1:17">
      <c r="A82" t="s">
        <v>364</v>
      </c>
      <c r="B82" t="s">
        <v>365</v>
      </c>
      <c r="C82" s="228">
        <f>IFERROR(GETPIVOTDATA("Sum of qty",PT!$A$17,"product",A82,"FL/AZ","FL"),0)</f>
        <v>155</v>
      </c>
      <c r="D82" s="275">
        <f t="shared" si="53"/>
        <v>155</v>
      </c>
      <c r="E82" s="120">
        <f t="shared" si="50"/>
        <v>0.69981901303574467</v>
      </c>
      <c r="F82" s="282">
        <f>D82*E82</f>
        <v>108.47194702054043</v>
      </c>
      <c r="G82" s="282"/>
      <c r="H82" s="282"/>
      <c r="I82" s="282"/>
      <c r="J82" s="109"/>
      <c r="K82"/>
      <c r="L82" s="282"/>
      <c r="M82" s="259"/>
      <c r="N82" s="157" t="s">
        <v>1215</v>
      </c>
      <c r="O82" s="275">
        <f>D82-IFERROR(VLOOKUP(A82,'[1]FL WIP'!$A:$F,4,0),0)</f>
        <v>101</v>
      </c>
      <c r="Q82" s="431"/>
    </row>
    <row r="83" spans="1:17">
      <c r="A83" t="s">
        <v>1228</v>
      </c>
      <c r="B83" t="s">
        <v>1229</v>
      </c>
      <c r="C83" s="228">
        <f>IFERROR(GETPIVOTDATA("Sum of qty",PT!$A$17,"product",A83,"FL/AZ","FL"),0)</f>
        <v>0</v>
      </c>
      <c r="D83" s="275">
        <f t="shared" ref="D83" si="54">C83</f>
        <v>0</v>
      </c>
      <c r="E83" s="120">
        <f t="shared" si="50"/>
        <v>0.69981901303574467</v>
      </c>
      <c r="F83" s="282">
        <f t="shared" ref="F83" si="55">D83*E83</f>
        <v>0</v>
      </c>
      <c r="G83" s="282"/>
      <c r="H83" s="282"/>
      <c r="I83" s="282"/>
      <c r="J83" s="109"/>
      <c r="K83"/>
      <c r="L83" s="282"/>
      <c r="M83" s="259"/>
      <c r="N83" s="157" t="s">
        <v>1215</v>
      </c>
      <c r="O83" s="275">
        <f>D83-IFERROR(VLOOKUP(A83,'[1]FL WIP'!$A:$F,4,0),0)</f>
        <v>0</v>
      </c>
      <c r="Q83" s="431"/>
    </row>
    <row r="84" spans="1:17">
      <c r="A84" t="s">
        <v>910</v>
      </c>
      <c r="B84" t="s">
        <v>911</v>
      </c>
      <c r="C84" s="228">
        <f>IFERROR(GETPIVOTDATA("Sum of qty",PT!$A$17,"product",A84,"FL/AZ","FL"),0)</f>
        <v>0</v>
      </c>
      <c r="D84" s="275">
        <f t="shared" ref="D84" si="56">C84</f>
        <v>0</v>
      </c>
      <c r="E84" s="120">
        <f t="shared" si="50"/>
        <v>0.69981901303574467</v>
      </c>
      <c r="F84" s="282">
        <f t="shared" ref="F84" si="57">D84*E84</f>
        <v>0</v>
      </c>
      <c r="G84" s="282"/>
      <c r="H84" s="282"/>
      <c r="I84" s="282"/>
      <c r="J84" s="109"/>
      <c r="K84"/>
      <c r="L84" s="282"/>
      <c r="M84" s="259"/>
      <c r="N84" s="157" t="s">
        <v>1215</v>
      </c>
      <c r="O84" s="275">
        <f>D84-IFERROR(VLOOKUP(A84,'[1]FL WIP'!$A:$F,4,0),0)</f>
        <v>0</v>
      </c>
      <c r="Q84" s="431"/>
    </row>
    <row r="85" spans="1:17">
      <c r="A85" t="s">
        <v>1230</v>
      </c>
      <c r="B85" t="s">
        <v>1231</v>
      </c>
      <c r="C85" s="228">
        <f>IFERROR(GETPIVOTDATA("Sum of qty",PT!$A$17,"product",A85,"FL/AZ","FL"),0)</f>
        <v>0</v>
      </c>
      <c r="D85" s="275">
        <f t="shared" ref="D85" si="58">C85</f>
        <v>0</v>
      </c>
      <c r="E85" s="120">
        <f t="shared" si="50"/>
        <v>0.69981901303574467</v>
      </c>
      <c r="F85" s="282">
        <f t="shared" ref="F85" si="59">D85*E85</f>
        <v>0</v>
      </c>
      <c r="G85" s="282"/>
      <c r="H85" s="282"/>
      <c r="I85" s="282"/>
      <c r="J85" s="109"/>
      <c r="K85"/>
      <c r="L85" s="282"/>
      <c r="M85" s="259"/>
      <c r="N85" s="157" t="s">
        <v>1215</v>
      </c>
      <c r="O85" s="275">
        <f>D85-IFERROR(VLOOKUP(A85,'[1]FL WIP'!$A:$F,4,0),0)</f>
        <v>0</v>
      </c>
      <c r="Q85" s="431"/>
    </row>
    <row r="86" spans="1:17">
      <c r="A86" t="s">
        <v>1232</v>
      </c>
      <c r="B86" t="s">
        <v>1233</v>
      </c>
      <c r="C86" s="228">
        <f>IFERROR(GETPIVOTDATA("Sum of qty",PT!$A$17,"product",A86,"FL/AZ","FL"),0)</f>
        <v>0</v>
      </c>
      <c r="D86" s="275">
        <f t="shared" ref="D86:D87" si="60">C86</f>
        <v>0</v>
      </c>
      <c r="E86" s="120">
        <f t="shared" si="50"/>
        <v>0.69981901303574467</v>
      </c>
      <c r="F86" s="282">
        <f t="shared" ref="F86:F87" si="61">D86*E86</f>
        <v>0</v>
      </c>
      <c r="G86" s="282"/>
      <c r="H86" s="282"/>
      <c r="I86" s="282"/>
      <c r="J86" s="109"/>
      <c r="K86"/>
      <c r="L86" s="282"/>
      <c r="M86" s="259"/>
      <c r="N86" s="157" t="s">
        <v>1215</v>
      </c>
      <c r="O86" s="275">
        <f>D86-IFERROR(VLOOKUP(A86,'[1]FL WIP'!$A:$F,4,0),0)</f>
        <v>0</v>
      </c>
      <c r="Q86" s="431"/>
    </row>
    <row r="87" spans="1:17">
      <c r="A87" t="s">
        <v>1234</v>
      </c>
      <c r="B87" t="s">
        <v>1235</v>
      </c>
      <c r="C87" s="228">
        <f>IFERROR(GETPIVOTDATA("Sum of qty",PT!$A$17,"product",A87,"FL/AZ","FL"),0)</f>
        <v>0</v>
      </c>
      <c r="D87" s="275">
        <f t="shared" si="60"/>
        <v>0</v>
      </c>
      <c r="E87" s="120">
        <f t="shared" si="50"/>
        <v>0.69981901303574467</v>
      </c>
      <c r="F87" s="282">
        <f t="shared" si="61"/>
        <v>0</v>
      </c>
      <c r="G87" s="282"/>
      <c r="H87" s="282"/>
      <c r="I87" s="282"/>
      <c r="J87" s="109"/>
      <c r="K87"/>
      <c r="L87" s="282"/>
      <c r="M87" s="259"/>
      <c r="N87" s="157" t="s">
        <v>1215</v>
      </c>
      <c r="O87" s="275">
        <f>D87-IFERROR(VLOOKUP(A87,'[1]FL WIP'!$A:$F,4,0),0)</f>
        <v>-39</v>
      </c>
      <c r="Q87" s="431"/>
    </row>
    <row r="88" spans="1:17">
      <c r="A88" t="s">
        <v>1236</v>
      </c>
      <c r="B88" t="s">
        <v>1237</v>
      </c>
      <c r="C88" s="228">
        <f>IFERROR(GETPIVOTDATA("Sum of qty",PT!$A$17,"product",A88,"FL/AZ","FL"),0)</f>
        <v>0</v>
      </c>
      <c r="D88" s="275">
        <f t="shared" ref="D88:D90" si="62">C88</f>
        <v>0</v>
      </c>
      <c r="E88" s="120">
        <f t="shared" si="50"/>
        <v>0.69981901303574467</v>
      </c>
      <c r="F88" s="282">
        <f t="shared" ref="F88:F90" si="63">D88*E88</f>
        <v>0</v>
      </c>
      <c r="G88" s="282"/>
      <c r="H88" s="282"/>
      <c r="I88" s="282"/>
      <c r="J88" s="109"/>
      <c r="K88"/>
      <c r="L88" s="282"/>
      <c r="M88" s="259"/>
      <c r="N88" s="157" t="s">
        <v>1215</v>
      </c>
      <c r="O88" s="275">
        <f>D88-IFERROR(VLOOKUP(A88,'[1]FL WIP'!$A:$F,4,0),0)</f>
        <v>0</v>
      </c>
      <c r="Q88" s="431"/>
    </row>
    <row r="89" spans="1:17">
      <c r="A89" s="157" t="s">
        <v>1238</v>
      </c>
      <c r="B89" s="157" t="s">
        <v>1239</v>
      </c>
      <c r="C89" s="228">
        <f>IFERROR(GETPIVOTDATA("Sum of qty",PT!$A$17,"product",A89,"FL/AZ","FL"),0)</f>
        <v>0</v>
      </c>
      <c r="D89" s="275">
        <f t="shared" ref="D89" si="64">C89</f>
        <v>0</v>
      </c>
      <c r="E89" s="120">
        <f t="shared" si="50"/>
        <v>0.69981901303574467</v>
      </c>
      <c r="F89" s="282">
        <f t="shared" ref="F89" si="65">D89*E89</f>
        <v>0</v>
      </c>
      <c r="G89" s="282"/>
      <c r="H89" s="282"/>
      <c r="I89" s="282"/>
      <c r="J89" s="109"/>
      <c r="K89"/>
      <c r="L89" s="282"/>
      <c r="M89" s="259"/>
      <c r="N89" s="157" t="s">
        <v>1215</v>
      </c>
      <c r="O89" s="275">
        <f>D89-IFERROR(VLOOKUP(A89,'[1]FL WIP'!$A:$F,4,0),0)</f>
        <v>-22.7</v>
      </c>
      <c r="Q89" s="431"/>
    </row>
    <row r="90" spans="1:17">
      <c r="A90" s="157" t="s">
        <v>1240</v>
      </c>
      <c r="B90" t="s">
        <v>1241</v>
      </c>
      <c r="C90" s="228">
        <f>IFERROR(GETPIVOTDATA("Sum of qty",PT!$A$17,"product",A90,"FL/AZ","FL"),0)</f>
        <v>0</v>
      </c>
      <c r="D90" s="275">
        <f t="shared" si="62"/>
        <v>0</v>
      </c>
      <c r="E90" s="120">
        <f t="shared" si="50"/>
        <v>0.69981901303574467</v>
      </c>
      <c r="F90" s="282">
        <f t="shared" si="63"/>
        <v>0</v>
      </c>
      <c r="G90" s="282"/>
      <c r="H90" s="282"/>
      <c r="I90" s="282"/>
      <c r="J90" s="109"/>
      <c r="K90"/>
      <c r="L90" s="282"/>
      <c r="M90"/>
      <c r="N90" s="157" t="s">
        <v>1215</v>
      </c>
      <c r="O90" s="275">
        <f>D90-IFERROR(VLOOKUP(A90,'[1]FL WIP'!$A:$F,4,0),0)</f>
        <v>0</v>
      </c>
      <c r="Q90" s="431"/>
    </row>
    <row r="91" spans="1:17">
      <c r="A91" s="157" t="s">
        <v>916</v>
      </c>
      <c r="B91" s="157" t="s">
        <v>917</v>
      </c>
      <c r="C91" s="228">
        <f>IFERROR(GETPIVOTDATA("Sum of qty",PT!$A$17,"product",A91,"FL/AZ","FL"),0)</f>
        <v>0</v>
      </c>
      <c r="D91" s="275">
        <f t="shared" si="52"/>
        <v>0</v>
      </c>
      <c r="E91" s="120">
        <f t="shared" si="50"/>
        <v>0.69981901303574467</v>
      </c>
      <c r="F91" s="282">
        <f t="shared" si="51"/>
        <v>0</v>
      </c>
      <c r="G91" s="282"/>
      <c r="H91" s="282"/>
      <c r="I91" s="282"/>
      <c r="J91" s="109"/>
      <c r="K91"/>
      <c r="L91" s="282"/>
      <c r="M91"/>
      <c r="N91" s="157" t="s">
        <v>1215</v>
      </c>
      <c r="O91" s="275">
        <f>D91-IFERROR(VLOOKUP(A91,'[1]FL WIP'!$A:$F,4,0),0)</f>
        <v>0</v>
      </c>
      <c r="Q91" s="431"/>
    </row>
    <row r="92" spans="1:17">
      <c r="A92" s="458" t="s">
        <v>2917</v>
      </c>
      <c r="B92" s="458" t="s">
        <v>2918</v>
      </c>
      <c r="C92" s="228">
        <f>IFERROR(GETPIVOTDATA("Sum of qty",PT!$A$17,"product",A92,"FL/AZ","FL"),0)</f>
        <v>3625</v>
      </c>
      <c r="D92" s="275">
        <f t="shared" ref="D92" si="66">C92</f>
        <v>3625</v>
      </c>
      <c r="E92" s="120">
        <f t="shared" si="50"/>
        <v>0.69981901303574467</v>
      </c>
      <c r="F92" s="282">
        <f t="shared" ref="F92" si="67">D92*E92</f>
        <v>2536.8439222545744</v>
      </c>
      <c r="G92" s="282"/>
      <c r="H92" s="282"/>
      <c r="I92" s="282"/>
      <c r="J92" s="109"/>
      <c r="K92"/>
      <c r="L92" s="282"/>
      <c r="M92"/>
      <c r="N92" s="157" t="s">
        <v>1215</v>
      </c>
      <c r="O92" s="275">
        <f>D92-IFERROR(VLOOKUP(A92,'[1]FL WIP'!$A:$F,4,0),0)</f>
        <v>3625</v>
      </c>
      <c r="Q92" s="431"/>
    </row>
    <row r="93" spans="1:17">
      <c r="A93" s="157" t="s">
        <v>1242</v>
      </c>
      <c r="B93" s="157" t="s">
        <v>1243</v>
      </c>
      <c r="C93" s="228">
        <f>IFERROR(GETPIVOTDATA("Sum of qty",PT!$A$17,"product",A93,"FL/AZ","FL"),0)</f>
        <v>0</v>
      </c>
      <c r="D93" s="275">
        <f>C93</f>
        <v>0</v>
      </c>
      <c r="E93" s="120">
        <f t="shared" si="50"/>
        <v>0.69981901303574467</v>
      </c>
      <c r="F93" s="282">
        <f t="shared" si="51"/>
        <v>0</v>
      </c>
      <c r="G93" s="282"/>
      <c r="H93" s="282"/>
      <c r="I93" s="282"/>
      <c r="J93" s="109"/>
      <c r="K93"/>
      <c r="L93" s="282"/>
      <c r="M93"/>
      <c r="N93" s="157" t="s">
        <v>1215</v>
      </c>
      <c r="O93" s="275">
        <f>D93-IFERROR(VLOOKUP(A93,'[1]FL WIP'!$A:$F,4,0),0)</f>
        <v>0</v>
      </c>
      <c r="Q93" s="431"/>
    </row>
    <row r="94" spans="1:17">
      <c r="A94" s="157" t="s">
        <v>1244</v>
      </c>
      <c r="B94" s="157" t="s">
        <v>1245</v>
      </c>
      <c r="C94" s="228">
        <f>IFERROR(GETPIVOTDATA("Sum of qty",PT!$A$17,"product",A94,"FL/AZ","FL"),0)</f>
        <v>0</v>
      </c>
      <c r="D94" s="275">
        <f>C94</f>
        <v>0</v>
      </c>
      <c r="E94" s="120">
        <f t="shared" si="50"/>
        <v>0.69981901303574467</v>
      </c>
      <c r="F94" s="282">
        <f t="shared" si="51"/>
        <v>0</v>
      </c>
      <c r="G94" s="282"/>
      <c r="H94" s="282"/>
      <c r="I94" s="282"/>
      <c r="J94" s="109"/>
      <c r="K94"/>
      <c r="L94" s="282"/>
      <c r="M94"/>
      <c r="N94" s="157" t="s">
        <v>1215</v>
      </c>
      <c r="O94" s="275">
        <f>D94-IFERROR(VLOOKUP(A94,'[1]FL WIP'!$A:$F,4,0),0)</f>
        <v>0</v>
      </c>
      <c r="Q94" s="431"/>
    </row>
    <row r="95" spans="1:17">
      <c r="A95" s="157" t="s">
        <v>1246</v>
      </c>
      <c r="B95" s="157" t="s">
        <v>1247</v>
      </c>
      <c r="C95" s="228">
        <f>IFERROR(GETPIVOTDATA("Sum of qty",PT!$A$17,"product",A95,"FL/AZ","FL"),0)</f>
        <v>0</v>
      </c>
      <c r="D95" s="275">
        <f>C95</f>
        <v>0</v>
      </c>
      <c r="E95" s="120">
        <f t="shared" si="50"/>
        <v>0.69981901303574467</v>
      </c>
      <c r="F95" s="282">
        <f t="shared" si="51"/>
        <v>0</v>
      </c>
      <c r="G95" s="282"/>
      <c r="H95" s="282"/>
      <c r="I95" s="282"/>
      <c r="J95" s="109"/>
      <c r="K95"/>
      <c r="L95" s="282"/>
      <c r="M95"/>
      <c r="N95" s="157" t="s">
        <v>1215</v>
      </c>
      <c r="O95" s="275">
        <f>D95-IFERROR(VLOOKUP(A95,'[1]FL WIP'!$A:$F,4,0),0)</f>
        <v>0</v>
      </c>
      <c r="Q95" s="431"/>
    </row>
    <row r="96" spans="1:17">
      <c r="A96" s="157" t="s">
        <v>1248</v>
      </c>
      <c r="B96" s="157" t="s">
        <v>1249</v>
      </c>
      <c r="C96" s="228">
        <f>IFERROR(GETPIVOTDATA("Sum of qty",PT!$A$17,"product",A96,"FL/AZ","FL"),0)</f>
        <v>0</v>
      </c>
      <c r="D96" s="275">
        <f>C96</f>
        <v>0</v>
      </c>
      <c r="E96" s="120">
        <f t="shared" si="50"/>
        <v>0.69981901303574467</v>
      </c>
      <c r="F96" s="282">
        <f t="shared" si="51"/>
        <v>0</v>
      </c>
      <c r="G96" s="282"/>
      <c r="H96" s="282"/>
      <c r="I96" s="282"/>
      <c r="J96" s="109"/>
      <c r="K96"/>
      <c r="L96" s="282"/>
      <c r="M96"/>
      <c r="N96" s="157" t="s">
        <v>1215</v>
      </c>
      <c r="O96" s="275">
        <f>D96-IFERROR(VLOOKUP(A96,'[1]FL WIP'!$A:$F,4,0),0)</f>
        <v>0</v>
      </c>
      <c r="Q96" s="431"/>
    </row>
    <row r="97" spans="1:17">
      <c r="A97" s="157" t="s">
        <v>1250</v>
      </c>
      <c r="B97" s="157" t="s">
        <v>1251</v>
      </c>
      <c r="C97" s="228">
        <f>IFERROR(GETPIVOTDATA("Sum of qty",PT!$A$17,"product",A97,"FL/AZ","FL"),0)</f>
        <v>0</v>
      </c>
      <c r="D97" s="275">
        <f>C97</f>
        <v>0</v>
      </c>
      <c r="E97" s="120">
        <f t="shared" si="50"/>
        <v>0.69981901303574467</v>
      </c>
      <c r="F97" s="282">
        <f t="shared" si="51"/>
        <v>0</v>
      </c>
      <c r="G97" s="282"/>
      <c r="H97" s="282"/>
      <c r="I97" s="282"/>
      <c r="J97" s="109"/>
      <c r="K97"/>
      <c r="L97" s="282"/>
      <c r="M97"/>
      <c r="N97" s="157" t="s">
        <v>1215</v>
      </c>
      <c r="O97" s="275">
        <f>D97-IFERROR(VLOOKUP(A97,'[1]FL WIP'!$A:$F,4,0),0)</f>
        <v>0</v>
      </c>
      <c r="Q97" s="431"/>
    </row>
    <row r="98" spans="1:17">
      <c r="A98" s="157" t="s">
        <v>918</v>
      </c>
      <c r="B98" s="157" t="s">
        <v>1252</v>
      </c>
      <c r="C98" s="228">
        <f>IFERROR(GETPIVOTDATA("Sum of qty",PT!$A$17,"product",A98,"FL/AZ","FL"),0)</f>
        <v>0</v>
      </c>
      <c r="D98" s="275">
        <f t="shared" si="49"/>
        <v>0</v>
      </c>
      <c r="E98" s="120">
        <f t="shared" si="50"/>
        <v>0.69981901303574467</v>
      </c>
      <c r="F98" s="282">
        <f t="shared" si="51"/>
        <v>0</v>
      </c>
      <c r="G98" s="282"/>
      <c r="H98" s="282"/>
      <c r="I98" s="282"/>
      <c r="J98" s="109"/>
      <c r="K98"/>
      <c r="L98" s="282"/>
      <c r="M98"/>
      <c r="N98" s="157" t="s">
        <v>1215</v>
      </c>
      <c r="O98" s="275">
        <f>D98-IFERROR(VLOOKUP(A98,'[1]FL WIP'!$A:$F,4,0),0)</f>
        <v>0</v>
      </c>
      <c r="Q98" s="431"/>
    </row>
    <row r="99" spans="1:17">
      <c r="A99" s="157" t="s">
        <v>1253</v>
      </c>
      <c r="B99" s="157" t="s">
        <v>1254</v>
      </c>
      <c r="C99" s="228">
        <f>IFERROR(GETPIVOTDATA("Sum of qty",PT!$A$17,"product",A99,"FL/AZ","FL"),0)</f>
        <v>0</v>
      </c>
      <c r="D99" s="275">
        <f t="shared" si="49"/>
        <v>0</v>
      </c>
      <c r="E99" s="120">
        <f t="shared" si="50"/>
        <v>0.69981901303574467</v>
      </c>
      <c r="F99" s="282">
        <f t="shared" si="51"/>
        <v>0</v>
      </c>
      <c r="G99" s="282"/>
      <c r="H99" s="282"/>
      <c r="I99" s="282"/>
      <c r="J99" s="109"/>
      <c r="K99"/>
      <c r="L99" s="282"/>
      <c r="M99"/>
      <c r="N99" s="157" t="s">
        <v>1215</v>
      </c>
      <c r="O99" s="275">
        <f>D99-IFERROR(VLOOKUP(A99,'[1]FL WIP'!$A:$F,4,0),0)</f>
        <v>0</v>
      </c>
      <c r="Q99" s="431"/>
    </row>
    <row r="100" spans="1:17">
      <c r="A100" s="157" t="s">
        <v>920</v>
      </c>
      <c r="B100" s="157" t="s">
        <v>1255</v>
      </c>
      <c r="C100" s="228">
        <f>IFERROR(GETPIVOTDATA("Sum of qty",PT!$A$17,"product",A100,"FL/AZ","FL"),0)</f>
        <v>0</v>
      </c>
      <c r="D100" s="275">
        <f t="shared" si="49"/>
        <v>0</v>
      </c>
      <c r="E100" s="120">
        <f t="shared" si="50"/>
        <v>0.69981901303574467</v>
      </c>
      <c r="F100" s="282">
        <f t="shared" si="51"/>
        <v>0</v>
      </c>
      <c r="G100" s="282"/>
      <c r="H100" s="282"/>
      <c r="I100" s="282"/>
      <c r="J100" s="109"/>
      <c r="K100"/>
      <c r="L100" s="282"/>
      <c r="M100"/>
      <c r="N100" s="157" t="s">
        <v>1215</v>
      </c>
      <c r="O100" s="275">
        <f>D100-IFERROR(VLOOKUP(A100,'[1]FL WIP'!$A:$F,4,0),0)</f>
        <v>0</v>
      </c>
      <c r="Q100" s="431"/>
    </row>
    <row r="101" spans="1:17">
      <c r="A101" s="157" t="s">
        <v>1256</v>
      </c>
      <c r="B101" s="157" t="s">
        <v>1257</v>
      </c>
      <c r="C101" s="228">
        <f>IFERROR(GETPIVOTDATA("Sum of qty",PT!$A$17,"product",A101,"FL/AZ","FL"),0)</f>
        <v>0</v>
      </c>
      <c r="D101" s="275">
        <f t="shared" si="49"/>
        <v>0</v>
      </c>
      <c r="E101" s="120">
        <f t="shared" si="50"/>
        <v>0.69981901303574467</v>
      </c>
      <c r="F101" s="282">
        <f t="shared" si="51"/>
        <v>0</v>
      </c>
      <c r="G101" s="282"/>
      <c r="H101" s="282"/>
      <c r="I101" s="282"/>
      <c r="J101" s="109"/>
      <c r="K101"/>
      <c r="L101" s="282"/>
      <c r="M101" s="259"/>
      <c r="N101" s="157" t="s">
        <v>1215</v>
      </c>
      <c r="O101" s="275">
        <f>D101-IFERROR(VLOOKUP(A101,'[1]FL WIP'!$A:$F,4,0),0)</f>
        <v>0</v>
      </c>
      <c r="Q101" s="431"/>
    </row>
    <row r="102" spans="1:17">
      <c r="A102" s="157" t="s">
        <v>922</v>
      </c>
      <c r="B102" s="157" t="s">
        <v>923</v>
      </c>
      <c r="C102" s="228">
        <f>IFERROR(GETPIVOTDATA("Sum of qty",PT!$A$17,"product",A102,"FL/AZ","FL"),0)</f>
        <v>0</v>
      </c>
      <c r="D102" s="275">
        <f t="shared" si="49"/>
        <v>0</v>
      </c>
      <c r="E102" s="120">
        <f t="shared" si="50"/>
        <v>0.69981901303574467</v>
      </c>
      <c r="F102" s="282">
        <f t="shared" si="51"/>
        <v>0</v>
      </c>
      <c r="G102" s="282"/>
      <c r="H102" s="282"/>
      <c r="I102" s="282"/>
      <c r="J102" s="109"/>
      <c r="K102"/>
      <c r="L102" s="282"/>
      <c r="M102" s="259"/>
      <c r="N102" s="157" t="s">
        <v>1215</v>
      </c>
      <c r="O102" s="275">
        <f>D102-IFERROR(VLOOKUP(A102,'[1]FL WIP'!$A:$F,4,0),0)</f>
        <v>0</v>
      </c>
      <c r="Q102" s="431"/>
    </row>
    <row r="103" spans="1:17">
      <c r="A103" s="157" t="s">
        <v>948</v>
      </c>
      <c r="B103" s="157" t="s">
        <v>949</v>
      </c>
      <c r="C103" s="228">
        <f>IFERROR(GETPIVOTDATA("Sum of qty",PT!$A$17,"product",A103,"FL/AZ","FL"),0)</f>
        <v>0</v>
      </c>
      <c r="D103" s="275">
        <f t="shared" si="49"/>
        <v>0</v>
      </c>
      <c r="E103" s="120">
        <f t="shared" si="50"/>
        <v>0.69981901303574467</v>
      </c>
      <c r="F103" s="282">
        <f t="shared" si="51"/>
        <v>0</v>
      </c>
      <c r="G103" s="282"/>
      <c r="H103" s="282"/>
      <c r="I103" s="282"/>
      <c r="J103" s="109"/>
      <c r="K103"/>
      <c r="L103" s="282"/>
      <c r="M103" s="259"/>
      <c r="N103" s="157" t="s">
        <v>1215</v>
      </c>
      <c r="O103" s="275">
        <f>D103-IFERROR(VLOOKUP(A103,'[1]FL WIP'!$A:$F,4,0),0)</f>
        <v>0</v>
      </c>
      <c r="Q103" s="431"/>
    </row>
    <row r="104" spans="1:17">
      <c r="A104" s="157" t="s">
        <v>1258</v>
      </c>
      <c r="B104" s="157" t="s">
        <v>1259</v>
      </c>
      <c r="C104" s="228">
        <f>IFERROR(GETPIVOTDATA("Sum of qty",PT!$A$17,"product",A104,"FL/AZ","FL"),0)</f>
        <v>0</v>
      </c>
      <c r="D104" s="275">
        <f t="shared" si="49"/>
        <v>0</v>
      </c>
      <c r="E104" s="120">
        <f t="shared" si="50"/>
        <v>0.69981901303574467</v>
      </c>
      <c r="F104" s="282">
        <f t="shared" si="51"/>
        <v>0</v>
      </c>
      <c r="G104" s="282"/>
      <c r="H104" s="282"/>
      <c r="I104" s="282"/>
      <c r="J104" s="109"/>
      <c r="K104"/>
      <c r="L104" s="282"/>
      <c r="M104" s="259"/>
      <c r="N104" s="157" t="s">
        <v>1215</v>
      </c>
      <c r="O104" s="275">
        <f>D104-IFERROR(VLOOKUP(A104,'[1]FL WIP'!$A:$F,4,0),0)</f>
        <v>0</v>
      </c>
      <c r="Q104" s="431"/>
    </row>
    <row r="105" spans="1:17">
      <c r="A105" s="157" t="s">
        <v>938</v>
      </c>
      <c r="B105" s="157" t="s">
        <v>1260</v>
      </c>
      <c r="C105" s="228">
        <f>IFERROR(GETPIVOTDATA("Sum of qty",PT!$A$17,"product",A105,"FL/AZ","FL"),0)</f>
        <v>0</v>
      </c>
      <c r="D105" s="275">
        <f t="shared" si="49"/>
        <v>0</v>
      </c>
      <c r="E105" s="120">
        <f t="shared" si="50"/>
        <v>0.69981901303574467</v>
      </c>
      <c r="F105" s="282">
        <f t="shared" si="51"/>
        <v>0</v>
      </c>
      <c r="G105" s="282"/>
      <c r="H105" s="282"/>
      <c r="I105" s="282"/>
      <c r="J105" s="109"/>
      <c r="K105"/>
      <c r="L105" s="282"/>
      <c r="M105" s="259"/>
      <c r="N105" s="157" t="s">
        <v>1215</v>
      </c>
      <c r="O105" s="275">
        <f>D105-IFERROR(VLOOKUP(A105,'[1]FL WIP'!$A:$F,4,0),0)</f>
        <v>0</v>
      </c>
      <c r="Q105" s="431"/>
    </row>
    <row r="106" spans="1:17">
      <c r="A106" s="157" t="s">
        <v>924</v>
      </c>
      <c r="B106" s="157" t="s">
        <v>925</v>
      </c>
      <c r="C106" s="228">
        <f>IFERROR(GETPIVOTDATA("Sum of qty",PT!$A$17,"product",A106,"FL/AZ","FL"),0)</f>
        <v>0</v>
      </c>
      <c r="D106" s="275">
        <f>C106</f>
        <v>0</v>
      </c>
      <c r="E106" s="120">
        <f t="shared" si="50"/>
        <v>0.69981901303574467</v>
      </c>
      <c r="F106" s="282">
        <f t="shared" si="51"/>
        <v>0</v>
      </c>
      <c r="G106" s="282"/>
      <c r="H106" s="282"/>
      <c r="I106" s="282"/>
      <c r="J106" s="109"/>
      <c r="K106"/>
      <c r="L106" s="282"/>
      <c r="M106" s="259"/>
      <c r="N106" s="157" t="s">
        <v>1215</v>
      </c>
      <c r="O106" s="275">
        <f>D106-IFERROR(VLOOKUP(A106,'[1]FL WIP'!$A:$F,4,0),0)</f>
        <v>0</v>
      </c>
      <c r="Q106" s="431"/>
    </row>
    <row r="107" spans="1:17">
      <c r="A107" s="157" t="s">
        <v>926</v>
      </c>
      <c r="B107" s="157" t="s">
        <v>927</v>
      </c>
      <c r="C107" s="228">
        <f>IFERROR(GETPIVOTDATA("Sum of qty",PT!$A$17,"product",A107,"FL/AZ","FL"),0)</f>
        <v>0</v>
      </c>
      <c r="D107" s="275">
        <f>C107</f>
        <v>0</v>
      </c>
      <c r="E107" s="120">
        <f t="shared" si="50"/>
        <v>0.69981901303574467</v>
      </c>
      <c r="F107" s="282">
        <f t="shared" si="51"/>
        <v>0</v>
      </c>
      <c r="G107" s="282"/>
      <c r="H107" s="282"/>
      <c r="I107" s="282"/>
      <c r="J107" s="109"/>
      <c r="K107"/>
      <c r="L107" s="282"/>
      <c r="M107" s="259"/>
      <c r="N107" s="157" t="s">
        <v>1215</v>
      </c>
      <c r="O107" s="275">
        <f>D107-IFERROR(VLOOKUP(A107,'[1]FL WIP'!$A:$F,4,0),0)</f>
        <v>0</v>
      </c>
      <c r="Q107" s="431"/>
    </row>
    <row r="108" spans="1:17">
      <c r="A108" s="157" t="s">
        <v>1261</v>
      </c>
      <c r="B108" s="157" t="s">
        <v>1262</v>
      </c>
      <c r="C108" s="228">
        <f>IFERROR(GETPIVOTDATA("Sum of qty",PT!$A$17,"product",A108,"FL/AZ","FL"),0)</f>
        <v>0</v>
      </c>
      <c r="D108" s="275">
        <f t="shared" si="49"/>
        <v>0</v>
      </c>
      <c r="E108" s="120">
        <f t="shared" si="50"/>
        <v>0.69981901303574467</v>
      </c>
      <c r="F108" s="282">
        <f t="shared" si="51"/>
        <v>0</v>
      </c>
      <c r="G108" s="282"/>
      <c r="H108" s="282"/>
      <c r="I108" s="282"/>
      <c r="J108" s="109"/>
      <c r="K108"/>
      <c r="L108" s="282"/>
      <c r="M108" s="259"/>
      <c r="N108" s="157" t="s">
        <v>1215</v>
      </c>
      <c r="O108" s="275">
        <f>D108-IFERROR(VLOOKUP(A108,'[1]FL WIP'!$A:$F,4,0),0)</f>
        <v>0</v>
      </c>
      <c r="Q108" s="431"/>
    </row>
    <row r="109" spans="1:17">
      <c r="A109" s="157" t="s">
        <v>928</v>
      </c>
      <c r="B109" s="157" t="s">
        <v>929</v>
      </c>
      <c r="C109" s="228">
        <f>IFERROR(GETPIVOTDATA("Sum of qty",PT!$A$17,"product",A109,"FL/AZ","FL"),0)</f>
        <v>0</v>
      </c>
      <c r="D109" s="275">
        <f t="shared" si="49"/>
        <v>0</v>
      </c>
      <c r="E109" s="120">
        <f t="shared" si="50"/>
        <v>0.69981901303574467</v>
      </c>
      <c r="F109" s="282">
        <f t="shared" si="51"/>
        <v>0</v>
      </c>
      <c r="G109" s="282"/>
      <c r="H109" s="282"/>
      <c r="I109" s="282"/>
      <c r="J109" s="109"/>
      <c r="K109"/>
      <c r="L109" s="282"/>
      <c r="M109" s="259"/>
      <c r="N109" s="157" t="s">
        <v>1215</v>
      </c>
      <c r="O109" s="275">
        <f>D109-IFERROR(VLOOKUP(A109,'[1]FL WIP'!$A:$F,4,0),0)</f>
        <v>0</v>
      </c>
      <c r="Q109" s="431"/>
    </row>
    <row r="110" spans="1:17">
      <c r="A110" s="157" t="s">
        <v>128</v>
      </c>
      <c r="B110" s="157" t="s">
        <v>129</v>
      </c>
      <c r="C110" s="228">
        <f>IFERROR(GETPIVOTDATA("Sum of qty",PT!$A$17,"product",A110,"FL/AZ","FL"),0)</f>
        <v>1025</v>
      </c>
      <c r="D110" s="275">
        <f t="shared" ref="D110:D117" si="68">C110</f>
        <v>1025</v>
      </c>
      <c r="E110" s="120">
        <f t="shared" si="50"/>
        <v>0.69981901303574467</v>
      </c>
      <c r="F110" s="282">
        <f t="shared" si="51"/>
        <v>717.31448836163827</v>
      </c>
      <c r="G110" s="282"/>
      <c r="H110" s="282"/>
      <c r="I110" s="282">
        <f>H110*D110</f>
        <v>0</v>
      </c>
      <c r="J110" s="109"/>
      <c r="K110"/>
      <c r="L110" s="282"/>
      <c r="M110" s="259"/>
      <c r="N110" s="157" t="s">
        <v>1215</v>
      </c>
      <c r="O110" s="275">
        <f>D110-IFERROR(VLOOKUP(A110,'[1]FL WIP'!$A:$F,4,0),0)</f>
        <v>0</v>
      </c>
      <c r="Q110" s="431"/>
    </row>
    <row r="111" spans="1:17">
      <c r="A111" s="157" t="s">
        <v>930</v>
      </c>
      <c r="B111" s="157" t="s">
        <v>931</v>
      </c>
      <c r="C111" s="228">
        <f>IFERROR(GETPIVOTDATA("Sum of qty",PT!$A$17,"product",A111,"FL/AZ","FL"),0)</f>
        <v>9835</v>
      </c>
      <c r="D111" s="275">
        <f t="shared" si="68"/>
        <v>9835</v>
      </c>
      <c r="E111" s="120">
        <f t="shared" si="50"/>
        <v>0.69981901303574467</v>
      </c>
      <c r="F111" s="282">
        <f>D111*E111</f>
        <v>6882.7199932065487</v>
      </c>
      <c r="G111" s="282"/>
      <c r="H111" s="282"/>
      <c r="I111" s="282"/>
      <c r="J111" s="109"/>
      <c r="K111"/>
      <c r="L111" s="282"/>
      <c r="M111" s="259"/>
      <c r="N111" s="157" t="s">
        <v>1215</v>
      </c>
      <c r="O111" s="275">
        <f>D111-IFERROR(VLOOKUP(A111,'[1]FL WIP'!$A:$F,4,0),0)</f>
        <v>9835</v>
      </c>
      <c r="Q111" s="431"/>
    </row>
    <row r="112" spans="1:17">
      <c r="A112" s="157" t="s">
        <v>1263</v>
      </c>
      <c r="B112" s="157" t="s">
        <v>1264</v>
      </c>
      <c r="C112" s="228">
        <f>IFERROR(GETPIVOTDATA("Sum of qty",PT!$A$17,"product",A112,"FL/AZ","FL"),0)</f>
        <v>0</v>
      </c>
      <c r="D112" s="275">
        <f t="shared" si="68"/>
        <v>0</v>
      </c>
      <c r="E112" s="120">
        <f t="shared" si="50"/>
        <v>0.69981901303574467</v>
      </c>
      <c r="F112" s="282">
        <f t="shared" si="51"/>
        <v>0</v>
      </c>
      <c r="G112" s="282"/>
      <c r="H112" s="282"/>
      <c r="I112" s="282"/>
      <c r="J112" s="109"/>
      <c r="K112"/>
      <c r="L112" s="282"/>
      <c r="M112" s="259"/>
      <c r="N112" s="157" t="s">
        <v>1215</v>
      </c>
      <c r="O112" s="275">
        <f>D112-IFERROR(VLOOKUP(A112,'[1]FL WIP'!$A:$F,4,0),0)</f>
        <v>0</v>
      </c>
      <c r="Q112" s="431"/>
    </row>
    <row r="113" spans="1:17">
      <c r="A113" s="157" t="s">
        <v>1265</v>
      </c>
      <c r="B113" s="157" t="s">
        <v>1266</v>
      </c>
      <c r="C113" s="228">
        <f>IFERROR(GETPIVOTDATA("Sum of qty",PT!$A$17,"product",A113,"FL/AZ","FL"),0)</f>
        <v>0</v>
      </c>
      <c r="D113" s="275">
        <f t="shared" si="68"/>
        <v>0</v>
      </c>
      <c r="E113" s="120">
        <f t="shared" si="50"/>
        <v>0.69981901303574467</v>
      </c>
      <c r="F113" s="282">
        <f t="shared" si="51"/>
        <v>0</v>
      </c>
      <c r="G113" s="282"/>
      <c r="H113" s="282"/>
      <c r="I113" s="282"/>
      <c r="J113" s="109"/>
      <c r="K113"/>
      <c r="L113" s="282"/>
      <c r="M113" s="259"/>
      <c r="N113" s="157" t="s">
        <v>1215</v>
      </c>
      <c r="O113" s="275">
        <f>D113-IFERROR(VLOOKUP(A113,'[1]FL WIP'!$A:$F,4,0),0)</f>
        <v>0</v>
      </c>
      <c r="Q113" s="431"/>
    </row>
    <row r="114" spans="1:17">
      <c r="A114" s="157" t="s">
        <v>1267</v>
      </c>
      <c r="B114" s="157" t="s">
        <v>1268</v>
      </c>
      <c r="C114" s="228">
        <f>IFERROR(GETPIVOTDATA("Sum of qty",PT!$A$17,"product",A114,"FL/AZ","FL"),0)</f>
        <v>0</v>
      </c>
      <c r="D114" s="275">
        <f t="shared" ref="D114" si="69">C114</f>
        <v>0</v>
      </c>
      <c r="E114" s="120">
        <f t="shared" si="50"/>
        <v>0.69981901303574467</v>
      </c>
      <c r="F114" s="282">
        <f t="shared" ref="F114" si="70">D114*E114</f>
        <v>0</v>
      </c>
      <c r="G114" s="282"/>
      <c r="H114" s="282"/>
      <c r="I114" s="282"/>
      <c r="J114" s="109"/>
      <c r="K114"/>
      <c r="L114" s="282"/>
      <c r="M114" s="259"/>
      <c r="N114" s="157" t="s">
        <v>1215</v>
      </c>
      <c r="O114" s="275">
        <f>D114-IFERROR(VLOOKUP(A114,'[1]FL WIP'!$A:$F,4,0),0)</f>
        <v>0</v>
      </c>
      <c r="Q114" s="431"/>
    </row>
    <row r="115" spans="1:17">
      <c r="A115" s="157" t="s">
        <v>932</v>
      </c>
      <c r="B115" s="157" t="s">
        <v>933</v>
      </c>
      <c r="C115" s="228">
        <f>IFERROR(GETPIVOTDATA("Sum of qty",PT!$A$17,"product",A115,"FL/AZ","FL"),0)</f>
        <v>0</v>
      </c>
      <c r="D115" s="275">
        <f t="shared" si="68"/>
        <v>0</v>
      </c>
      <c r="E115" s="120">
        <f t="shared" si="50"/>
        <v>0.69981901303574467</v>
      </c>
      <c r="F115" s="282">
        <f t="shared" si="51"/>
        <v>0</v>
      </c>
      <c r="G115" s="282"/>
      <c r="H115" s="282"/>
      <c r="I115" s="282"/>
      <c r="J115" s="109"/>
      <c r="K115"/>
      <c r="L115" s="282"/>
      <c r="M115" s="259"/>
      <c r="N115" s="157" t="s">
        <v>1215</v>
      </c>
      <c r="O115" s="275">
        <f>D115-IFERROR(VLOOKUP(A115,'[1]FL WIP'!$A:$F,4,0),0)</f>
        <v>0</v>
      </c>
      <c r="Q115" s="431"/>
    </row>
    <row r="116" spans="1:17">
      <c r="A116" s="157" t="s">
        <v>1269</v>
      </c>
      <c r="B116" s="157" t="s">
        <v>1270</v>
      </c>
      <c r="C116" s="228">
        <f>IFERROR(GETPIVOTDATA("Sum of qty",PT!$A$17,"product",A116,"FL/AZ","FL"),0)</f>
        <v>0</v>
      </c>
      <c r="D116" s="275">
        <f t="shared" si="68"/>
        <v>0</v>
      </c>
      <c r="E116" s="120">
        <f t="shared" si="50"/>
        <v>0.69981901303574467</v>
      </c>
      <c r="F116" s="282">
        <f t="shared" si="51"/>
        <v>0</v>
      </c>
      <c r="G116" s="282"/>
      <c r="H116" s="282"/>
      <c r="I116" s="282"/>
      <c r="J116" s="109"/>
      <c r="K116"/>
      <c r="L116" s="282"/>
      <c r="M116" s="259"/>
      <c r="N116" s="157" t="s">
        <v>1215</v>
      </c>
      <c r="O116" s="275">
        <f>D116-IFERROR(VLOOKUP(A116,'[1]FL WIP'!$A:$F,4,0),0)</f>
        <v>0</v>
      </c>
      <c r="Q116" s="431"/>
    </row>
    <row r="117" spans="1:17">
      <c r="A117" s="157" t="s">
        <v>504</v>
      </c>
      <c r="B117" s="157" t="s">
        <v>2845</v>
      </c>
      <c r="C117" s="228">
        <f>IFERROR(GETPIVOTDATA("Sum of qty",PT!$A$17,"product",A117,"FL/AZ","FL"),0)</f>
        <v>4537</v>
      </c>
      <c r="D117" s="275">
        <f t="shared" si="68"/>
        <v>4537</v>
      </c>
      <c r="E117" s="120"/>
      <c r="F117" s="282">
        <f t="shared" si="51"/>
        <v>0</v>
      </c>
      <c r="G117" s="282"/>
      <c r="H117" s="120">
        <v>0</v>
      </c>
      <c r="I117" s="282">
        <f>H117*D117</f>
        <v>0</v>
      </c>
      <c r="J117" s="109"/>
      <c r="K117"/>
      <c r="L117" s="282"/>
      <c r="M117" s="259"/>
      <c r="N117" s="157" t="s">
        <v>1215</v>
      </c>
      <c r="O117" s="275">
        <f>D117-IFERROR(VLOOKUP(A117,'[1]FL WIP'!$A:$F,4,0),0)</f>
        <v>-7133</v>
      </c>
      <c r="Q117" s="431"/>
    </row>
    <row r="118" spans="1:17">
      <c r="A118" t="s">
        <v>293</v>
      </c>
      <c r="B118" t="s">
        <v>294</v>
      </c>
      <c r="C118" s="228">
        <f>IFERROR(GETPIVOTDATA("Sum of qty",PT!$A$17,"product",A118,"FL/AZ","FL"),0)</f>
        <v>18474</v>
      </c>
      <c r="D118" s="275">
        <f t="shared" ref="D118" si="71">C118</f>
        <v>18474</v>
      </c>
      <c r="E118" s="120">
        <f>+$E$13</f>
        <v>0.69981901303574467</v>
      </c>
      <c r="F118" s="282">
        <f t="shared" si="51"/>
        <v>12928.456446822347</v>
      </c>
      <c r="G118" s="282"/>
      <c r="H118" s="120">
        <f>$H$9</f>
        <v>0.33377777777777778</v>
      </c>
      <c r="I118" s="282">
        <f>H118*D118</f>
        <v>6166.2106666666668</v>
      </c>
      <c r="J118" s="109"/>
      <c r="K118"/>
      <c r="L118" s="282"/>
      <c r="M118" s="259"/>
      <c r="N118" s="157" t="s">
        <v>1215</v>
      </c>
      <c r="O118" s="275">
        <f>D118-IFERROR(VLOOKUP(A118,'[1]FL WIP'!$A:$F,4,0),0)</f>
        <v>5764</v>
      </c>
      <c r="Q118" s="431"/>
    </row>
    <row r="119" spans="1:17">
      <c r="A119" s="157" t="s">
        <v>1271</v>
      </c>
      <c r="B119" s="157" t="s">
        <v>1272</v>
      </c>
      <c r="C119" s="228">
        <f>IFERROR(GETPIVOTDATA("Sum of qty",PT!$A$17,"product",A119,"FL/AZ","FL"),0)</f>
        <v>0</v>
      </c>
      <c r="D119" s="275">
        <f t="shared" ref="D119" si="72">C119</f>
        <v>0</v>
      </c>
      <c r="E119" s="120"/>
      <c r="F119" s="282">
        <f t="shared" si="51"/>
        <v>0</v>
      </c>
      <c r="G119" s="282"/>
      <c r="H119" s="120">
        <f>$H$9</f>
        <v>0.33377777777777778</v>
      </c>
      <c r="I119" s="282">
        <f>H119*D119</f>
        <v>0</v>
      </c>
      <c r="J119" s="109"/>
      <c r="K119"/>
      <c r="L119" s="282"/>
      <c r="M119" s="259"/>
      <c r="N119" s="157" t="s">
        <v>1215</v>
      </c>
      <c r="O119" s="275">
        <f>D119-IFERROR(VLOOKUP(A119,'[1]FL WIP'!$A:$F,4,0),0)</f>
        <v>0</v>
      </c>
      <c r="Q119" s="431"/>
    </row>
    <row r="120" spans="1:17">
      <c r="A120" s="157" t="s">
        <v>953</v>
      </c>
      <c r="B120" s="157" t="s">
        <v>954</v>
      </c>
      <c r="C120" s="228">
        <f>IFERROR(GETPIVOTDATA("Sum of qty",PT!$A$17,"product",A120,"FL/AZ","FL"),0)</f>
        <v>0</v>
      </c>
      <c r="D120" s="275">
        <f t="shared" si="49"/>
        <v>0</v>
      </c>
      <c r="E120" s="120"/>
      <c r="F120" s="282">
        <f t="shared" si="51"/>
        <v>0</v>
      </c>
      <c r="G120" s="282"/>
      <c r="H120" s="282"/>
      <c r="I120" s="282"/>
      <c r="J120" s="109"/>
      <c r="K120"/>
      <c r="L120" s="282"/>
      <c r="M120" s="259"/>
      <c r="N120" s="157" t="s">
        <v>1215</v>
      </c>
      <c r="O120" s="275">
        <f>D120-IFERROR(VLOOKUP(A120,'[1]FL WIP'!$A:$F,4,0),0)</f>
        <v>0</v>
      </c>
      <c r="Q120" s="431"/>
    </row>
    <row r="121" spans="1:17">
      <c r="A121" s="157" t="s">
        <v>451</v>
      </c>
      <c r="B121" s="157" t="s">
        <v>1273</v>
      </c>
      <c r="C121" s="228">
        <f>IFERROR(GETPIVOTDATA("Sum of qty",PT!$A$17,"product",A121,"FL/AZ","FL"),0)</f>
        <v>9669.4</v>
      </c>
      <c r="D121" s="275">
        <f t="shared" si="49"/>
        <v>9669.4</v>
      </c>
      <c r="E121" s="120">
        <v>0</v>
      </c>
      <c r="F121" s="282">
        <f t="shared" si="51"/>
        <v>0</v>
      </c>
      <c r="G121" s="282"/>
      <c r="H121" s="120">
        <f>$H$43</f>
        <v>0.15833333333333333</v>
      </c>
      <c r="I121" s="282">
        <f>H121*D121</f>
        <v>1530.9883333333332</v>
      </c>
      <c r="J121" s="109"/>
      <c r="K121"/>
      <c r="L121" s="282"/>
      <c r="M121" s="259"/>
      <c r="N121" s="157" t="s">
        <v>1215</v>
      </c>
      <c r="O121" s="275">
        <f>D121-IFERROR(VLOOKUP(A121,'[1]FL WIP'!$A:$F,4,0),0)</f>
        <v>2299.3000000000002</v>
      </c>
      <c r="Q121" s="431"/>
    </row>
    <row r="122" spans="1:17">
      <c r="A122" s="157" t="s">
        <v>955</v>
      </c>
      <c r="B122" s="157" t="s">
        <v>956</v>
      </c>
      <c r="C122" s="228">
        <f>IFERROR(GETPIVOTDATA("Sum of qty",PT!$A$17,"product",A122,"FL/AZ","FL"),0)</f>
        <v>0</v>
      </c>
      <c r="D122" s="275">
        <f>C122</f>
        <v>0</v>
      </c>
      <c r="E122" s="120">
        <f>+$E$13</f>
        <v>0.69981901303574467</v>
      </c>
      <c r="F122" s="282">
        <f t="shared" ref="F122:F126" si="73">D122*E122</f>
        <v>0</v>
      </c>
      <c r="G122" s="282"/>
      <c r="H122" s="120">
        <f t="shared" ref="H122:H123" si="74">$H$9</f>
        <v>0.33377777777777778</v>
      </c>
      <c r="I122" s="282">
        <f>H122*D122</f>
        <v>0</v>
      </c>
      <c r="J122" s="109"/>
      <c r="K122"/>
      <c r="L122" s="282"/>
      <c r="M122" s="259"/>
      <c r="N122" s="157" t="s">
        <v>1215</v>
      </c>
      <c r="O122" s="275">
        <f>D122-IFERROR(VLOOKUP(A122,'[1]FL WIP'!$A:$F,4,0),0)</f>
        <v>0</v>
      </c>
      <c r="Q122" s="431"/>
    </row>
    <row r="123" spans="1:17">
      <c r="A123" s="157" t="s">
        <v>826</v>
      </c>
      <c r="B123" s="157" t="s">
        <v>827</v>
      </c>
      <c r="C123" s="228">
        <f>IFERROR(GETPIVOTDATA("Sum of qty",PT!$A$17,"product",A123,"FL/AZ","FL"),0)</f>
        <v>0</v>
      </c>
      <c r="D123" s="275">
        <f>C123</f>
        <v>0</v>
      </c>
      <c r="E123" s="120">
        <f>+$E$13</f>
        <v>0.69981901303574467</v>
      </c>
      <c r="F123" s="282">
        <f t="shared" si="73"/>
        <v>0</v>
      </c>
      <c r="G123" s="282"/>
      <c r="H123" s="120">
        <f t="shared" si="74"/>
        <v>0.33377777777777778</v>
      </c>
      <c r="I123" s="282">
        <f>H123*D123</f>
        <v>0</v>
      </c>
      <c r="J123" s="109"/>
      <c r="K123"/>
      <c r="L123" s="282"/>
      <c r="M123" s="259"/>
      <c r="N123" s="157" t="s">
        <v>1215</v>
      </c>
      <c r="O123" s="275">
        <f>D123-IFERROR(VLOOKUP(A123,'[1]FL WIP'!$A:$F,4,0),0)</f>
        <v>0</v>
      </c>
      <c r="Q123" s="431"/>
    </row>
    <row r="124" spans="1:17">
      <c r="A124" s="157" t="s">
        <v>957</v>
      </c>
      <c r="B124" s="157" t="s">
        <v>1274</v>
      </c>
      <c r="C124" s="228">
        <f>IFERROR(GETPIVOTDATA("Sum of qty",PT!$A$17,"product",A124,"FL/AZ","FL"),0)</f>
        <v>0</v>
      </c>
      <c r="D124" s="275">
        <f>C124</f>
        <v>0</v>
      </c>
      <c r="E124" s="120"/>
      <c r="F124" s="282">
        <f t="shared" si="73"/>
        <v>0</v>
      </c>
      <c r="G124" s="282"/>
      <c r="H124" s="282"/>
      <c r="I124" s="282"/>
      <c r="J124" s="109"/>
      <c r="K124"/>
      <c r="L124" s="282"/>
      <c r="M124" s="259"/>
      <c r="N124" s="157" t="s">
        <v>1215</v>
      </c>
      <c r="O124" s="275">
        <f>D124-IFERROR(VLOOKUP(A124,'[1]FL WIP'!$A:$F,4,0),0)</f>
        <v>0</v>
      </c>
      <c r="Q124" s="431"/>
    </row>
    <row r="125" spans="1:17">
      <c r="A125" s="157" t="s">
        <v>1275</v>
      </c>
      <c r="B125" s="157" t="s">
        <v>1276</v>
      </c>
      <c r="C125" s="228">
        <f>IFERROR(GETPIVOTDATA("Sum of qty",PT!$A$17,"product",A125,"FL/AZ","FL"),0)</f>
        <v>0</v>
      </c>
      <c r="D125" s="275">
        <f>C125</f>
        <v>0</v>
      </c>
      <c r="E125" s="120"/>
      <c r="F125" s="282">
        <f t="shared" si="73"/>
        <v>0</v>
      </c>
      <c r="G125" s="282"/>
      <c r="H125" s="282"/>
      <c r="I125" s="282"/>
      <c r="J125" s="109"/>
      <c r="K125"/>
      <c r="L125" s="282"/>
      <c r="M125" s="259"/>
      <c r="N125" s="157" t="s">
        <v>1215</v>
      </c>
      <c r="O125" s="275">
        <f>D125-IFERROR(VLOOKUP(A125,'[1]FL WIP'!$A:$F,4,0),0)</f>
        <v>0</v>
      </c>
      <c r="Q125" s="431"/>
    </row>
    <row r="126" spans="1:17">
      <c r="A126" s="157" t="s">
        <v>959</v>
      </c>
      <c r="B126" s="157" t="s">
        <v>960</v>
      </c>
      <c r="C126" s="228">
        <f>IFERROR(GETPIVOTDATA("Sum of qty",PT!$A$17,"product",A126,"FL/AZ","FL"),0)</f>
        <v>0</v>
      </c>
      <c r="D126" s="275">
        <f>C126</f>
        <v>0</v>
      </c>
      <c r="E126" s="120"/>
      <c r="F126" s="282">
        <f t="shared" si="73"/>
        <v>0</v>
      </c>
      <c r="G126" s="282"/>
      <c r="H126" s="282"/>
      <c r="I126" s="282"/>
      <c r="J126" s="109"/>
      <c r="K126"/>
      <c r="L126" s="282"/>
      <c r="M126" s="259"/>
      <c r="N126" s="157" t="s">
        <v>1215</v>
      </c>
      <c r="O126" s="275">
        <f>D126-IFERROR(VLOOKUP(A126,'[1]FL WIP'!$A:$F,4,0),0)</f>
        <v>0</v>
      </c>
      <c r="Q126" s="431"/>
    </row>
    <row r="127" spans="1:17">
      <c r="A127" s="157" t="s">
        <v>905</v>
      </c>
      <c r="B127" s="157" t="s">
        <v>1277</v>
      </c>
      <c r="C127" s="228">
        <f>IFERROR(GETPIVOTDATA("Sum of qty",PT!$A$17,"product",A127,"FL/AZ","FL"),0)</f>
        <v>0</v>
      </c>
      <c r="D127" s="275">
        <f>C127*45</f>
        <v>0</v>
      </c>
      <c r="E127" s="120"/>
      <c r="F127" s="282"/>
      <c r="G127" s="282"/>
      <c r="H127" s="120">
        <f t="shared" ref="H127:H129" si="75">$H$9</f>
        <v>0.33377777777777778</v>
      </c>
      <c r="I127" s="282">
        <f>H127*D127</f>
        <v>0</v>
      </c>
      <c r="J127" s="109"/>
      <c r="K127"/>
      <c r="L127" s="282"/>
      <c r="M127" s="259"/>
      <c r="N127" s="157" t="s">
        <v>1215</v>
      </c>
      <c r="O127" s="275">
        <f>D127-IFERROR(VLOOKUP(A127,'[1]FL WIP'!$A:$F,4,0),0)</f>
        <v>0</v>
      </c>
      <c r="Q127" s="431"/>
    </row>
    <row r="128" spans="1:17">
      <c r="A128" s="157" t="s">
        <v>679</v>
      </c>
      <c r="B128" s="157" t="s">
        <v>1278</v>
      </c>
      <c r="C128" s="228">
        <f>IFERROR(GETPIVOTDATA("Sum of qty",PT!$A$17,"product",A128,"FL/AZ","FL"),0)</f>
        <v>254</v>
      </c>
      <c r="D128" s="284">
        <f t="shared" si="49"/>
        <v>254</v>
      </c>
      <c r="E128" s="120">
        <f>+$E$13</f>
        <v>0.69981901303574467</v>
      </c>
      <c r="F128" s="282">
        <f>D128*E128</f>
        <v>177.75402931107914</v>
      </c>
      <c r="G128" s="282"/>
      <c r="H128" s="120">
        <f t="shared" si="75"/>
        <v>0.33377777777777778</v>
      </c>
      <c r="I128" s="282">
        <f>H128*D128</f>
        <v>84.779555555555561</v>
      </c>
      <c r="J128" s="109"/>
      <c r="K128"/>
      <c r="L128" s="282"/>
      <c r="M128" s="259"/>
      <c r="N128" s="157" t="s">
        <v>828</v>
      </c>
      <c r="O128" s="275">
        <f>D128-IFERROR(VLOOKUP(A128,'[1]FL WIP'!$A:$F,4,0),0)</f>
        <v>-4197</v>
      </c>
      <c r="Q128" s="431"/>
    </row>
    <row r="129" spans="1:17">
      <c r="A129" s="157" t="s">
        <v>1279</v>
      </c>
      <c r="B129" s="157" t="s">
        <v>1280</v>
      </c>
      <c r="C129" s="228">
        <f>IFERROR(GETPIVOTDATA("Sum of qty",PT!$A$17,"product",A129,"FL/AZ","FL"),0)</f>
        <v>0</v>
      </c>
      <c r="D129" s="284">
        <f t="shared" ref="D129" si="76">C129</f>
        <v>0</v>
      </c>
      <c r="E129" s="120"/>
      <c r="F129" s="282">
        <f>D129*E129</f>
        <v>0</v>
      </c>
      <c r="G129" s="282"/>
      <c r="H129" s="120">
        <f t="shared" si="75"/>
        <v>0.33377777777777778</v>
      </c>
      <c r="I129" s="282">
        <f>H129*D129</f>
        <v>0</v>
      </c>
      <c r="J129" s="109"/>
      <c r="K129"/>
      <c r="L129" s="282"/>
      <c r="M129" s="259"/>
      <c r="N129" s="157" t="s">
        <v>828</v>
      </c>
      <c r="O129" s="275">
        <f>D129-IFERROR(VLOOKUP(A129,'[1]FL WIP'!$A:$F,4,0),0)</f>
        <v>0</v>
      </c>
      <c r="Q129" s="431"/>
    </row>
    <row r="130" spans="1:17" ht="13.5" customHeight="1">
      <c r="A130" s="157" t="s">
        <v>969</v>
      </c>
      <c r="B130" s="157" t="s">
        <v>970</v>
      </c>
      <c r="C130" s="228">
        <f>IFERROR(GETPIVOTDATA("Sum of qty",PT!$A$17,"product",A130,"FL/AZ","FL"),0)</f>
        <v>0</v>
      </c>
      <c r="D130" s="284">
        <f t="shared" si="49"/>
        <v>0</v>
      </c>
      <c r="E130" s="120">
        <f>+$E$13</f>
        <v>0.69981901303574467</v>
      </c>
      <c r="F130" s="282">
        <f>D130*E130</f>
        <v>0</v>
      </c>
      <c r="G130" s="282"/>
      <c r="H130" s="282"/>
      <c r="I130" s="282">
        <f t="shared" ref="I130:I132" si="77">H130*D130</f>
        <v>0</v>
      </c>
      <c r="J130" s="109"/>
      <c r="K130"/>
      <c r="L130" s="282"/>
      <c r="M130" s="259"/>
      <c r="N130" s="157" t="s">
        <v>828</v>
      </c>
      <c r="O130" s="275">
        <f>D130-IFERROR(VLOOKUP(A130,'[1]FL WIP'!$A:$F,4,0),0)</f>
        <v>0</v>
      </c>
      <c r="Q130" s="431"/>
    </row>
    <row r="131" spans="1:17" ht="13.5" customHeight="1">
      <c r="A131" s="157" t="s">
        <v>196</v>
      </c>
      <c r="B131" s="157" t="s">
        <v>197</v>
      </c>
      <c r="C131" s="228">
        <f>IFERROR(GETPIVOTDATA("Sum of qty",PT!$A$17,"product",A131,"FL/AZ","FL"),0)</f>
        <v>9855</v>
      </c>
      <c r="D131" s="284">
        <f t="shared" ref="D131" si="78">C131</f>
        <v>9855</v>
      </c>
      <c r="E131" s="120">
        <f>+$E$13</f>
        <v>0.69981901303574467</v>
      </c>
      <c r="F131" s="282">
        <f>D131*E131</f>
        <v>6896.716373467264</v>
      </c>
      <c r="G131" s="282"/>
      <c r="H131" s="120">
        <f>$H$9</f>
        <v>0.33377777777777778</v>
      </c>
      <c r="I131" s="282">
        <f t="shared" si="77"/>
        <v>3289.38</v>
      </c>
      <c r="J131" s="109"/>
      <c r="K131"/>
      <c r="L131" s="282"/>
      <c r="M131" s="259"/>
      <c r="N131" s="157" t="s">
        <v>828</v>
      </c>
      <c r="O131" s="275">
        <f>D131-IFERROR(VLOOKUP(A131,'[1]FL WIP'!$A:$F,4,0),0)</f>
        <v>3690</v>
      </c>
      <c r="Q131" s="431"/>
    </row>
    <row r="132" spans="1:17" ht="13.5" customHeight="1">
      <c r="A132" s="157" t="s">
        <v>982</v>
      </c>
      <c r="B132" s="157" t="s">
        <v>983</v>
      </c>
      <c r="C132" s="228">
        <f>IFERROR(GETPIVOTDATA("Sum of qty",PT!$A$17,"product",A132,"FL/AZ","FL"),0)</f>
        <v>0</v>
      </c>
      <c r="D132" s="284">
        <f t="shared" si="49"/>
        <v>0</v>
      </c>
      <c r="E132" s="120">
        <f>+$E$13</f>
        <v>0.69981901303574467</v>
      </c>
      <c r="F132" s="282">
        <f t="shared" ref="F132:F201" si="79">D132*E132</f>
        <v>0</v>
      </c>
      <c r="G132" s="282"/>
      <c r="H132" s="282"/>
      <c r="I132" s="282">
        <f t="shared" si="77"/>
        <v>0</v>
      </c>
      <c r="J132" s="109"/>
      <c r="K132"/>
      <c r="L132" s="282"/>
      <c r="M132" s="259"/>
      <c r="N132" s="157" t="s">
        <v>828</v>
      </c>
      <c r="O132" s="275">
        <f>D132-IFERROR(VLOOKUP(A132,'[1]FL WIP'!$A:$F,4,0),0)</f>
        <v>0</v>
      </c>
      <c r="Q132" s="431"/>
    </row>
    <row r="133" spans="1:17" ht="13.5" customHeight="1">
      <c r="A133" s="157" t="s">
        <v>349</v>
      </c>
      <c r="B133" s="157" t="s">
        <v>680</v>
      </c>
      <c r="C133" s="228">
        <f>IFERROR(GETPIVOTDATA("Sum of qty",PT!$A$17,"product",A133,"FL/AZ","FL"),0)</f>
        <v>0</v>
      </c>
      <c r="D133" s="284">
        <f t="shared" si="49"/>
        <v>0</v>
      </c>
      <c r="E133" s="120"/>
      <c r="F133" s="282">
        <f t="shared" si="79"/>
        <v>0</v>
      </c>
      <c r="G133" s="282"/>
      <c r="H133" s="120">
        <v>0</v>
      </c>
      <c r="I133" s="282">
        <f>H133*D133</f>
        <v>0</v>
      </c>
      <c r="J133" s="109"/>
      <c r="K133"/>
      <c r="L133" s="282"/>
      <c r="M133" s="259"/>
      <c r="N133" s="157" t="s">
        <v>828</v>
      </c>
      <c r="O133" s="275">
        <f>D133-IFERROR(VLOOKUP(A133,'[1]FL WIP'!$A:$F,4,0),0)</f>
        <v>0</v>
      </c>
      <c r="Q133" s="431"/>
    </row>
    <row r="134" spans="1:17" ht="13.5" customHeight="1">
      <c r="A134" s="157" t="s">
        <v>1281</v>
      </c>
      <c r="B134" s="157"/>
      <c r="C134" s="228">
        <f>IFERROR(GETPIVOTDATA("Sum of qty",PT!$A$17,"product",A134,"FL/AZ","FL"),0)</f>
        <v>0</v>
      </c>
      <c r="D134" s="284">
        <f t="shared" ref="D134" si="80">C134</f>
        <v>0</v>
      </c>
      <c r="E134" s="120"/>
      <c r="F134" s="282">
        <f t="shared" si="79"/>
        <v>0</v>
      </c>
      <c r="G134" s="282"/>
      <c r="H134" s="120"/>
      <c r="I134" s="282">
        <f>H134*D134</f>
        <v>0</v>
      </c>
      <c r="J134" s="109"/>
      <c r="K134"/>
      <c r="L134" s="282"/>
      <c r="M134" s="259"/>
      <c r="N134" s="157" t="s">
        <v>828</v>
      </c>
      <c r="O134" s="275">
        <f>D134-IFERROR(VLOOKUP(A134,'[1]FL WIP'!$A:$F,4,0),0)</f>
        <v>0</v>
      </c>
      <c r="Q134" s="431"/>
    </row>
    <row r="135" spans="1:17" ht="13.5" customHeight="1">
      <c r="A135" s="157" t="s">
        <v>829</v>
      </c>
      <c r="B135" s="157" t="s">
        <v>830</v>
      </c>
      <c r="C135" s="228">
        <f>IFERROR(GETPIVOTDATA("Sum of qty",PT!$A$17,"product",A135,"FL/AZ","FL"),0)</f>
        <v>0</v>
      </c>
      <c r="D135" s="284">
        <f t="shared" ref="D135:D136" si="81">C135</f>
        <v>0</v>
      </c>
      <c r="E135" s="120"/>
      <c r="F135" s="282">
        <f t="shared" si="79"/>
        <v>0</v>
      </c>
      <c r="G135" s="282"/>
      <c r="H135" s="120">
        <f t="shared" ref="H135:H138" si="82">$H$9</f>
        <v>0.33377777777777778</v>
      </c>
      <c r="I135" s="282">
        <f>H135*D135</f>
        <v>0</v>
      </c>
      <c r="J135" s="109"/>
      <c r="K135"/>
      <c r="L135" s="282"/>
      <c r="M135" s="259"/>
      <c r="N135" s="157" t="s">
        <v>828</v>
      </c>
      <c r="O135" s="275">
        <f>D135-IFERROR(VLOOKUP(A135,'[1]FL WIP'!$A:$F,4,0),0)</f>
        <v>0</v>
      </c>
      <c r="Q135" s="431"/>
    </row>
    <row r="136" spans="1:17" ht="13.5" customHeight="1">
      <c r="A136" s="157" t="s">
        <v>836</v>
      </c>
      <c r="B136" s="157" t="s">
        <v>837</v>
      </c>
      <c r="C136" s="228">
        <f>IFERROR(GETPIVOTDATA("Sum of qty",PT!$A$17,"product",A136,"FL/AZ","FL"),0)</f>
        <v>0</v>
      </c>
      <c r="D136" s="284">
        <f t="shared" si="81"/>
        <v>0</v>
      </c>
      <c r="E136" s="120"/>
      <c r="F136" s="282">
        <f t="shared" si="79"/>
        <v>0</v>
      </c>
      <c r="G136" s="282"/>
      <c r="H136" s="120">
        <f t="shared" si="82"/>
        <v>0.33377777777777778</v>
      </c>
      <c r="I136" s="282">
        <f>H136*D136</f>
        <v>0</v>
      </c>
      <c r="J136" s="109"/>
      <c r="K136"/>
      <c r="L136" s="282"/>
      <c r="M136" s="259"/>
      <c r="N136" s="157" t="s">
        <v>828</v>
      </c>
      <c r="O136" s="275">
        <f>D136-IFERROR(VLOOKUP(A136,'[1]FL WIP'!$A:$F,4,0),0)</f>
        <v>0</v>
      </c>
      <c r="Q136" s="431"/>
    </row>
    <row r="137" spans="1:17" ht="13.5" customHeight="1">
      <c r="A137" s="157" t="s">
        <v>846</v>
      </c>
      <c r="B137" s="157" t="s">
        <v>977</v>
      </c>
      <c r="C137" s="228">
        <f>IFERROR(GETPIVOTDATA("Sum of qty",PT!$A$17,"product",A137,"FL/AZ","FL"),0)</f>
        <v>0</v>
      </c>
      <c r="D137" s="284">
        <f t="shared" si="49"/>
        <v>0</v>
      </c>
      <c r="E137" s="120">
        <f t="shared" ref="E137:E160" si="83">+$E$13</f>
        <v>0.69981901303574467</v>
      </c>
      <c r="F137" s="282">
        <f t="shared" si="79"/>
        <v>0</v>
      </c>
      <c r="G137" s="282"/>
      <c r="H137" s="120">
        <f t="shared" si="82"/>
        <v>0.33377777777777778</v>
      </c>
      <c r="I137" s="282">
        <f t="shared" ref="I137:I138" si="84">H137*D137</f>
        <v>0</v>
      </c>
      <c r="J137" s="109"/>
      <c r="K137"/>
      <c r="L137" s="282"/>
      <c r="M137" s="259"/>
      <c r="N137" s="157" t="s">
        <v>828</v>
      </c>
      <c r="O137" s="275">
        <f>D137-IFERROR(VLOOKUP(A137,'[1]FL WIP'!$A:$F,4,0),0)</f>
        <v>0</v>
      </c>
      <c r="Q137" s="431"/>
    </row>
    <row r="138" spans="1:17">
      <c r="A138" s="157" t="s">
        <v>623</v>
      </c>
      <c r="B138" s="157" t="s">
        <v>624</v>
      </c>
      <c r="C138" s="228">
        <f>IFERROR(GETPIVOTDATA("Sum of qty",PT!$A$17,"product",A138,"FL/AZ","FL"),0)</f>
        <v>0</v>
      </c>
      <c r="D138" s="284">
        <f>C138</f>
        <v>0</v>
      </c>
      <c r="E138" s="120">
        <f t="shared" si="83"/>
        <v>0.69981901303574467</v>
      </c>
      <c r="F138" s="282">
        <f t="shared" si="79"/>
        <v>0</v>
      </c>
      <c r="G138" s="282"/>
      <c r="H138" s="120">
        <f t="shared" si="82"/>
        <v>0.33377777777777778</v>
      </c>
      <c r="I138" s="282">
        <f t="shared" si="84"/>
        <v>0</v>
      </c>
      <c r="J138" s="109"/>
      <c r="K138"/>
      <c r="L138" s="282"/>
      <c r="M138" s="259"/>
      <c r="N138" s="157" t="s">
        <v>828</v>
      </c>
      <c r="O138" s="275">
        <f>D138-IFERROR(VLOOKUP(A138,'[1]FL WIP'!$A:$F,4,0),0)</f>
        <v>0</v>
      </c>
      <c r="Q138" s="431"/>
    </row>
    <row r="139" spans="1:17">
      <c r="A139" s="157" t="s">
        <v>978</v>
      </c>
      <c r="B139" s="157" t="s">
        <v>1282</v>
      </c>
      <c r="C139" s="228">
        <f>IFERROR(GETPIVOTDATA("Sum of qty",PT!$A$17,"product",A139,"FL/AZ","FL"),0)</f>
        <v>0</v>
      </c>
      <c r="D139" s="284">
        <f t="shared" si="49"/>
        <v>0</v>
      </c>
      <c r="E139" s="120">
        <f t="shared" si="83"/>
        <v>0.69981901303574467</v>
      </c>
      <c r="F139" s="282">
        <f t="shared" si="79"/>
        <v>0</v>
      </c>
      <c r="G139" s="282"/>
      <c r="H139" s="282"/>
      <c r="I139" s="282"/>
      <c r="J139" s="109"/>
      <c r="K139"/>
      <c r="L139" s="282"/>
      <c r="M139" s="259"/>
      <c r="N139" s="157" t="s">
        <v>828</v>
      </c>
      <c r="O139" s="275">
        <f>D139-IFERROR(VLOOKUP(A139,'[1]FL WIP'!$A:$F,4,0),0)</f>
        <v>0</v>
      </c>
      <c r="Q139" s="431"/>
    </row>
    <row r="140" spans="1:17">
      <c r="A140" s="157" t="s">
        <v>1283</v>
      </c>
      <c r="B140" s="157" t="s">
        <v>1284</v>
      </c>
      <c r="C140" s="228">
        <f>IFERROR(GETPIVOTDATA("Sum of qty",PT!$A$17,"product",A140,"FL/AZ","FL"),0)</f>
        <v>0</v>
      </c>
      <c r="D140" s="284">
        <f>C140</f>
        <v>0</v>
      </c>
      <c r="E140" s="120">
        <f t="shared" si="83"/>
        <v>0.69981901303574467</v>
      </c>
      <c r="F140" s="282">
        <f t="shared" si="79"/>
        <v>0</v>
      </c>
      <c r="G140" s="282"/>
      <c r="H140" s="120">
        <f>$H$9</f>
        <v>0.33377777777777778</v>
      </c>
      <c r="I140" s="282">
        <f>H140*D140</f>
        <v>0</v>
      </c>
      <c r="J140" s="109"/>
      <c r="K140"/>
      <c r="L140" s="282"/>
      <c r="M140" s="259"/>
      <c r="N140" s="157" t="s">
        <v>828</v>
      </c>
      <c r="O140" s="275">
        <f>D140-IFERROR(VLOOKUP(A140,'[1]FL WIP'!$A:$F,4,0),0)</f>
        <v>0</v>
      </c>
      <c r="Q140" s="431"/>
    </row>
    <row r="141" spans="1:17">
      <c r="A141" s="157" t="s">
        <v>1285</v>
      </c>
      <c r="B141" s="157" t="s">
        <v>1286</v>
      </c>
      <c r="C141" s="228">
        <f>IFERROR(GETPIVOTDATA("Sum of qty",PT!$A$17,"product",A141,"FL/AZ","FL"),0)</f>
        <v>0</v>
      </c>
      <c r="D141" s="284">
        <f>C141</f>
        <v>0</v>
      </c>
      <c r="E141" s="120">
        <v>0</v>
      </c>
      <c r="F141" s="282">
        <f t="shared" si="79"/>
        <v>0</v>
      </c>
      <c r="G141" s="282"/>
      <c r="H141" s="282"/>
      <c r="I141" s="282"/>
      <c r="J141" s="109"/>
      <c r="K141"/>
      <c r="L141" s="282"/>
      <c r="M141" s="259"/>
      <c r="N141" s="157" t="s">
        <v>828</v>
      </c>
      <c r="O141" s="275">
        <f>D141-IFERROR(VLOOKUP(A141,'[1]FL WIP'!$A:$F,4,0),0)</f>
        <v>0</v>
      </c>
      <c r="Q141" s="431"/>
    </row>
    <row r="142" spans="1:17">
      <c r="A142" s="157" t="s">
        <v>631</v>
      </c>
      <c r="B142" s="157" t="s">
        <v>1287</v>
      </c>
      <c r="C142" s="228">
        <f>IFERROR(GETPIVOTDATA("Sum of qty",PT!$A$17,"product",A142,"FL/AZ","FL"),0)</f>
        <v>0</v>
      </c>
      <c r="D142" s="284">
        <f t="shared" si="49"/>
        <v>0</v>
      </c>
      <c r="E142" s="120">
        <f t="shared" si="83"/>
        <v>0.69981901303574467</v>
      </c>
      <c r="F142" s="282">
        <f>D142*E142</f>
        <v>0</v>
      </c>
      <c r="G142" s="282"/>
      <c r="H142" s="282"/>
      <c r="I142" s="282"/>
      <c r="J142" s="109"/>
      <c r="K142"/>
      <c r="L142" s="282"/>
      <c r="M142" s="259"/>
      <c r="N142" s="157" t="s">
        <v>1215</v>
      </c>
      <c r="O142" s="275">
        <f>D142-IFERROR(VLOOKUP(A142,'[1]FL WIP'!$A:$F,4,0),0)</f>
        <v>0</v>
      </c>
      <c r="Q142" s="431"/>
    </row>
    <row r="143" spans="1:17">
      <c r="A143" s="157" t="s">
        <v>1288</v>
      </c>
      <c r="B143" s="157" t="s">
        <v>1289</v>
      </c>
      <c r="C143" s="228">
        <f>IFERROR(GETPIVOTDATA("Sum of qty",PT!$A$17,"product",A143,"FL/AZ","FL"),0)</f>
        <v>0</v>
      </c>
      <c r="D143" s="284">
        <f>C143</f>
        <v>0</v>
      </c>
      <c r="E143" s="120">
        <f t="shared" si="83"/>
        <v>0.69981901303574467</v>
      </c>
      <c r="F143" s="282">
        <f t="shared" si="79"/>
        <v>0</v>
      </c>
      <c r="G143" s="282"/>
      <c r="H143" s="282"/>
      <c r="I143" s="282"/>
      <c r="J143" s="109"/>
      <c r="K143"/>
      <c r="L143" s="282"/>
      <c r="M143" s="259"/>
      <c r="N143" s="157" t="s">
        <v>1215</v>
      </c>
      <c r="O143" s="275">
        <f>D143-IFERROR(VLOOKUP(A143,'[1]FL WIP'!$A:$F,4,0),0)</f>
        <v>0</v>
      </c>
      <c r="Q143" s="431"/>
    </row>
    <row r="144" spans="1:17">
      <c r="A144" s="157" t="s">
        <v>988</v>
      </c>
      <c r="B144" s="157" t="s">
        <v>989</v>
      </c>
      <c r="C144" s="228">
        <f>IFERROR(GETPIVOTDATA("Sum of qty",PT!$A$17,"product",A144,"FL/AZ","FL"),0)</f>
        <v>0</v>
      </c>
      <c r="D144" s="284">
        <f t="shared" si="49"/>
        <v>0</v>
      </c>
      <c r="E144" s="120">
        <f t="shared" si="83"/>
        <v>0.69981901303574467</v>
      </c>
      <c r="F144" s="282">
        <f t="shared" si="79"/>
        <v>0</v>
      </c>
      <c r="G144" s="282"/>
      <c r="H144" s="282"/>
      <c r="I144" s="282"/>
      <c r="J144" s="109"/>
      <c r="K144"/>
      <c r="L144" s="282"/>
      <c r="M144" s="259"/>
      <c r="N144" s="157" t="s">
        <v>1215</v>
      </c>
      <c r="O144" s="275">
        <f>D144-IFERROR(VLOOKUP(A144,'[1]FL WIP'!$A:$F,4,0),0)</f>
        <v>-1063</v>
      </c>
      <c r="Q144" s="431"/>
    </row>
    <row r="145" spans="1:17">
      <c r="A145" s="157" t="s">
        <v>990</v>
      </c>
      <c r="B145" s="157" t="s">
        <v>991</v>
      </c>
      <c r="C145" s="228">
        <f>IFERROR(GETPIVOTDATA("Sum of qty",PT!$A$17,"product",A145,"FL/AZ","FL"),0)</f>
        <v>0</v>
      </c>
      <c r="D145" s="284">
        <f>C145</f>
        <v>0</v>
      </c>
      <c r="E145" s="120">
        <f t="shared" si="83"/>
        <v>0.69981901303574467</v>
      </c>
      <c r="F145" s="282">
        <f t="shared" ref="F145" si="85">D145*E145</f>
        <v>0</v>
      </c>
      <c r="G145" s="282"/>
      <c r="H145" s="282"/>
      <c r="I145" s="282"/>
      <c r="J145" s="109"/>
      <c r="K145"/>
      <c r="L145" s="282"/>
      <c r="M145" s="259"/>
      <c r="N145" s="157" t="s">
        <v>1215</v>
      </c>
      <c r="O145" s="275">
        <f>D145-IFERROR(VLOOKUP(A145,'[1]FL WIP'!$A:$F,4,0),0)</f>
        <v>0</v>
      </c>
      <c r="Q145" s="431"/>
    </row>
    <row r="146" spans="1:17">
      <c r="A146" s="157" t="s">
        <v>1290</v>
      </c>
      <c r="B146" s="157" t="s">
        <v>1291</v>
      </c>
      <c r="C146" s="228">
        <f>IFERROR(GETPIVOTDATA("Sum of qty",PT!$A$17,"product",A146,"FL/AZ","FL"),0)</f>
        <v>0</v>
      </c>
      <c r="D146" s="284">
        <f>C146</f>
        <v>0</v>
      </c>
      <c r="E146" s="120">
        <f t="shared" si="83"/>
        <v>0.69981901303574467</v>
      </c>
      <c r="F146" s="282">
        <f t="shared" si="79"/>
        <v>0</v>
      </c>
      <c r="G146" s="282"/>
      <c r="H146" s="282"/>
      <c r="I146" s="282"/>
      <c r="J146" s="109"/>
      <c r="K146"/>
      <c r="L146" s="282"/>
      <c r="M146" s="259"/>
      <c r="N146" s="157" t="s">
        <v>1215</v>
      </c>
      <c r="O146" s="275">
        <f>D146-IFERROR(VLOOKUP(A146,'[1]FL WIP'!$A:$F,4,0),0)</f>
        <v>0</v>
      </c>
      <c r="Q146" s="431"/>
    </row>
    <row r="147" spans="1:17">
      <c r="A147" s="157" t="s">
        <v>1292</v>
      </c>
      <c r="B147" s="157" t="s">
        <v>1293</v>
      </c>
      <c r="C147" s="228">
        <f>IFERROR(GETPIVOTDATA("Sum of qty",PT!$A$17,"product",A147,"FL/AZ","FL"),0)</f>
        <v>0</v>
      </c>
      <c r="D147" s="284">
        <f t="shared" si="49"/>
        <v>0</v>
      </c>
      <c r="E147" s="120">
        <f t="shared" si="83"/>
        <v>0.69981901303574467</v>
      </c>
      <c r="F147" s="282">
        <f t="shared" si="79"/>
        <v>0</v>
      </c>
      <c r="G147" s="282"/>
      <c r="H147" s="282"/>
      <c r="I147" s="282"/>
      <c r="J147" s="109"/>
      <c r="K147"/>
      <c r="L147" s="282"/>
      <c r="M147" s="259"/>
      <c r="N147" s="157" t="s">
        <v>1215</v>
      </c>
      <c r="O147" s="275">
        <f>D147-IFERROR(VLOOKUP(A147,'[1]FL WIP'!$A:$F,4,0),0)</f>
        <v>0</v>
      </c>
      <c r="Q147" s="431"/>
    </row>
    <row r="148" spans="1:17">
      <c r="A148" s="157" t="s">
        <v>986</v>
      </c>
      <c r="B148" s="157" t="s">
        <v>1294</v>
      </c>
      <c r="C148" s="228">
        <f>IFERROR(GETPIVOTDATA("Sum of qty",PT!$A$17,"product",A148,"FL/AZ","FL"),0)</f>
        <v>0</v>
      </c>
      <c r="D148" s="284">
        <f t="shared" si="49"/>
        <v>0</v>
      </c>
      <c r="E148" s="120">
        <f t="shared" si="83"/>
        <v>0.69981901303574467</v>
      </c>
      <c r="F148" s="282">
        <f t="shared" si="79"/>
        <v>0</v>
      </c>
      <c r="G148" s="282"/>
      <c r="H148" s="282"/>
      <c r="I148" s="282"/>
      <c r="J148" s="109"/>
      <c r="K148"/>
      <c r="L148" s="282"/>
      <c r="M148" s="259"/>
      <c r="N148" s="157" t="s">
        <v>1215</v>
      </c>
      <c r="O148" s="275">
        <f>D148-IFERROR(VLOOKUP(A148,'[1]FL WIP'!$A:$F,4,0),0)</f>
        <v>0</v>
      </c>
      <c r="Q148" s="431"/>
    </row>
    <row r="149" spans="1:17">
      <c r="A149" s="157" t="s">
        <v>994</v>
      </c>
      <c r="B149" s="157" t="s">
        <v>1295</v>
      </c>
      <c r="C149" s="228">
        <f>IFERROR(GETPIVOTDATA("Sum of qty",PT!$A$17,"product",A149,"FL/AZ","FL"),0)</f>
        <v>0</v>
      </c>
      <c r="D149" s="284">
        <f t="shared" si="49"/>
        <v>0</v>
      </c>
      <c r="E149" s="120">
        <f t="shared" si="83"/>
        <v>0.69981901303574467</v>
      </c>
      <c r="F149" s="282">
        <f t="shared" si="79"/>
        <v>0</v>
      </c>
      <c r="G149" s="282"/>
      <c r="H149" s="282"/>
      <c r="I149" s="282"/>
      <c r="J149" s="109"/>
      <c r="K149"/>
      <c r="L149" s="282"/>
      <c r="M149"/>
      <c r="N149" s="157" t="s">
        <v>1215</v>
      </c>
      <c r="O149" s="275">
        <f>D149-IFERROR(VLOOKUP(A149,'[1]FL WIP'!$A:$F,4,0),0)</f>
        <v>0</v>
      </c>
      <c r="Q149" s="431"/>
    </row>
    <row r="150" spans="1:17">
      <c r="A150" s="157" t="s">
        <v>618</v>
      </c>
      <c r="B150" s="157" t="s">
        <v>274</v>
      </c>
      <c r="C150" s="228">
        <f>IFERROR(GETPIVOTDATA("Sum of qty",PT!$A$17,"product",A150,"FL/AZ","FL"),0)</f>
        <v>0</v>
      </c>
      <c r="D150" s="284"/>
      <c r="E150" s="120">
        <f t="shared" si="83"/>
        <v>0.69981901303574467</v>
      </c>
      <c r="F150" s="282">
        <f t="shared" si="79"/>
        <v>0</v>
      </c>
      <c r="G150" s="282"/>
      <c r="H150" s="282"/>
      <c r="I150" s="282"/>
      <c r="J150" s="109"/>
      <c r="K150"/>
      <c r="L150" s="282"/>
      <c r="M150"/>
      <c r="N150" s="157" t="s">
        <v>1215</v>
      </c>
      <c r="O150" s="275">
        <f>D150-IFERROR(VLOOKUP(A150,'[1]FL WIP'!$A:$F,4,0),0)</f>
        <v>0</v>
      </c>
      <c r="Q150" s="431"/>
    </row>
    <row r="151" spans="1:17">
      <c r="A151" s="157" t="s">
        <v>1296</v>
      </c>
      <c r="B151" s="157" t="s">
        <v>1297</v>
      </c>
      <c r="C151" s="228">
        <f>IFERROR(GETPIVOTDATA("Sum of qty",PT!$A$17,"product",A151,"FL/AZ","FL"),0)</f>
        <v>0</v>
      </c>
      <c r="D151" s="284">
        <f t="shared" si="49"/>
        <v>0</v>
      </c>
      <c r="E151" s="120">
        <f t="shared" si="83"/>
        <v>0.69981901303574467</v>
      </c>
      <c r="F151" s="282">
        <f t="shared" si="79"/>
        <v>0</v>
      </c>
      <c r="G151" s="282"/>
      <c r="H151" s="282"/>
      <c r="I151" s="282"/>
      <c r="J151" s="109"/>
      <c r="K151"/>
      <c r="L151" s="282"/>
      <c r="M151"/>
      <c r="N151" s="157" t="s">
        <v>1215</v>
      </c>
      <c r="O151" s="275">
        <f>D151-IFERROR(VLOOKUP(A151,'[1]FL WIP'!$A:$F,4,0),0)</f>
        <v>0</v>
      </c>
      <c r="Q151" s="431"/>
    </row>
    <row r="152" spans="1:17">
      <c r="A152" s="157" t="s">
        <v>1002</v>
      </c>
      <c r="B152" s="157" t="s">
        <v>1003</v>
      </c>
      <c r="C152" s="228">
        <f>IFERROR(GETPIVOTDATA("Sum of qty",PT!$A$17,"product",A152,"FL/AZ","FL"),0)</f>
        <v>0</v>
      </c>
      <c r="D152" s="284">
        <f t="shared" si="49"/>
        <v>0</v>
      </c>
      <c r="E152" s="120">
        <f t="shared" si="83"/>
        <v>0.69981901303574467</v>
      </c>
      <c r="F152" s="282">
        <f t="shared" si="79"/>
        <v>0</v>
      </c>
      <c r="G152" s="282"/>
      <c r="H152" s="282"/>
      <c r="I152" s="282"/>
      <c r="J152" s="109"/>
      <c r="K152"/>
      <c r="L152" s="282"/>
      <c r="M152"/>
      <c r="N152" s="157" t="s">
        <v>1215</v>
      </c>
      <c r="O152" s="275">
        <f>D152-IFERROR(VLOOKUP(A152,'[1]FL WIP'!$A:$F,4,0),0)</f>
        <v>0</v>
      </c>
      <c r="Q152" s="431"/>
    </row>
    <row r="153" spans="1:17">
      <c r="A153" s="157" t="s">
        <v>33</v>
      </c>
      <c r="B153" s="157" t="s">
        <v>1298</v>
      </c>
      <c r="C153" s="228">
        <f>IFERROR(GETPIVOTDATA("Sum of qty",PT!$A$17,"product",A153,"FL/AZ","FL"),0)</f>
        <v>0</v>
      </c>
      <c r="D153" s="284">
        <f>C153</f>
        <v>0</v>
      </c>
      <c r="E153" s="120">
        <f t="shared" si="83"/>
        <v>0.69981901303574467</v>
      </c>
      <c r="F153" s="282">
        <f t="shared" si="79"/>
        <v>0</v>
      </c>
      <c r="G153" s="282"/>
      <c r="H153" s="282"/>
      <c r="I153" s="282"/>
      <c r="J153" s="109"/>
      <c r="K153"/>
      <c r="L153" s="282"/>
      <c r="M153"/>
      <c r="N153" s="157" t="s">
        <v>1215</v>
      </c>
      <c r="O153" s="275">
        <f>D153-IFERROR(VLOOKUP(A153,'[1]FL WIP'!$A:$F,4,0),0)</f>
        <v>0</v>
      </c>
      <c r="Q153" s="431"/>
    </row>
    <row r="154" spans="1:17">
      <c r="A154" s="157" t="s">
        <v>1005</v>
      </c>
      <c r="B154" s="157" t="s">
        <v>1006</v>
      </c>
      <c r="C154" s="228">
        <f>IFERROR(GETPIVOTDATA("Sum of qty",PT!$A$17,"product",A154,"FL/AZ","FL"),0)</f>
        <v>0</v>
      </c>
      <c r="D154" s="284">
        <f>C154</f>
        <v>0</v>
      </c>
      <c r="E154" s="120">
        <f t="shared" si="83"/>
        <v>0.69981901303574467</v>
      </c>
      <c r="F154" s="282">
        <f t="shared" si="79"/>
        <v>0</v>
      </c>
      <c r="G154" s="282"/>
      <c r="H154" s="282"/>
      <c r="I154" s="282"/>
      <c r="J154" s="109"/>
      <c r="K154"/>
      <c r="L154" s="282"/>
      <c r="M154"/>
      <c r="N154" s="157" t="s">
        <v>1215</v>
      </c>
      <c r="O154" s="275">
        <f>D154-IFERROR(VLOOKUP(A154,'[1]FL WIP'!$A:$F,4,0),0)</f>
        <v>-1100</v>
      </c>
      <c r="Q154" s="431"/>
    </row>
    <row r="155" spans="1:17">
      <c r="A155" s="157" t="s">
        <v>934</v>
      </c>
      <c r="B155" s="157" t="s">
        <v>1299</v>
      </c>
      <c r="C155" s="228">
        <f>IFERROR(GETPIVOTDATA("Sum of qty",PT!$A$17,"product",A155,"FL/AZ","FL"),0)</f>
        <v>0</v>
      </c>
      <c r="D155" s="284">
        <f t="shared" si="49"/>
        <v>0</v>
      </c>
      <c r="E155" s="120">
        <f t="shared" si="83"/>
        <v>0.69981901303574467</v>
      </c>
      <c r="F155" s="282">
        <f t="shared" si="79"/>
        <v>0</v>
      </c>
      <c r="G155" s="282"/>
      <c r="H155" s="282"/>
      <c r="I155" s="282"/>
      <c r="J155" s="109"/>
      <c r="K155"/>
      <c r="L155" s="282"/>
      <c r="M155"/>
      <c r="N155" s="157" t="s">
        <v>852</v>
      </c>
      <c r="O155" s="275">
        <f>D155-IFERROR(VLOOKUP(A155,'[1]FL WIP'!$A:$F,4,0),0)</f>
        <v>0</v>
      </c>
      <c r="Q155" s="431"/>
    </row>
    <row r="156" spans="1:17">
      <c r="A156" s="157" t="s">
        <v>663</v>
      </c>
      <c r="B156" s="157" t="s">
        <v>1300</v>
      </c>
      <c r="C156" s="228">
        <f>IFERROR(GETPIVOTDATA("Sum of qty",PT!$A$17,"product",A156,"FL/AZ","FL"),0)</f>
        <v>90</v>
      </c>
      <c r="D156" s="284">
        <f t="shared" si="49"/>
        <v>90</v>
      </c>
      <c r="E156" s="120">
        <f t="shared" si="83"/>
        <v>0.69981901303574467</v>
      </c>
      <c r="F156" s="282">
        <f t="shared" si="79"/>
        <v>62.983711173217017</v>
      </c>
      <c r="G156" s="282"/>
      <c r="H156" s="120">
        <f>$H$9</f>
        <v>0.33377777777777778</v>
      </c>
      <c r="I156" s="282">
        <f>H156*D156</f>
        <v>30.04</v>
      </c>
      <c r="J156" s="109"/>
      <c r="K156"/>
      <c r="L156" s="282"/>
      <c r="M156"/>
      <c r="N156" s="157" t="s">
        <v>852</v>
      </c>
      <c r="O156" s="275">
        <f>D156-IFERROR(VLOOKUP(A156,'[1]FL WIP'!$A:$F,4,0),0)</f>
        <v>-4419</v>
      </c>
      <c r="Q156" s="431"/>
    </row>
    <row r="157" spans="1:17">
      <c r="A157" s="157" t="s">
        <v>1010</v>
      </c>
      <c r="B157" s="157" t="s">
        <v>664</v>
      </c>
      <c r="C157" s="228">
        <f>IFERROR(GETPIVOTDATA("Sum of qty",PT!$A$17,"product",A157,"FL/AZ","FL"),0)</f>
        <v>0</v>
      </c>
      <c r="D157" s="284">
        <f>C157</f>
        <v>0</v>
      </c>
      <c r="E157" s="120">
        <f t="shared" si="83"/>
        <v>0.69981901303574467</v>
      </c>
      <c r="F157" s="282">
        <f t="shared" si="79"/>
        <v>0</v>
      </c>
      <c r="G157" s="282"/>
      <c r="H157" s="282"/>
      <c r="I157" s="282"/>
      <c r="J157" s="109"/>
      <c r="K157"/>
      <c r="L157" s="282"/>
      <c r="M157"/>
      <c r="N157" s="157" t="s">
        <v>852</v>
      </c>
      <c r="O157" s="275">
        <f>D157-IFERROR(VLOOKUP(A157,'[1]FL WIP'!$A:$F,4,0),0)</f>
        <v>0</v>
      </c>
      <c r="Q157" s="431"/>
    </row>
    <row r="158" spans="1:17">
      <c r="A158" s="157" t="s">
        <v>173</v>
      </c>
      <c r="B158" s="157" t="s">
        <v>1007</v>
      </c>
      <c r="C158" s="228">
        <f>IFERROR(GETPIVOTDATA("Sum of qty",PT!$A$17,"product",A158,"FL/AZ","FL"),0)</f>
        <v>97837.440000000002</v>
      </c>
      <c r="D158" s="284">
        <f>C158</f>
        <v>97837.440000000002</v>
      </c>
      <c r="E158" s="120"/>
      <c r="F158" s="282">
        <f t="shared" si="79"/>
        <v>0</v>
      </c>
      <c r="G158" s="282"/>
      <c r="H158" s="120">
        <f>$H$8</f>
        <v>9.5000000000000001E-2</v>
      </c>
      <c r="I158" s="432">
        <f>D158*H158</f>
        <v>9294.5568000000003</v>
      </c>
      <c r="J158" s="109"/>
      <c r="K158"/>
      <c r="L158" s="282"/>
      <c r="M158"/>
      <c r="N158" s="157" t="s">
        <v>852</v>
      </c>
      <c r="O158" s="275">
        <f>D158-IFERROR(VLOOKUP(A158,'[1]FL WIP'!$A:$F,4,0),0)</f>
        <v>41856.36</v>
      </c>
      <c r="Q158" s="431"/>
    </row>
    <row r="159" spans="1:17">
      <c r="A159" s="157" t="s">
        <v>1301</v>
      </c>
      <c r="B159" s="157" t="s">
        <v>1302</v>
      </c>
      <c r="C159" s="228">
        <f>IFERROR(GETPIVOTDATA("Sum of qty",PT!$A$17,"product",A159,"FL/AZ","FL"),0)</f>
        <v>0</v>
      </c>
      <c r="D159" s="284">
        <f>C159</f>
        <v>0</v>
      </c>
      <c r="E159" s="120">
        <f t="shared" si="83"/>
        <v>0.69981901303574467</v>
      </c>
      <c r="F159" s="282">
        <f t="shared" si="79"/>
        <v>0</v>
      </c>
      <c r="G159" s="282"/>
      <c r="H159" s="282"/>
      <c r="I159" s="282"/>
      <c r="J159" s="109"/>
      <c r="K159"/>
      <c r="L159" s="282"/>
      <c r="M159"/>
      <c r="N159" s="157" t="s">
        <v>852</v>
      </c>
      <c r="O159" s="275">
        <f>D159-IFERROR(VLOOKUP(A159,'[1]FL WIP'!$A:$F,4,0),0)</f>
        <v>0</v>
      </c>
      <c r="Q159" s="431"/>
    </row>
    <row r="160" spans="1:17">
      <c r="A160" s="157" t="s">
        <v>1014</v>
      </c>
      <c r="B160" s="157" t="s">
        <v>1303</v>
      </c>
      <c r="C160" s="228">
        <f>IFERROR(GETPIVOTDATA("Sum of qty",PT!$A$17,"product",A160,"FL/AZ","FL"),0)</f>
        <v>0</v>
      </c>
      <c r="D160" s="284">
        <f t="shared" si="49"/>
        <v>0</v>
      </c>
      <c r="E160" s="120">
        <f t="shared" si="83"/>
        <v>0.69981901303574467</v>
      </c>
      <c r="F160" s="282">
        <f t="shared" si="79"/>
        <v>0</v>
      </c>
      <c r="G160" s="282"/>
      <c r="H160" s="282"/>
      <c r="I160" s="282"/>
      <c r="J160" s="109"/>
      <c r="K160"/>
      <c r="L160" s="282"/>
      <c r="M160"/>
      <c r="N160" s="157" t="s">
        <v>852</v>
      </c>
      <c r="O160" s="275">
        <f>D160-IFERROR(VLOOKUP(A160,'[1]FL WIP'!$A:$F,4,0),0)</f>
        <v>0</v>
      </c>
      <c r="Q160" s="431"/>
    </row>
    <row r="161" spans="1:17">
      <c r="A161" s="157" t="s">
        <v>421</v>
      </c>
      <c r="B161" s="157" t="s">
        <v>664</v>
      </c>
      <c r="C161" s="228">
        <f>IFERROR(GETPIVOTDATA("Sum of qty",PT!$A$17,"product",A161,"FL/AZ","FL"),0)</f>
        <v>653</v>
      </c>
      <c r="D161" s="284">
        <f t="shared" si="49"/>
        <v>653</v>
      </c>
      <c r="E161" s="120"/>
      <c r="F161" s="282">
        <f t="shared" si="79"/>
        <v>0</v>
      </c>
      <c r="G161" s="282"/>
      <c r="H161" s="282"/>
      <c r="I161" s="282"/>
      <c r="J161" s="109"/>
      <c r="K161"/>
      <c r="L161" s="282"/>
      <c r="M161"/>
      <c r="N161" s="157" t="s">
        <v>852</v>
      </c>
      <c r="O161" s="275">
        <f>D161-IFERROR(VLOOKUP(A161,'[1]FL WIP'!$A:$F,4,0),0)</f>
        <v>-9878</v>
      </c>
      <c r="Q161" s="431"/>
    </row>
    <row r="162" spans="1:17">
      <c r="A162" s="157" t="s">
        <v>1304</v>
      </c>
      <c r="B162" s="157" t="s">
        <v>1305</v>
      </c>
      <c r="C162" s="228">
        <f>IFERROR(GETPIVOTDATA("Sum of qty",PT!$A$17,"product",A162,"FL/AZ","FL"),0)</f>
        <v>312</v>
      </c>
      <c r="D162" s="284">
        <f t="shared" ref="D162" si="86">C162</f>
        <v>312</v>
      </c>
      <c r="E162" s="120"/>
      <c r="F162" s="282">
        <f t="shared" ref="F162" si="87">D162*E162</f>
        <v>0</v>
      </c>
      <c r="G162" s="282"/>
      <c r="H162" s="282"/>
      <c r="I162" s="282"/>
      <c r="J162" s="109"/>
      <c r="K162"/>
      <c r="L162" s="282"/>
      <c r="M162"/>
      <c r="N162" s="157" t="s">
        <v>852</v>
      </c>
      <c r="O162" s="275">
        <f>D162-IFERROR(VLOOKUP(A162,'[1]FL WIP'!$A:$F,4,0),0)</f>
        <v>0</v>
      </c>
      <c r="Q162" s="431"/>
    </row>
    <row r="163" spans="1:17">
      <c r="A163" s="157" t="s">
        <v>1012</v>
      </c>
      <c r="B163" s="157" t="s">
        <v>1306</v>
      </c>
      <c r="C163" s="228">
        <f>IFERROR(GETPIVOTDATA("Sum of qty",PT!$A$17,"product",A163,"FL/AZ","FL"),0)</f>
        <v>0</v>
      </c>
      <c r="D163" s="284">
        <f t="shared" si="49"/>
        <v>0</v>
      </c>
      <c r="E163" s="120">
        <f>+$E$13</f>
        <v>0.69981901303574467</v>
      </c>
      <c r="F163" s="282">
        <f t="shared" si="79"/>
        <v>0</v>
      </c>
      <c r="G163" s="282"/>
      <c r="H163" s="282"/>
      <c r="I163" s="282"/>
      <c r="J163" s="109"/>
      <c r="K163"/>
      <c r="L163" s="282"/>
      <c r="M163"/>
      <c r="N163" s="157" t="s">
        <v>852</v>
      </c>
      <c r="O163" s="275">
        <f>D163-IFERROR(VLOOKUP(A163,'[1]FL WIP'!$A:$F,4,0),0)</f>
        <v>0</v>
      </c>
      <c r="Q163" s="431"/>
    </row>
    <row r="164" spans="1:17">
      <c r="A164" s="157" t="s">
        <v>1307</v>
      </c>
      <c r="B164" s="157" t="s">
        <v>1308</v>
      </c>
      <c r="C164" s="228">
        <f>IFERROR(GETPIVOTDATA("Sum of qty",PT!$A$17,"product",A164,"FL/AZ","FL"),0)</f>
        <v>0</v>
      </c>
      <c r="D164" s="284">
        <f t="shared" si="49"/>
        <v>0</v>
      </c>
      <c r="E164" s="120"/>
      <c r="F164" s="282">
        <f t="shared" si="79"/>
        <v>0</v>
      </c>
      <c r="G164" s="282"/>
      <c r="H164" s="282"/>
      <c r="I164" s="282"/>
      <c r="J164" s="109"/>
      <c r="K164"/>
      <c r="L164" s="282"/>
      <c r="M164"/>
      <c r="N164" s="157" t="s">
        <v>852</v>
      </c>
      <c r="O164" s="275">
        <f>D164-IFERROR(VLOOKUP(A164,'[1]FL WIP'!$A:$F,4,0),0)</f>
        <v>0</v>
      </c>
      <c r="Q164" s="431"/>
    </row>
    <row r="165" spans="1:17">
      <c r="A165" s="157" t="s">
        <v>307</v>
      </c>
      <c r="B165" t="s">
        <v>308</v>
      </c>
      <c r="C165" s="228">
        <f>IFERROR(GETPIVOTDATA("Sum of qty",PT!$A$17,"product",A165,"FL/AZ","FL"),0)</f>
        <v>9855</v>
      </c>
      <c r="D165" s="284">
        <f t="shared" ref="D165" si="88">C165</f>
        <v>9855</v>
      </c>
      <c r="E165" s="120"/>
      <c r="F165" s="409">
        <f t="shared" si="79"/>
        <v>0</v>
      </c>
      <c r="G165" s="282"/>
      <c r="H165" s="120">
        <f>$H$43</f>
        <v>0.15833333333333333</v>
      </c>
      <c r="I165" s="282">
        <f>H165*D165</f>
        <v>1560.375</v>
      </c>
      <c r="J165" s="109"/>
      <c r="K165"/>
      <c r="L165" s="282"/>
      <c r="M165"/>
      <c r="N165" s="157" t="s">
        <v>852</v>
      </c>
      <c r="O165" s="275">
        <f>D165-IFERROR(VLOOKUP(A165,'[1]FL WIP'!$A:$F,4,0),0)</f>
        <v>-4050</v>
      </c>
      <c r="Q165" s="431"/>
    </row>
    <row r="166" spans="1:17">
      <c r="A166" s="157" t="s">
        <v>1309</v>
      </c>
      <c r="B166" s="157" t="s">
        <v>1310</v>
      </c>
      <c r="C166" s="228">
        <f>IFERROR(GETPIVOTDATA("Sum of qty",PT!$A$17,"product",A166,"FL/AZ","FL"),0)</f>
        <v>0</v>
      </c>
      <c r="D166" s="284">
        <f t="shared" si="49"/>
        <v>0</v>
      </c>
      <c r="E166" s="120">
        <f t="shared" ref="E166:E191" si="89">+$E$13</f>
        <v>0.69981901303574467</v>
      </c>
      <c r="F166" s="282">
        <f t="shared" si="79"/>
        <v>0</v>
      </c>
      <c r="G166" s="282"/>
      <c r="H166" s="282"/>
      <c r="I166" s="282"/>
      <c r="J166" s="109"/>
      <c r="K166"/>
      <c r="L166" s="282"/>
      <c r="M166"/>
      <c r="N166" s="157" t="s">
        <v>852</v>
      </c>
      <c r="O166" s="275">
        <f>D166-IFERROR(VLOOKUP(A166,'[1]FL WIP'!$A:$F,4,0),0)</f>
        <v>0</v>
      </c>
      <c r="Q166" s="431"/>
    </row>
    <row r="167" spans="1:17">
      <c r="A167" s="157" t="s">
        <v>1022</v>
      </c>
      <c r="B167" s="157" t="s">
        <v>1023</v>
      </c>
      <c r="C167" s="228">
        <f>IFERROR(GETPIVOTDATA("Sum of qty",PT!$A$17,"product",A167,"FL/AZ","FL"),0)</f>
        <v>0</v>
      </c>
      <c r="D167" s="284">
        <f t="shared" ref="D167" si="90">C167</f>
        <v>0</v>
      </c>
      <c r="E167" s="120"/>
      <c r="F167" s="282">
        <f t="shared" si="79"/>
        <v>0</v>
      </c>
      <c r="G167" s="282"/>
      <c r="H167" s="282"/>
      <c r="I167" s="282"/>
      <c r="J167" s="109"/>
      <c r="K167"/>
      <c r="L167" s="282"/>
      <c r="M167"/>
      <c r="N167" s="157" t="s">
        <v>852</v>
      </c>
      <c r="O167" s="275">
        <f>D167-IFERROR(VLOOKUP(A167,'[1]FL WIP'!$A:$F,4,0),0)</f>
        <v>0</v>
      </c>
      <c r="Q167" s="431"/>
    </row>
    <row r="168" spans="1:17">
      <c r="A168" s="157" t="s">
        <v>1018</v>
      </c>
      <c r="B168" s="157" t="s">
        <v>1311</v>
      </c>
      <c r="C168" s="228">
        <f>IFERROR(GETPIVOTDATA("Sum of qty",PT!$A$17,"product",A168,"FL/AZ","FL"),0)</f>
        <v>0</v>
      </c>
      <c r="D168" s="284">
        <f t="shared" si="49"/>
        <v>0</v>
      </c>
      <c r="E168" s="120">
        <f t="shared" si="89"/>
        <v>0.69981901303574467</v>
      </c>
      <c r="F168" s="282">
        <f t="shared" si="79"/>
        <v>0</v>
      </c>
      <c r="G168" s="282"/>
      <c r="H168" s="282"/>
      <c r="I168" s="282"/>
      <c r="J168" s="109"/>
      <c r="K168"/>
      <c r="L168" s="282"/>
      <c r="M168"/>
      <c r="N168" s="157" t="s">
        <v>852</v>
      </c>
      <c r="O168" s="275">
        <f>D168-IFERROR(VLOOKUP(A168,'[1]FL WIP'!$A:$F,4,0),0)</f>
        <v>0</v>
      </c>
      <c r="Q168" s="431"/>
    </row>
    <row r="169" spans="1:17">
      <c r="A169" s="157" t="s">
        <v>1020</v>
      </c>
      <c r="B169" s="157" t="s">
        <v>1021</v>
      </c>
      <c r="C169" s="228">
        <f>IFERROR(GETPIVOTDATA("Sum of qty",PT!$A$17,"product",A169,"FL/AZ","FL"),0)</f>
        <v>0</v>
      </c>
      <c r="D169" s="284">
        <f>C169</f>
        <v>0</v>
      </c>
      <c r="E169" s="120">
        <f t="shared" si="89"/>
        <v>0.69981901303574467</v>
      </c>
      <c r="F169" s="282">
        <f t="shared" si="79"/>
        <v>0</v>
      </c>
      <c r="G169" s="282"/>
      <c r="H169" s="282"/>
      <c r="I169" s="282"/>
      <c r="J169" s="109"/>
      <c r="K169" s="275"/>
      <c r="L169" s="282"/>
      <c r="M169"/>
      <c r="N169" s="157" t="s">
        <v>852</v>
      </c>
      <c r="O169" s="275">
        <f>D169-IFERROR(VLOOKUP(A169,'[1]FL WIP'!$A:$F,4,0),0)</f>
        <v>0</v>
      </c>
      <c r="Q169" s="431"/>
    </row>
    <row r="170" spans="1:17">
      <c r="A170" s="157" t="s">
        <v>859</v>
      </c>
      <c r="B170" s="157" t="s">
        <v>860</v>
      </c>
      <c r="C170" s="228">
        <f>IFERROR(GETPIVOTDATA("Sum of qty",PT!$A$17,"product",A170,"FL/AZ","FL"),0)</f>
        <v>0</v>
      </c>
      <c r="D170" s="284">
        <f>C170*300</f>
        <v>0</v>
      </c>
      <c r="E170" s="120"/>
      <c r="F170" s="282">
        <f t="shared" si="79"/>
        <v>0</v>
      </c>
      <c r="G170" s="282"/>
      <c r="H170" s="282"/>
      <c r="I170" s="282"/>
      <c r="J170" s="109"/>
      <c r="K170" s="275"/>
      <c r="L170" s="282"/>
      <c r="M170"/>
      <c r="N170" s="157" t="s">
        <v>852</v>
      </c>
      <c r="O170" s="275">
        <f>D170-IFERROR(VLOOKUP(A170,'[1]FL WIP'!$A:$F,4,0),0)</f>
        <v>0</v>
      </c>
      <c r="Q170" s="431"/>
    </row>
    <row r="171" spans="1:17">
      <c r="A171" s="157" t="s">
        <v>1312</v>
      </c>
      <c r="B171" s="157" t="s">
        <v>1313</v>
      </c>
      <c r="C171" s="228">
        <f>IFERROR(GETPIVOTDATA("Sum of qty",PT!$A$17,"product",A171,"FL/AZ","FL"),0)</f>
        <v>0</v>
      </c>
      <c r="D171" s="284">
        <f>C171</f>
        <v>0</v>
      </c>
      <c r="E171" s="120"/>
      <c r="F171" s="282">
        <f t="shared" si="79"/>
        <v>0</v>
      </c>
      <c r="G171" s="282"/>
      <c r="H171" s="282"/>
      <c r="I171" s="282"/>
      <c r="J171" s="109"/>
      <c r="K171"/>
      <c r="L171" s="282"/>
      <c r="M171"/>
      <c r="N171" s="157" t="s">
        <v>550</v>
      </c>
      <c r="O171" s="275">
        <f>D171-IFERROR(VLOOKUP(A171,'[1]FL WIP'!$A:$F,4,0),0)</f>
        <v>0</v>
      </c>
      <c r="Q171" s="431"/>
    </row>
    <row r="172" spans="1:17">
      <c r="A172" s="157" t="s">
        <v>1038</v>
      </c>
      <c r="B172" s="157" t="s">
        <v>1039</v>
      </c>
      <c r="C172" s="228">
        <f>IFERROR(GETPIVOTDATA("Sum of qty",PT!$A$17,"product",A172,"FL/AZ","FL"),0)</f>
        <v>0</v>
      </c>
      <c r="D172" s="284">
        <f>C172</f>
        <v>0</v>
      </c>
      <c r="E172" s="120">
        <f t="shared" si="89"/>
        <v>0.69981901303574467</v>
      </c>
      <c r="F172" s="282">
        <f t="shared" si="79"/>
        <v>0</v>
      </c>
      <c r="G172" s="282"/>
      <c r="H172" s="282"/>
      <c r="I172" s="282">
        <f>H172*D172</f>
        <v>0</v>
      </c>
      <c r="J172" s="109"/>
      <c r="K172" s="275"/>
      <c r="L172" s="282"/>
      <c r="M172"/>
      <c r="N172" s="157" t="s">
        <v>550</v>
      </c>
      <c r="O172" s="275">
        <f>D172-IFERROR(VLOOKUP(A172,'[1]FL WIP'!$A:$F,4,0),0)</f>
        <v>0</v>
      </c>
      <c r="Q172" s="431"/>
    </row>
    <row r="173" spans="1:17">
      <c r="A173" s="157" t="s">
        <v>1044</v>
      </c>
      <c r="B173" s="157" t="s">
        <v>1314</v>
      </c>
      <c r="C173" s="228">
        <f>IFERROR(GETPIVOTDATA("Sum of qty",PT!$A$17,"product",A173,"FL/AZ","FL"),0)</f>
        <v>0</v>
      </c>
      <c r="D173" s="284">
        <f t="shared" si="49"/>
        <v>0</v>
      </c>
      <c r="E173" s="120">
        <f t="shared" si="89"/>
        <v>0.69981901303574467</v>
      </c>
      <c r="F173" s="282">
        <f t="shared" si="79"/>
        <v>0</v>
      </c>
      <c r="G173" s="282"/>
      <c r="H173" s="282"/>
      <c r="I173" s="282"/>
      <c r="J173" s="109"/>
      <c r="K173" s="275"/>
      <c r="L173" s="282"/>
      <c r="M173" s="282"/>
      <c r="N173" s="157" t="s">
        <v>550</v>
      </c>
      <c r="O173" s="275">
        <f>D173-IFERROR(VLOOKUP(A173,'[1]FL WIP'!$A:$F,4,0),0)</f>
        <v>0</v>
      </c>
      <c r="Q173" s="431"/>
    </row>
    <row r="174" spans="1:17">
      <c r="A174" s="157" t="s">
        <v>251</v>
      </c>
      <c r="B174" s="157" t="s">
        <v>1041</v>
      </c>
      <c r="C174" s="228">
        <f>IFERROR(GETPIVOTDATA("Sum of qty",PT!$A$17,"product",A174,"FL/AZ","FL"),0)</f>
        <v>0</v>
      </c>
      <c r="D174" s="284">
        <f t="shared" ref="D174" si="91">C174</f>
        <v>0</v>
      </c>
      <c r="E174" s="120">
        <f t="shared" si="89"/>
        <v>0.69981901303574467</v>
      </c>
      <c r="F174" s="282">
        <f t="shared" si="79"/>
        <v>0</v>
      </c>
      <c r="G174" s="282"/>
      <c r="H174" s="282"/>
      <c r="I174" s="282"/>
      <c r="J174" s="109"/>
      <c r="K174" s="275"/>
      <c r="L174" s="282"/>
      <c r="M174" s="282"/>
      <c r="N174" s="157" t="s">
        <v>550</v>
      </c>
      <c r="O174" s="275">
        <f>D174-IFERROR(VLOOKUP(A174,'[1]FL WIP'!$A:$F,4,0),0)</f>
        <v>0</v>
      </c>
      <c r="Q174" s="431"/>
    </row>
    <row r="175" spans="1:17">
      <c r="A175" s="157" t="s">
        <v>1048</v>
      </c>
      <c r="B175" s="157" t="s">
        <v>1049</v>
      </c>
      <c r="C175" s="228">
        <f>IFERROR(GETPIVOTDATA("Sum of qty",PT!$A$17,"product",A175,"FL/AZ","FL"),0)</f>
        <v>0</v>
      </c>
      <c r="D175" s="284">
        <f t="shared" ref="D175:D186" si="92">C175</f>
        <v>0</v>
      </c>
      <c r="E175" s="120">
        <f t="shared" si="89"/>
        <v>0.69981901303574467</v>
      </c>
      <c r="F175" s="282">
        <f t="shared" si="79"/>
        <v>0</v>
      </c>
      <c r="G175" s="282"/>
      <c r="H175" s="282"/>
      <c r="I175" s="282"/>
      <c r="J175" s="109"/>
      <c r="K175" s="275"/>
      <c r="L175" s="282"/>
      <c r="M175" s="282"/>
      <c r="N175" s="157" t="s">
        <v>550</v>
      </c>
      <c r="O175" s="275">
        <f>D175-IFERROR(VLOOKUP(A175,'[1]FL WIP'!$A:$F,4,0),0)</f>
        <v>0</v>
      </c>
      <c r="Q175" s="431"/>
    </row>
    <row r="176" spans="1:17">
      <c r="A176" s="157" t="s">
        <v>1050</v>
      </c>
      <c r="B176" s="157" t="s">
        <v>1051</v>
      </c>
      <c r="C176" s="228">
        <f>IFERROR(GETPIVOTDATA("Sum of qty",PT!$A$17,"product",A176,"FL/AZ","FL"),0)</f>
        <v>0</v>
      </c>
      <c r="D176" s="284">
        <f t="shared" ref="D176" si="93">C176</f>
        <v>0</v>
      </c>
      <c r="E176" s="120"/>
      <c r="F176" s="282">
        <f t="shared" si="79"/>
        <v>0</v>
      </c>
      <c r="G176" s="282"/>
      <c r="H176" s="282"/>
      <c r="I176" s="282"/>
      <c r="J176" s="109"/>
      <c r="K176" s="275"/>
      <c r="L176" s="282"/>
      <c r="M176" s="282"/>
      <c r="N176" s="157" t="s">
        <v>550</v>
      </c>
      <c r="O176" s="275">
        <f>D176-IFERROR(VLOOKUP(A176,'[1]FL WIP'!$A:$F,4,0),0)</f>
        <v>0</v>
      </c>
      <c r="Q176" s="431"/>
    </row>
    <row r="177" spans="1:17">
      <c r="A177" s="157" t="s">
        <v>1315</v>
      </c>
      <c r="B177" s="157" t="s">
        <v>1316</v>
      </c>
      <c r="C177" s="228">
        <f>IFERROR(GETPIVOTDATA("Sum of qty",PT!$A$17,"product",A177,"FL/AZ","FL"),0)</f>
        <v>0</v>
      </c>
      <c r="D177" s="284">
        <f t="shared" ref="D177" si="94">C177</f>
        <v>0</v>
      </c>
      <c r="E177" s="120"/>
      <c r="F177" s="282">
        <f t="shared" si="79"/>
        <v>0</v>
      </c>
      <c r="G177" s="282"/>
      <c r="H177" s="282"/>
      <c r="I177" s="282"/>
      <c r="J177" s="109"/>
      <c r="K177" s="275"/>
      <c r="L177" s="282"/>
      <c r="M177" s="282"/>
      <c r="N177" s="157" t="s">
        <v>550</v>
      </c>
      <c r="O177" s="275">
        <f>D177-IFERROR(VLOOKUP(A177,'[1]FL WIP'!$A:$F,4,0),0)</f>
        <v>0</v>
      </c>
      <c r="Q177" s="431"/>
    </row>
    <row r="178" spans="1:17">
      <c r="A178" s="157" t="s">
        <v>1317</v>
      </c>
      <c r="B178" s="157" t="s">
        <v>1318</v>
      </c>
      <c r="C178" s="228">
        <f>IFERROR(GETPIVOTDATA("Sum of qty",PT!$A$17,"product",A178,"FL/AZ","FL"),0)</f>
        <v>0</v>
      </c>
      <c r="D178" s="284">
        <f t="shared" ref="D178" si="95">C178</f>
        <v>0</v>
      </c>
      <c r="E178" s="120"/>
      <c r="F178" s="282">
        <f t="shared" si="79"/>
        <v>0</v>
      </c>
      <c r="G178" s="282"/>
      <c r="H178" s="282"/>
      <c r="I178" s="282"/>
      <c r="J178" s="109"/>
      <c r="K178" s="275"/>
      <c r="L178" s="282"/>
      <c r="M178" s="282"/>
      <c r="N178" s="157" t="s">
        <v>550</v>
      </c>
      <c r="O178" s="275">
        <f>D178-IFERROR(VLOOKUP(A178,'[1]FL WIP'!$A:$F,4,0),0)</f>
        <v>0</v>
      </c>
      <c r="Q178" s="431"/>
    </row>
    <row r="179" spans="1:17">
      <c r="A179" s="157" t="s">
        <v>316</v>
      </c>
      <c r="B179" s="157" t="s">
        <v>1052</v>
      </c>
      <c r="C179" s="228">
        <f>IFERROR(GETPIVOTDATA("Sum of qty",PT!$A$17,"product",A179,"FL/AZ","FL"),0)</f>
        <v>69957.56</v>
      </c>
      <c r="D179" s="284">
        <f t="shared" ref="D179" si="96">C179</f>
        <v>69957.56</v>
      </c>
      <c r="E179" s="120"/>
      <c r="F179" s="282">
        <f t="shared" si="79"/>
        <v>0</v>
      </c>
      <c r="G179" s="282"/>
      <c r="H179" s="120">
        <f>$H$8</f>
        <v>9.5000000000000001E-2</v>
      </c>
      <c r="I179" s="282">
        <f>H179*D179</f>
        <v>6645.9682000000003</v>
      </c>
      <c r="J179" s="109"/>
      <c r="K179" s="275"/>
      <c r="L179" s="282"/>
      <c r="M179" s="282"/>
      <c r="N179" s="157" t="s">
        <v>550</v>
      </c>
      <c r="O179" s="275">
        <f>D179-IFERROR(VLOOKUP(A179,'[1]FL WIP'!$A:$F,4,0),0)</f>
        <v>-1901.7400000000052</v>
      </c>
      <c r="Q179" s="431"/>
    </row>
    <row r="180" spans="1:17">
      <c r="A180" s="157" t="s">
        <v>366</v>
      </c>
      <c r="B180" s="157" t="s">
        <v>1053</v>
      </c>
      <c r="C180" s="228">
        <f>IFERROR(GETPIVOTDATA("Sum of qty",PT!$A$17,"product",A180,"FL/AZ","FL"),0)</f>
        <v>147928.32000000001</v>
      </c>
      <c r="D180" s="284">
        <f t="shared" ref="D180" si="97">C180</f>
        <v>147928.32000000001</v>
      </c>
      <c r="E180" s="120"/>
      <c r="F180" s="282">
        <f t="shared" si="79"/>
        <v>0</v>
      </c>
      <c r="G180" s="282"/>
      <c r="H180" s="120">
        <f>$H$43</f>
        <v>0.15833333333333333</v>
      </c>
      <c r="I180" s="282">
        <f>H180*D180</f>
        <v>23421.984</v>
      </c>
      <c r="J180" s="109"/>
      <c r="K180" s="275"/>
      <c r="L180" s="282"/>
      <c r="M180" s="282"/>
      <c r="N180" s="157" t="s">
        <v>1198</v>
      </c>
      <c r="O180" s="275">
        <f>D180-IFERROR(VLOOKUP(A180,'[1]FL WIP'!$A:$F,4,0),0)</f>
        <v>-68445</v>
      </c>
      <c r="Q180" s="431"/>
    </row>
    <row r="181" spans="1:17">
      <c r="A181" s="157" t="s">
        <v>1319</v>
      </c>
      <c r="B181" s="157" t="s">
        <v>1320</v>
      </c>
      <c r="C181" s="228">
        <f>IFERROR(GETPIVOTDATA("Sum of qty",PT!$A$17,"product",A181,"FL/AZ","FL"),0)</f>
        <v>0</v>
      </c>
      <c r="D181" s="284">
        <f t="shared" si="92"/>
        <v>0</v>
      </c>
      <c r="E181" s="120">
        <f t="shared" si="89"/>
        <v>0.69981901303574467</v>
      </c>
      <c r="F181" s="282">
        <f t="shared" si="79"/>
        <v>0</v>
      </c>
      <c r="G181" s="282"/>
      <c r="H181" s="282"/>
      <c r="I181" s="282"/>
      <c r="J181" s="109"/>
      <c r="K181" s="275"/>
      <c r="L181" s="282"/>
      <c r="M181" s="282"/>
      <c r="N181" s="157" t="s">
        <v>550</v>
      </c>
      <c r="O181" s="275">
        <f>D181-IFERROR(VLOOKUP(A181,'[1]FL WIP'!$A:$F,4,0),0)</f>
        <v>0</v>
      </c>
      <c r="Q181" s="431"/>
    </row>
    <row r="182" spans="1:17">
      <c r="A182" s="157" t="s">
        <v>1321</v>
      </c>
      <c r="B182" s="157" t="s">
        <v>1322</v>
      </c>
      <c r="C182" s="228">
        <f>IFERROR(GETPIVOTDATA("Sum of qty",PT!$A$17,"product",A182,"FL/AZ","FL"),0)</f>
        <v>0</v>
      </c>
      <c r="D182" s="284">
        <f t="shared" si="92"/>
        <v>0</v>
      </c>
      <c r="E182" s="120">
        <f t="shared" si="89"/>
        <v>0.69981901303574467</v>
      </c>
      <c r="F182" s="282">
        <f t="shared" si="79"/>
        <v>0</v>
      </c>
      <c r="G182" s="282"/>
      <c r="H182" s="282"/>
      <c r="I182" s="282"/>
      <c r="J182" s="109"/>
      <c r="K182" s="275"/>
      <c r="L182" s="282"/>
      <c r="M182" s="282"/>
      <c r="N182" s="157" t="s">
        <v>550</v>
      </c>
      <c r="O182" s="275">
        <f>D182-IFERROR(VLOOKUP(A182,'[1]FL WIP'!$A:$F,4,0),0)</f>
        <v>0</v>
      </c>
      <c r="Q182" s="431"/>
    </row>
    <row r="183" spans="1:17">
      <c r="A183" s="157" t="s">
        <v>1323</v>
      </c>
      <c r="B183" s="157" t="s">
        <v>1324</v>
      </c>
      <c r="C183" s="228">
        <f>IFERROR(GETPIVOTDATA("Sum of qty",PT!$A$17,"product",A183,"FL/AZ","FL"),0)</f>
        <v>0</v>
      </c>
      <c r="D183" s="284">
        <f t="shared" si="92"/>
        <v>0</v>
      </c>
      <c r="E183" s="120">
        <f t="shared" si="89"/>
        <v>0.69981901303574467</v>
      </c>
      <c r="F183" s="282">
        <f t="shared" si="79"/>
        <v>0</v>
      </c>
      <c r="G183" s="282"/>
      <c r="H183" s="282"/>
      <c r="I183" s="282"/>
      <c r="J183" s="109"/>
      <c r="K183" s="275"/>
      <c r="L183" s="282"/>
      <c r="M183" s="282"/>
      <c r="N183" s="157" t="s">
        <v>550</v>
      </c>
      <c r="O183" s="275">
        <f>D183-IFERROR(VLOOKUP(A183,'[1]FL WIP'!$A:$F,4,0),0)</f>
        <v>0</v>
      </c>
      <c r="Q183" s="431"/>
    </row>
    <row r="184" spans="1:17">
      <c r="A184" s="157" t="s">
        <v>1325</v>
      </c>
      <c r="B184" s="157" t="s">
        <v>1326</v>
      </c>
      <c r="C184" s="228">
        <f>IFERROR(GETPIVOTDATA("Sum of qty",PT!$A$17,"product",A184,"FL/AZ","FL"),0)</f>
        <v>0</v>
      </c>
      <c r="D184" s="284">
        <f t="shared" si="92"/>
        <v>0</v>
      </c>
      <c r="E184" s="120">
        <f t="shared" si="89"/>
        <v>0.69981901303574467</v>
      </c>
      <c r="F184" s="282">
        <f t="shared" si="79"/>
        <v>0</v>
      </c>
      <c r="G184" s="282"/>
      <c r="H184" s="282"/>
      <c r="I184" s="282"/>
      <c r="J184" s="109"/>
      <c r="K184" s="275"/>
      <c r="L184" s="282"/>
      <c r="M184" s="282"/>
      <c r="N184" s="157" t="s">
        <v>550</v>
      </c>
      <c r="O184" s="275">
        <f>D184-IFERROR(VLOOKUP(A184,'[1]FL WIP'!$A:$F,4,0),0)</f>
        <v>0</v>
      </c>
      <c r="Q184" s="431"/>
    </row>
    <row r="185" spans="1:17">
      <c r="A185" s="157" t="s">
        <v>1327</v>
      </c>
      <c r="B185" s="157" t="s">
        <v>1328</v>
      </c>
      <c r="C185" s="228">
        <f>IFERROR(GETPIVOTDATA("Sum of qty",PT!$A$17,"product",A185,"FL/AZ","FL"),0)</f>
        <v>0</v>
      </c>
      <c r="D185" s="284">
        <f t="shared" ref="D185" si="98">C185</f>
        <v>0</v>
      </c>
      <c r="E185" s="120"/>
      <c r="F185" s="282">
        <f t="shared" si="79"/>
        <v>0</v>
      </c>
      <c r="G185" s="282"/>
      <c r="H185" s="433">
        <f>H194</f>
        <v>0.15833333333333333</v>
      </c>
      <c r="I185" s="432">
        <f>D185*H185</f>
        <v>0</v>
      </c>
      <c r="J185" s="109"/>
      <c r="K185" s="275"/>
      <c r="L185" s="282"/>
      <c r="M185" s="282"/>
      <c r="N185" s="157" t="s">
        <v>550</v>
      </c>
      <c r="O185" s="275">
        <f>D185-IFERROR(VLOOKUP(A185,'[1]FL WIP'!$A:$F,4,0),0)</f>
        <v>-648</v>
      </c>
      <c r="Q185" s="431"/>
    </row>
    <row r="186" spans="1:17">
      <c r="A186" s="157" t="s">
        <v>1329</v>
      </c>
      <c r="B186" s="157" t="s">
        <v>1330</v>
      </c>
      <c r="C186" s="228">
        <f>IFERROR(GETPIVOTDATA("Sum of qty",PT!$A$17,"product",A186,"FL/AZ","FL"),0)</f>
        <v>0</v>
      </c>
      <c r="D186" s="284">
        <f t="shared" si="92"/>
        <v>0</v>
      </c>
      <c r="E186" s="120">
        <f t="shared" si="89"/>
        <v>0.69981901303574467</v>
      </c>
      <c r="F186" s="282">
        <f t="shared" si="79"/>
        <v>0</v>
      </c>
      <c r="G186" s="282"/>
      <c r="H186" s="282"/>
      <c r="I186" s="282"/>
      <c r="J186" s="109"/>
      <c r="K186" s="275"/>
      <c r="L186" s="282"/>
      <c r="M186" s="282"/>
      <c r="N186" s="157" t="s">
        <v>550</v>
      </c>
      <c r="O186" s="275">
        <f>D186-IFERROR(VLOOKUP(A186,'[1]FL WIP'!$A:$F,4,0),0)</f>
        <v>0</v>
      </c>
      <c r="Q186" s="431"/>
    </row>
    <row r="187" spans="1:17">
      <c r="A187" s="157" t="s">
        <v>549</v>
      </c>
      <c r="B187" s="157" t="s">
        <v>1056</v>
      </c>
      <c r="C187" s="228">
        <f>IFERROR(GETPIVOTDATA("Sum of qty",PT!$A$17,"product",A187,"FL/AZ","FL"),0)</f>
        <v>0</v>
      </c>
      <c r="D187" s="284">
        <f t="shared" si="49"/>
        <v>0</v>
      </c>
      <c r="E187" s="120">
        <f t="shared" si="89"/>
        <v>0.69981901303574467</v>
      </c>
      <c r="F187" s="282">
        <f t="shared" si="79"/>
        <v>0</v>
      </c>
      <c r="G187" s="282"/>
      <c r="H187" s="282"/>
      <c r="I187" s="282">
        <f>H187*C187</f>
        <v>0</v>
      </c>
      <c r="J187" s="119">
        <v>27556</v>
      </c>
      <c r="K187" s="275">
        <f t="shared" ref="K187:K220" si="99">D187</f>
        <v>0</v>
      </c>
      <c r="L187" s="282">
        <f>K187-J187</f>
        <v>-27556</v>
      </c>
      <c r="M187" s="282">
        <f t="shared" ref="M187:M220" si="100">L187*0.0674</f>
        <v>-1857.2744</v>
      </c>
      <c r="N187" s="157" t="s">
        <v>550</v>
      </c>
      <c r="O187" s="275">
        <f>D187-IFERROR(VLOOKUP(A187,'[1]FL WIP'!$A:$F,4,0),0)</f>
        <v>-21806</v>
      </c>
      <c r="Q187" s="431"/>
    </row>
    <row r="188" spans="1:17">
      <c r="A188" s="157" t="s">
        <v>1058</v>
      </c>
      <c r="B188" s="157" t="s">
        <v>1059</v>
      </c>
      <c r="C188" s="228">
        <f>IFERROR(GETPIVOTDATA("Sum of qty",PT!$A$17,"product",A188,"FL/AZ","FL"),0)</f>
        <v>0</v>
      </c>
      <c r="D188" s="284">
        <f t="shared" si="49"/>
        <v>0</v>
      </c>
      <c r="E188" s="120">
        <f t="shared" si="89"/>
        <v>0.69981901303574467</v>
      </c>
      <c r="F188" s="282">
        <f t="shared" si="79"/>
        <v>0</v>
      </c>
      <c r="G188" s="282"/>
      <c r="H188" s="282"/>
      <c r="I188" s="282">
        <f>H188*C188</f>
        <v>0</v>
      </c>
      <c r="J188" s="119">
        <v>2184.5299999999997</v>
      </c>
      <c r="K188" s="275">
        <f>D188</f>
        <v>0</v>
      </c>
      <c r="L188" s="282">
        <f>K188-J188</f>
        <v>-2184.5299999999997</v>
      </c>
      <c r="M188" s="282">
        <f>L188*0.0674</f>
        <v>-147.23732199999998</v>
      </c>
      <c r="N188" s="157" t="s">
        <v>550</v>
      </c>
      <c r="O188" s="275">
        <f>D188-IFERROR(VLOOKUP(A188,'[1]FL WIP'!$A:$F,4,0),0)</f>
        <v>0</v>
      </c>
      <c r="Q188" s="431"/>
    </row>
    <row r="189" spans="1:17">
      <c r="A189" s="157" t="s">
        <v>1331</v>
      </c>
      <c r="B189" s="157" t="s">
        <v>1332</v>
      </c>
      <c r="C189" s="228">
        <f>IFERROR(GETPIVOTDATA("Sum of qty",PT!$A$17,"product",A189,"FL/AZ","FL"),0)</f>
        <v>0</v>
      </c>
      <c r="D189" s="284">
        <f t="shared" si="49"/>
        <v>0</v>
      </c>
      <c r="E189" s="120">
        <f t="shared" si="89"/>
        <v>0.69981901303574467</v>
      </c>
      <c r="F189" s="282">
        <f t="shared" si="79"/>
        <v>0</v>
      </c>
      <c r="G189" s="282"/>
      <c r="H189" s="282"/>
      <c r="I189" s="282"/>
      <c r="J189" s="119">
        <v>0</v>
      </c>
      <c r="K189" s="275">
        <f t="shared" si="99"/>
        <v>0</v>
      </c>
      <c r="L189" s="282">
        <f>K189-J189</f>
        <v>0</v>
      </c>
      <c r="M189" s="282">
        <f t="shared" si="100"/>
        <v>0</v>
      </c>
      <c r="N189" s="157" t="s">
        <v>550</v>
      </c>
      <c r="O189" s="275">
        <f>D189-IFERROR(VLOOKUP(A189,'[1]FL WIP'!$A:$F,4,0),0)</f>
        <v>0</v>
      </c>
      <c r="Q189" s="431"/>
    </row>
    <row r="190" spans="1:17">
      <c r="A190" s="157" t="s">
        <v>1060</v>
      </c>
      <c r="B190" s="157" t="s">
        <v>1061</v>
      </c>
      <c r="C190" s="228">
        <f>IFERROR(GETPIVOTDATA("Sum of qty",PT!$A$17,"product",A190,"FL/AZ","FL"),0)</f>
        <v>0</v>
      </c>
      <c r="D190" s="284">
        <f t="shared" ref="D190" si="101">C190</f>
        <v>0</v>
      </c>
      <c r="E190" s="120"/>
      <c r="F190" s="282">
        <f t="shared" ref="F190" si="102">D190*E190</f>
        <v>0</v>
      </c>
      <c r="G190" s="282"/>
      <c r="H190" s="282"/>
      <c r="I190" s="282"/>
      <c r="J190" s="119">
        <v>0</v>
      </c>
      <c r="K190" s="275">
        <f t="shared" ref="K190" si="103">D190</f>
        <v>0</v>
      </c>
      <c r="L190" s="282">
        <f>K190-J190</f>
        <v>0</v>
      </c>
      <c r="M190" s="282">
        <f t="shared" ref="M190" si="104">L190*0.0674</f>
        <v>0</v>
      </c>
      <c r="N190" s="157" t="s">
        <v>1185</v>
      </c>
      <c r="O190" s="275">
        <f>D190-IFERROR(VLOOKUP(A190,'[1]FL WIP'!$A:$F,4,0),0)</f>
        <v>0</v>
      </c>
      <c r="Q190" s="431"/>
    </row>
    <row r="191" spans="1:17">
      <c r="A191" s="157" t="s">
        <v>1333</v>
      </c>
      <c r="B191" s="157" t="s">
        <v>1328</v>
      </c>
      <c r="C191" s="228">
        <f>IFERROR(GETPIVOTDATA("Sum of qty",PT!$A$17,"product",A191,"FL/AZ","FL"),0)</f>
        <v>0</v>
      </c>
      <c r="D191" s="284">
        <f>C191</f>
        <v>0</v>
      </c>
      <c r="E191" s="120">
        <f t="shared" si="89"/>
        <v>0.69981901303574467</v>
      </c>
      <c r="F191" s="282">
        <f t="shared" si="79"/>
        <v>0</v>
      </c>
      <c r="G191" s="282"/>
      <c r="H191" s="282"/>
      <c r="I191" s="282"/>
      <c r="J191" s="119"/>
      <c r="K191" s="275"/>
      <c r="L191" s="282"/>
      <c r="M191" s="282"/>
      <c r="N191" s="157" t="s">
        <v>550</v>
      </c>
      <c r="O191" s="275">
        <f>D191-IFERROR(VLOOKUP(A191,'[1]FL WIP'!$A:$F,4,0),0)</f>
        <v>0</v>
      </c>
      <c r="Q191" s="431"/>
    </row>
    <row r="192" spans="1:17">
      <c r="A192" s="157" t="s">
        <v>1035</v>
      </c>
      <c r="B192" s="157" t="s">
        <v>1334</v>
      </c>
      <c r="C192" s="228">
        <f>IFERROR(GETPIVOTDATA("Sum of qty",PT!$A$17,"product",A192,"FL/AZ","FL"),0)</f>
        <v>0</v>
      </c>
      <c r="D192" s="284">
        <f t="shared" si="49"/>
        <v>0</v>
      </c>
      <c r="E192" s="120"/>
      <c r="F192" s="282">
        <f t="shared" si="79"/>
        <v>0</v>
      </c>
      <c r="G192" s="282"/>
      <c r="H192" s="282"/>
      <c r="I192" s="282">
        <f>H192*C192</f>
        <v>0</v>
      </c>
      <c r="J192" s="119"/>
      <c r="K192" s="275">
        <f t="shared" si="99"/>
        <v>0</v>
      </c>
      <c r="L192" s="282">
        <f t="shared" ref="L192:L200" si="105">K192-J192</f>
        <v>0</v>
      </c>
      <c r="M192" s="282">
        <f t="shared" si="100"/>
        <v>0</v>
      </c>
      <c r="N192" s="157" t="s">
        <v>550</v>
      </c>
      <c r="O192" s="275">
        <f>D192-IFERROR(VLOOKUP(A192,'[1]FL WIP'!$A:$F,4,0),0)</f>
        <v>0</v>
      </c>
      <c r="Q192" s="431"/>
    </row>
    <row r="193" spans="1:17">
      <c r="A193" s="157" t="s">
        <v>1042</v>
      </c>
      <c r="B193" s="157" t="s">
        <v>1043</v>
      </c>
      <c r="C193" s="228">
        <f>IFERROR(GETPIVOTDATA("Sum of qty",PT!$A$17,"product",A193,"FL/AZ","FL"),0)</f>
        <v>0</v>
      </c>
      <c r="D193" s="284">
        <f t="shared" ref="D193" si="106">C193</f>
        <v>0</v>
      </c>
      <c r="E193" s="120"/>
      <c r="F193" s="282">
        <f t="shared" si="79"/>
        <v>0</v>
      </c>
      <c r="G193" s="282"/>
      <c r="H193" s="282"/>
      <c r="I193" s="282">
        <f>H193*C193</f>
        <v>0</v>
      </c>
      <c r="J193" s="119"/>
      <c r="K193" s="275">
        <f t="shared" ref="K193" si="107">D193</f>
        <v>0</v>
      </c>
      <c r="L193" s="282">
        <f t="shared" si="105"/>
        <v>0</v>
      </c>
      <c r="M193" s="282">
        <f t="shared" ref="M193" si="108">L193*0.0674</f>
        <v>0</v>
      </c>
      <c r="N193" s="157" t="s">
        <v>550</v>
      </c>
      <c r="O193" s="275">
        <f>D193-IFERROR(VLOOKUP(A193,'[1]FL WIP'!$A:$F,4,0),0)</f>
        <v>0</v>
      </c>
      <c r="Q193" s="431"/>
    </row>
    <row r="194" spans="1:17">
      <c r="A194" s="157" t="s">
        <v>112</v>
      </c>
      <c r="B194" s="157" t="s">
        <v>1335</v>
      </c>
      <c r="C194" s="228">
        <f>IFERROR(GETPIVOTDATA("Sum of qty",PT!$A$17,"product",A194,"FL/AZ","FL"),0)</f>
        <v>5220</v>
      </c>
      <c r="D194" s="284">
        <f t="shared" si="49"/>
        <v>5220</v>
      </c>
      <c r="E194" s="120">
        <f t="shared" ref="E194:E213" si="109">+$E$13</f>
        <v>0.69981901303574467</v>
      </c>
      <c r="F194" s="282">
        <f t="shared" si="79"/>
        <v>3653.0552480465872</v>
      </c>
      <c r="G194" s="282"/>
      <c r="H194" s="324">
        <f>$H$43</f>
        <v>0.15833333333333333</v>
      </c>
      <c r="I194" s="432">
        <f>D194*H194</f>
        <v>826.5</v>
      </c>
      <c r="J194" s="119">
        <v>3187</v>
      </c>
      <c r="K194" s="275">
        <f>D194</f>
        <v>5220</v>
      </c>
      <c r="L194" s="282">
        <f t="shared" si="105"/>
        <v>2033</v>
      </c>
      <c r="M194" s="282">
        <f t="shared" si="100"/>
        <v>137.02420000000001</v>
      </c>
      <c r="N194" s="157" t="s">
        <v>550</v>
      </c>
      <c r="O194" s="275">
        <f>D194-IFERROR(VLOOKUP(A194,'[1]FL WIP'!$A:$F,4,0),0)</f>
        <v>-9130</v>
      </c>
      <c r="Q194" s="431"/>
    </row>
    <row r="195" spans="1:17">
      <c r="A195" s="157" t="s">
        <v>1068</v>
      </c>
      <c r="B195" s="157" t="s">
        <v>1336</v>
      </c>
      <c r="C195" s="228">
        <f>IFERROR(GETPIVOTDATA("Sum of qty",PT!$A$17,"product",A195,"FL/AZ","FL"),0)</f>
        <v>0</v>
      </c>
      <c r="D195" s="284">
        <f>C195</f>
        <v>0</v>
      </c>
      <c r="E195" s="120"/>
      <c r="F195" s="282">
        <f t="shared" si="79"/>
        <v>0</v>
      </c>
      <c r="G195" s="282"/>
      <c r="H195" s="282"/>
      <c r="I195" s="282"/>
      <c r="J195" s="119"/>
      <c r="K195" s="275">
        <f>D195</f>
        <v>0</v>
      </c>
      <c r="L195" s="282">
        <f t="shared" si="105"/>
        <v>0</v>
      </c>
      <c r="M195" s="282">
        <f t="shared" ref="M195:M197" si="110">L195*0.0674</f>
        <v>0</v>
      </c>
      <c r="N195" s="157" t="s">
        <v>550</v>
      </c>
      <c r="O195" s="275">
        <f>D195-IFERROR(VLOOKUP(A195,'[1]FL WIP'!$A:$F,4,0),0)</f>
        <v>0</v>
      </c>
      <c r="Q195" s="431"/>
    </row>
    <row r="196" spans="1:17">
      <c r="A196" s="157" t="s">
        <v>1064</v>
      </c>
      <c r="B196" s="157" t="s">
        <v>2779</v>
      </c>
      <c r="C196" s="228">
        <f>IFERROR(GETPIVOTDATA("Sum of qty",PT!$A$17,"product",A196,"FL/AZ","FL"),0)</f>
        <v>0</v>
      </c>
      <c r="D196" s="284">
        <f>C196</f>
        <v>0</v>
      </c>
      <c r="E196" s="120"/>
      <c r="F196" s="282">
        <f>D196*E196</f>
        <v>0</v>
      </c>
      <c r="G196" s="282"/>
      <c r="H196" s="282"/>
      <c r="I196" s="282">
        <f>H196*C196</f>
        <v>0</v>
      </c>
      <c r="J196" s="119"/>
      <c r="K196" s="275">
        <f>D196</f>
        <v>0</v>
      </c>
      <c r="L196" s="282">
        <f t="shared" ref="L196" si="111">K196-J196</f>
        <v>0</v>
      </c>
      <c r="M196" s="282">
        <f>L196*0.0674</f>
        <v>0</v>
      </c>
      <c r="N196" s="157" t="s">
        <v>550</v>
      </c>
      <c r="O196" s="275">
        <f>D196-IFERROR(VLOOKUP(A196,'[1]FL WIP'!$A:$F,4,0),0)</f>
        <v>0</v>
      </c>
      <c r="Q196" s="431"/>
    </row>
    <row r="197" spans="1:17">
      <c r="A197" s="157" t="s">
        <v>144</v>
      </c>
      <c r="B197" s="157" t="s">
        <v>145</v>
      </c>
      <c r="C197" s="228">
        <f>IFERROR(GETPIVOTDATA("Sum of qty",PT!$A$17,"product",A197,"FL/AZ","FL"),0)</f>
        <v>16653</v>
      </c>
      <c r="D197" s="284">
        <f>C197</f>
        <v>16653</v>
      </c>
      <c r="E197" s="120"/>
      <c r="F197" s="282">
        <f t="shared" si="79"/>
        <v>0</v>
      </c>
      <c r="G197" s="282"/>
      <c r="H197" s="282"/>
      <c r="I197" s="282"/>
      <c r="J197" s="119"/>
      <c r="K197" s="275">
        <f t="shared" ref="K197" si="112">D197</f>
        <v>16653</v>
      </c>
      <c r="L197" s="282">
        <f t="shared" si="105"/>
        <v>16653</v>
      </c>
      <c r="M197" s="282">
        <f t="shared" si="110"/>
        <v>1122.4122</v>
      </c>
      <c r="N197" s="157" t="s">
        <v>550</v>
      </c>
      <c r="O197" s="275">
        <f>D197-IFERROR(VLOOKUP(A197,'[1]FL WIP'!$A:$F,4,0),0)</f>
        <v>16634</v>
      </c>
      <c r="Q197" s="431"/>
    </row>
    <row r="198" spans="1:17">
      <c r="A198" s="157" t="s">
        <v>318</v>
      </c>
      <c r="B198" s="157" t="s">
        <v>319</v>
      </c>
      <c r="C198" s="228">
        <f>IFERROR(GETPIVOTDATA("Sum of qty",PT!$A$17,"product",A198,"FL/AZ","FL"),0)</f>
        <v>0</v>
      </c>
      <c r="D198" s="284">
        <f t="shared" ref="D198" si="113">C198</f>
        <v>0</v>
      </c>
      <c r="E198" s="120"/>
      <c r="F198" s="282">
        <f>D198*E198</f>
        <v>0</v>
      </c>
      <c r="G198" s="282"/>
      <c r="H198" s="120">
        <f>$H$8</f>
        <v>9.5000000000000001E-2</v>
      </c>
      <c r="I198" s="282">
        <f>H198*C198</f>
        <v>0</v>
      </c>
      <c r="J198" s="119"/>
      <c r="K198" s="275">
        <f t="shared" ref="K198" si="114">D198</f>
        <v>0</v>
      </c>
      <c r="L198" s="282">
        <f t="shared" ref="L198" si="115">K198-J198</f>
        <v>0</v>
      </c>
      <c r="M198" s="282">
        <f t="shared" ref="M198" si="116">L198*0.0674</f>
        <v>0</v>
      </c>
      <c r="N198" s="157" t="s">
        <v>550</v>
      </c>
      <c r="O198" s="275">
        <f>D198-IFERROR(VLOOKUP(A198,'[1]FL WIP'!$A:$F,4,0),0)</f>
        <v>0</v>
      </c>
      <c r="Q198" s="431"/>
    </row>
    <row r="199" spans="1:17">
      <c r="A199" s="157" t="s">
        <v>1337</v>
      </c>
      <c r="B199" s="157" t="s">
        <v>1338</v>
      </c>
      <c r="C199" s="228">
        <f>IFERROR(GETPIVOTDATA("Sum of qty",PT!$A$17,"product",A199,"FL/AZ","FL"),0)</f>
        <v>0</v>
      </c>
      <c r="D199" s="284">
        <f t="shared" si="49"/>
        <v>0</v>
      </c>
      <c r="E199" s="120">
        <f t="shared" si="109"/>
        <v>0.69981901303574467</v>
      </c>
      <c r="F199" s="282">
        <f>D199*E199</f>
        <v>0</v>
      </c>
      <c r="G199" s="282"/>
      <c r="H199" s="282"/>
      <c r="I199" s="282">
        <f>H199*C199</f>
        <v>0</v>
      </c>
      <c r="J199" s="119">
        <v>0</v>
      </c>
      <c r="K199" s="275">
        <f t="shared" si="99"/>
        <v>0</v>
      </c>
      <c r="L199" s="282">
        <f t="shared" si="105"/>
        <v>0</v>
      </c>
      <c r="M199" s="282">
        <f t="shared" si="100"/>
        <v>0</v>
      </c>
      <c r="N199" s="157" t="s">
        <v>550</v>
      </c>
      <c r="O199" s="275">
        <f>D199-IFERROR(VLOOKUP(A199,'[1]FL WIP'!$A:$F,4,0),0)</f>
        <v>0</v>
      </c>
      <c r="Q199" s="431"/>
    </row>
    <row r="200" spans="1:17">
      <c r="A200" s="157" t="s">
        <v>1070</v>
      </c>
      <c r="B200" s="157" t="s">
        <v>1339</v>
      </c>
      <c r="C200" s="228">
        <f>IFERROR(GETPIVOTDATA("Sum of qty",PT!$A$17,"product",A200,"FL/AZ","FL"),0)</f>
        <v>0</v>
      </c>
      <c r="D200" s="284">
        <f t="shared" si="49"/>
        <v>0</v>
      </c>
      <c r="E200" s="120">
        <f t="shared" si="109"/>
        <v>0.69981901303574467</v>
      </c>
      <c r="F200" s="282">
        <f t="shared" si="79"/>
        <v>0</v>
      </c>
      <c r="G200" s="282"/>
      <c r="H200" s="282"/>
      <c r="I200" s="282"/>
      <c r="J200" s="119">
        <v>1384</v>
      </c>
      <c r="K200" s="275">
        <f t="shared" si="99"/>
        <v>0</v>
      </c>
      <c r="L200" s="282">
        <f t="shared" si="105"/>
        <v>-1384</v>
      </c>
      <c r="M200" s="282">
        <f>L200*0.0674</f>
        <v>-93.281599999999997</v>
      </c>
      <c r="N200" s="157" t="s">
        <v>550</v>
      </c>
      <c r="O200" s="275">
        <f>D200-IFERROR(VLOOKUP(A200,'[1]FL WIP'!$A:$F,4,0),0)</f>
        <v>0</v>
      </c>
      <c r="Q200" s="431"/>
    </row>
    <row r="201" spans="1:17">
      <c r="A201" s="157" t="s">
        <v>1340</v>
      </c>
      <c r="B201" s="157" t="s">
        <v>1341</v>
      </c>
      <c r="C201" s="228">
        <f>IFERROR(GETPIVOTDATA("Sum of qty",PT!$A$17,"product",A201,"FL/AZ","FL"),0)</f>
        <v>0</v>
      </c>
      <c r="D201" s="284">
        <f t="shared" ref="D201:D207" si="117">C201</f>
        <v>0</v>
      </c>
      <c r="E201" s="120">
        <f t="shared" si="109"/>
        <v>0.69981901303574467</v>
      </c>
      <c r="F201" s="282">
        <f t="shared" si="79"/>
        <v>0</v>
      </c>
      <c r="G201" s="282"/>
      <c r="H201" s="282"/>
      <c r="I201" s="282"/>
      <c r="J201" s="119"/>
      <c r="K201" s="275"/>
      <c r="L201" s="282"/>
      <c r="M201" s="282"/>
      <c r="N201" s="157" t="s">
        <v>550</v>
      </c>
      <c r="O201" s="275">
        <f>D201-IFERROR(VLOOKUP(A201,'[1]FL WIP'!$A:$F,4,0),0)</f>
        <v>0</v>
      </c>
      <c r="Q201" s="431"/>
    </row>
    <row r="202" spans="1:17">
      <c r="A202" s="157" t="s">
        <v>1342</v>
      </c>
      <c r="B202" s="157" t="s">
        <v>1343</v>
      </c>
      <c r="C202" s="228">
        <f>IFERROR(GETPIVOTDATA("Sum of qty",PT!$A$17,"product",A202,"FL/AZ","FL"),0)</f>
        <v>0</v>
      </c>
      <c r="D202" s="284">
        <f t="shared" si="117"/>
        <v>0</v>
      </c>
      <c r="E202" s="120">
        <f t="shared" si="109"/>
        <v>0.69981901303574467</v>
      </c>
      <c r="F202" s="282">
        <f t="shared" ref="F202:F262" si="118">D202*E202</f>
        <v>0</v>
      </c>
      <c r="G202" s="282"/>
      <c r="H202" s="282"/>
      <c r="I202" s="282"/>
      <c r="J202" s="119"/>
      <c r="K202" s="275"/>
      <c r="L202" s="282"/>
      <c r="M202" s="282"/>
      <c r="N202" s="157" t="s">
        <v>550</v>
      </c>
      <c r="O202" s="275">
        <f>D202-IFERROR(VLOOKUP(A202,'[1]FL WIP'!$A:$F,4,0),0)</f>
        <v>0</v>
      </c>
      <c r="Q202" s="431"/>
    </row>
    <row r="203" spans="1:17">
      <c r="A203" s="157" t="s">
        <v>1344</v>
      </c>
      <c r="B203" s="157" t="s">
        <v>1345</v>
      </c>
      <c r="C203" s="228">
        <f>IFERROR(GETPIVOTDATA("Sum of qty",PT!$A$17,"product",A203,"FL/AZ","FL"),0)</f>
        <v>0</v>
      </c>
      <c r="D203" s="284">
        <f t="shared" si="117"/>
        <v>0</v>
      </c>
      <c r="E203" s="120">
        <f t="shared" si="109"/>
        <v>0.69981901303574467</v>
      </c>
      <c r="F203" s="282">
        <f t="shared" si="118"/>
        <v>0</v>
      </c>
      <c r="G203" s="282"/>
      <c r="H203" s="282"/>
      <c r="I203" s="282"/>
      <c r="J203" s="119"/>
      <c r="K203" s="275"/>
      <c r="L203" s="282"/>
      <c r="M203" s="282"/>
      <c r="N203" s="157" t="s">
        <v>550</v>
      </c>
      <c r="O203" s="275">
        <f>D203-IFERROR(VLOOKUP(A203,'[1]FL WIP'!$A:$F,4,0),0)</f>
        <v>0</v>
      </c>
      <c r="Q203" s="431"/>
    </row>
    <row r="204" spans="1:17">
      <c r="A204" s="157" t="s">
        <v>1346</v>
      </c>
      <c r="B204" s="157" t="s">
        <v>1347</v>
      </c>
      <c r="C204" s="228">
        <f>IFERROR(GETPIVOTDATA("Sum of qty",PT!$A$17,"product",A204,"FL/AZ","FL"),0)</f>
        <v>0</v>
      </c>
      <c r="D204" s="284">
        <f t="shared" si="117"/>
        <v>0</v>
      </c>
      <c r="E204" s="120">
        <f t="shared" si="109"/>
        <v>0.69981901303574467</v>
      </c>
      <c r="F204" s="282">
        <f t="shared" si="118"/>
        <v>0</v>
      </c>
      <c r="G204" s="282"/>
      <c r="H204" s="282"/>
      <c r="I204" s="282"/>
      <c r="J204" s="119"/>
      <c r="K204" s="275"/>
      <c r="L204" s="282"/>
      <c r="M204" s="282"/>
      <c r="N204" s="157" t="s">
        <v>550</v>
      </c>
      <c r="O204" s="275">
        <f>D204-IFERROR(VLOOKUP(A204,'[1]FL WIP'!$A:$F,4,0),0)</f>
        <v>0</v>
      </c>
      <c r="Q204" s="431"/>
    </row>
    <row r="205" spans="1:17">
      <c r="A205" s="157" t="s">
        <v>1348</v>
      </c>
      <c r="B205" s="157" t="s">
        <v>1349</v>
      </c>
      <c r="C205" s="228">
        <f>IFERROR(GETPIVOTDATA("Sum of qty",PT!$A$17,"product",A205,"FL/AZ","FL"),0)</f>
        <v>0</v>
      </c>
      <c r="D205" s="284">
        <f t="shared" si="117"/>
        <v>0</v>
      </c>
      <c r="E205" s="120">
        <f t="shared" si="109"/>
        <v>0.69981901303574467</v>
      </c>
      <c r="F205" s="282">
        <f t="shared" si="118"/>
        <v>0</v>
      </c>
      <c r="G205" s="282"/>
      <c r="H205" s="282"/>
      <c r="I205" s="282"/>
      <c r="J205" s="119"/>
      <c r="K205" s="275"/>
      <c r="L205" s="282"/>
      <c r="M205" s="282"/>
      <c r="N205" s="157" t="s">
        <v>550</v>
      </c>
      <c r="O205" s="275">
        <f>D205-IFERROR(VLOOKUP(A205,'[1]FL WIP'!$A:$F,4,0),0)</f>
        <v>0</v>
      </c>
      <c r="Q205" s="431"/>
    </row>
    <row r="206" spans="1:17">
      <c r="A206" s="157" t="s">
        <v>1350</v>
      </c>
      <c r="B206" s="157" t="s">
        <v>1351</v>
      </c>
      <c r="C206" s="228">
        <f>IFERROR(GETPIVOTDATA("Sum of qty",PT!$A$17,"product",A206,"FL/AZ","FL"),0)</f>
        <v>0</v>
      </c>
      <c r="D206" s="284">
        <f t="shared" si="117"/>
        <v>0</v>
      </c>
      <c r="E206" s="120">
        <f t="shared" si="109"/>
        <v>0.69981901303574467</v>
      </c>
      <c r="F206" s="282">
        <f t="shared" si="118"/>
        <v>0</v>
      </c>
      <c r="G206" s="282"/>
      <c r="H206" s="282"/>
      <c r="I206" s="282"/>
      <c r="J206" s="119"/>
      <c r="K206" s="275"/>
      <c r="L206" s="282"/>
      <c r="M206" s="282"/>
      <c r="N206" s="157" t="s">
        <v>550</v>
      </c>
      <c r="O206" s="275">
        <f>D206-IFERROR(VLOOKUP(A206,'[1]FL WIP'!$A:$F,4,0),0)</f>
        <v>0</v>
      </c>
      <c r="Q206" s="431"/>
    </row>
    <row r="207" spans="1:17">
      <c r="A207" s="157" t="s">
        <v>1352</v>
      </c>
      <c r="B207" s="157" t="s">
        <v>1353</v>
      </c>
      <c r="C207" s="228">
        <f>IFERROR(GETPIVOTDATA("Sum of qty",PT!$A$17,"product",A207,"FL/AZ","FL"),0)</f>
        <v>0</v>
      </c>
      <c r="D207" s="284">
        <f t="shared" si="117"/>
        <v>0</v>
      </c>
      <c r="E207" s="120">
        <f t="shared" si="109"/>
        <v>0.69981901303574467</v>
      </c>
      <c r="F207" s="282">
        <f t="shared" si="118"/>
        <v>0</v>
      </c>
      <c r="G207" s="282"/>
      <c r="H207" s="282"/>
      <c r="I207" s="282"/>
      <c r="J207" s="119"/>
      <c r="K207" s="275"/>
      <c r="L207" s="282"/>
      <c r="M207" s="282"/>
      <c r="N207" s="157" t="s">
        <v>550</v>
      </c>
      <c r="O207" s="275">
        <f>D207-IFERROR(VLOOKUP(A207,'[1]FL WIP'!$A:$F,4,0),0)</f>
        <v>0</v>
      </c>
      <c r="Q207" s="431"/>
    </row>
    <row r="208" spans="1:17">
      <c r="A208" s="157" t="s">
        <v>1073</v>
      </c>
      <c r="B208" s="157" t="s">
        <v>1354</v>
      </c>
      <c r="C208" s="228">
        <f>IFERROR(GETPIVOTDATA("Sum of qty",PT!$A$17,"product",A208,"FL/AZ","FL"),0)</f>
        <v>0</v>
      </c>
      <c r="D208" s="284">
        <f t="shared" si="49"/>
        <v>0</v>
      </c>
      <c r="E208" s="120">
        <f t="shared" si="109"/>
        <v>0.69981901303574467</v>
      </c>
      <c r="F208" s="282">
        <f t="shared" si="118"/>
        <v>0</v>
      </c>
      <c r="G208" s="282"/>
      <c r="H208" s="282"/>
      <c r="I208" s="282"/>
      <c r="J208" s="119">
        <v>0</v>
      </c>
      <c r="K208" s="275">
        <f t="shared" si="99"/>
        <v>0</v>
      </c>
      <c r="L208" s="282">
        <f>K208-J208</f>
        <v>0</v>
      </c>
      <c r="M208" s="282">
        <f t="shared" si="100"/>
        <v>0</v>
      </c>
      <c r="N208" s="157" t="s">
        <v>550</v>
      </c>
      <c r="O208" s="275">
        <f>D208-IFERROR(VLOOKUP(A208,'[1]FL WIP'!$A:$F,4,0),0)</f>
        <v>0</v>
      </c>
      <c r="Q208" s="431"/>
    </row>
    <row r="209" spans="1:17">
      <c r="A209" s="157" t="s">
        <v>865</v>
      </c>
      <c r="B209" s="157" t="s">
        <v>1355</v>
      </c>
      <c r="C209" s="228">
        <f>IFERROR(GETPIVOTDATA("Sum of qty",PT!$A$17,"product",A209,"FL/AZ","FL"),0)</f>
        <v>0</v>
      </c>
      <c r="D209" s="284">
        <f>C209</f>
        <v>0</v>
      </c>
      <c r="E209" s="120">
        <f t="shared" si="109"/>
        <v>0.69981901303574467</v>
      </c>
      <c r="F209" s="282">
        <f t="shared" si="118"/>
        <v>0</v>
      </c>
      <c r="G209" s="282"/>
      <c r="H209" s="282"/>
      <c r="I209" s="282"/>
      <c r="J209" s="119"/>
      <c r="K209" s="275"/>
      <c r="L209" s="282"/>
      <c r="M209" s="282"/>
      <c r="N209" s="157" t="s">
        <v>550</v>
      </c>
      <c r="O209" s="275">
        <f>D209-IFERROR(VLOOKUP(A209,'[1]FL WIP'!$A:$F,4,0),0)</f>
        <v>0</v>
      </c>
      <c r="Q209" s="431"/>
    </row>
    <row r="210" spans="1:17">
      <c r="A210" s="157" t="s">
        <v>875</v>
      </c>
      <c r="B210" s="157" t="s">
        <v>1356</v>
      </c>
      <c r="C210" s="228">
        <f>IFERROR(GETPIVOTDATA("Sum of qty",PT!$A$17,"product",A210,"FL/AZ","FL"),0)</f>
        <v>0</v>
      </c>
      <c r="D210" s="284">
        <f t="shared" si="49"/>
        <v>0</v>
      </c>
      <c r="E210" s="120">
        <f t="shared" si="109"/>
        <v>0.69981901303574467</v>
      </c>
      <c r="F210" s="282">
        <f t="shared" si="118"/>
        <v>0</v>
      </c>
      <c r="G210" s="282"/>
      <c r="H210" s="282"/>
      <c r="I210" s="282"/>
      <c r="J210" s="119">
        <v>22</v>
      </c>
      <c r="K210" s="275">
        <f t="shared" si="99"/>
        <v>0</v>
      </c>
      <c r="L210" s="282">
        <f>K210-J210</f>
        <v>-22</v>
      </c>
      <c r="M210" s="282">
        <f t="shared" si="100"/>
        <v>-1.4828000000000001</v>
      </c>
      <c r="N210" s="157" t="s">
        <v>550</v>
      </c>
      <c r="O210" s="275">
        <f>D210-IFERROR(VLOOKUP(A210,'[1]FL WIP'!$A:$F,4,0),0)</f>
        <v>0</v>
      </c>
      <c r="Q210" s="431"/>
    </row>
    <row r="211" spans="1:17">
      <c r="A211" s="157" t="s">
        <v>1078</v>
      </c>
      <c r="B211" s="157" t="s">
        <v>1079</v>
      </c>
      <c r="C211" s="228">
        <f>IFERROR(GETPIVOTDATA("Sum of qty",PT!$A$17,"product",A211,"FL/AZ","FL"),0)</f>
        <v>0</v>
      </c>
      <c r="D211" s="284">
        <f>C211*300</f>
        <v>0</v>
      </c>
      <c r="E211" s="120"/>
      <c r="F211" s="282">
        <f t="shared" si="118"/>
        <v>0</v>
      </c>
      <c r="G211" s="282"/>
      <c r="H211" s="282"/>
      <c r="I211" s="282"/>
      <c r="J211" s="119"/>
      <c r="K211" s="275">
        <f t="shared" ref="K211" si="119">D211</f>
        <v>0</v>
      </c>
      <c r="L211" s="282">
        <f>K211-J211</f>
        <v>0</v>
      </c>
      <c r="M211" s="282">
        <f t="shared" ref="M211" si="120">L211*0.0674</f>
        <v>0</v>
      </c>
      <c r="N211" s="157" t="s">
        <v>550</v>
      </c>
      <c r="O211" s="275">
        <f>D211-IFERROR(VLOOKUP(A211,'[1]FL WIP'!$A:$F,4,0),0)</f>
        <v>0</v>
      </c>
      <c r="Q211" s="431"/>
    </row>
    <row r="212" spans="1:17">
      <c r="A212" s="157" t="s">
        <v>1080</v>
      </c>
      <c r="B212" s="157" t="s">
        <v>1357</v>
      </c>
      <c r="C212" s="228">
        <f>IFERROR(GETPIVOTDATA("Sum of qty",PT!$A$17,"product",A212,"FL/AZ","FL"),0)</f>
        <v>0</v>
      </c>
      <c r="D212" s="284">
        <f>C212</f>
        <v>0</v>
      </c>
      <c r="E212" s="120">
        <f t="shared" si="109"/>
        <v>0.69981901303574467</v>
      </c>
      <c r="F212" s="282">
        <f t="shared" si="118"/>
        <v>0</v>
      </c>
      <c r="G212" s="282"/>
      <c r="H212" s="282"/>
      <c r="I212" s="282"/>
      <c r="J212" s="119">
        <v>0</v>
      </c>
      <c r="K212" s="275">
        <f>D212</f>
        <v>0</v>
      </c>
      <c r="L212" s="282">
        <f>K212-J212</f>
        <v>0</v>
      </c>
      <c r="M212" s="282">
        <f>L212*0.0674</f>
        <v>0</v>
      </c>
      <c r="N212" s="157" t="s">
        <v>1207</v>
      </c>
      <c r="O212" s="275">
        <f>D212-IFERROR(VLOOKUP(A212,'[1]FL WIP'!$A:$F,4,0),0)</f>
        <v>0</v>
      </c>
      <c r="Q212" s="431"/>
    </row>
    <row r="213" spans="1:17">
      <c r="A213" s="157" t="s">
        <v>1358</v>
      </c>
      <c r="B213" s="157" t="s">
        <v>1359</v>
      </c>
      <c r="C213" s="228">
        <f>IFERROR(GETPIVOTDATA("Sum of qty",PT!$A$17,"product",A213,"FL/AZ","FL"),0)</f>
        <v>0</v>
      </c>
      <c r="D213" s="284">
        <f t="shared" si="49"/>
        <v>0</v>
      </c>
      <c r="E213" s="120">
        <f t="shared" si="109"/>
        <v>0.69981901303574467</v>
      </c>
      <c r="F213" s="282">
        <f t="shared" si="118"/>
        <v>0</v>
      </c>
      <c r="G213" s="282"/>
      <c r="H213" s="282"/>
      <c r="I213" s="282"/>
      <c r="J213" s="119">
        <v>0</v>
      </c>
      <c r="K213" s="275">
        <f t="shared" si="99"/>
        <v>0</v>
      </c>
      <c r="L213" s="282">
        <f>K213-J213</f>
        <v>0</v>
      </c>
      <c r="M213" s="282">
        <f t="shared" si="100"/>
        <v>0</v>
      </c>
      <c r="N213" s="157" t="s">
        <v>1207</v>
      </c>
      <c r="O213" s="275">
        <f>D213-IFERROR(VLOOKUP(A213,'[1]FL WIP'!$A:$F,4,0),0)</f>
        <v>0</v>
      </c>
      <c r="Q213" s="431"/>
    </row>
    <row r="214" spans="1:17">
      <c r="A214" s="157" t="s">
        <v>1360</v>
      </c>
      <c r="B214" s="157" t="s">
        <v>1361</v>
      </c>
      <c r="C214" s="228">
        <f>IFERROR(GETPIVOTDATA("Sum of qty",PT!$A$17,"product",A214,"FL/AZ","FL"),0)</f>
        <v>0</v>
      </c>
      <c r="D214" s="284">
        <f>C214</f>
        <v>0</v>
      </c>
      <c r="E214" s="120">
        <v>0</v>
      </c>
      <c r="F214" s="282">
        <f t="shared" si="118"/>
        <v>0</v>
      </c>
      <c r="G214" s="282"/>
      <c r="H214" s="282"/>
      <c r="I214" s="282">
        <f t="shared" ref="I214:I219" si="121">H214*C214</f>
        <v>0</v>
      </c>
      <c r="J214" s="119"/>
      <c r="K214" s="275"/>
      <c r="L214" s="282"/>
      <c r="M214" s="282"/>
      <c r="N214" s="157" t="s">
        <v>1207</v>
      </c>
      <c r="O214" s="275">
        <f>D214-IFERROR(VLOOKUP(A214,'[1]FL WIP'!$A:$F,4,0),0)</f>
        <v>0</v>
      </c>
      <c r="Q214" s="431"/>
    </row>
    <row r="215" spans="1:17">
      <c r="A215" s="157" t="s">
        <v>1362</v>
      </c>
      <c r="B215" s="157" t="s">
        <v>1363</v>
      </c>
      <c r="C215" s="228">
        <f>IFERROR(GETPIVOTDATA("Sum of qty",PT!$A$17,"product",A215,"FL/AZ","FL"),0)</f>
        <v>0</v>
      </c>
      <c r="D215" s="284">
        <f>C215</f>
        <v>0</v>
      </c>
      <c r="E215" s="120">
        <f t="shared" ref="E215:E262" si="122">+$E$13</f>
        <v>0.69981901303574467</v>
      </c>
      <c r="F215" s="282">
        <f t="shared" si="118"/>
        <v>0</v>
      </c>
      <c r="G215" s="282"/>
      <c r="H215" s="282"/>
      <c r="I215" s="282">
        <f t="shared" si="121"/>
        <v>0</v>
      </c>
      <c r="J215" s="119"/>
      <c r="K215" s="275"/>
      <c r="L215" s="282"/>
      <c r="M215" s="282"/>
      <c r="N215" s="157" t="s">
        <v>1207</v>
      </c>
      <c r="O215" s="275">
        <f>D215-IFERROR(VLOOKUP(A215,'[1]FL WIP'!$A:$F,4,0),0)</f>
        <v>0</v>
      </c>
      <c r="Q215" s="431"/>
    </row>
    <row r="216" spans="1:17">
      <c r="A216" s="157" t="s">
        <v>1364</v>
      </c>
      <c r="B216" s="157" t="s">
        <v>1365</v>
      </c>
      <c r="C216" s="228">
        <f>IFERROR(GETPIVOTDATA("Sum of qty",PT!$A$17,"product",A216,"FL/AZ","FL"),0)</f>
        <v>0</v>
      </c>
      <c r="D216" s="284">
        <f>C216</f>
        <v>0</v>
      </c>
      <c r="E216" s="120"/>
      <c r="F216" s="282">
        <f t="shared" si="118"/>
        <v>0</v>
      </c>
      <c r="G216" s="282"/>
      <c r="H216" s="282"/>
      <c r="I216" s="282">
        <f t="shared" si="121"/>
        <v>0</v>
      </c>
      <c r="J216" s="119"/>
      <c r="K216" s="275"/>
      <c r="L216" s="282"/>
      <c r="M216" s="282"/>
      <c r="N216" s="157" t="s">
        <v>1207</v>
      </c>
      <c r="O216" s="275">
        <f>D216-IFERROR(VLOOKUP(A216,'[1]FL WIP'!$A:$F,4,0),0)</f>
        <v>0</v>
      </c>
      <c r="Q216" s="431"/>
    </row>
    <row r="217" spans="1:17">
      <c r="A217" s="157" t="s">
        <v>1366</v>
      </c>
      <c r="B217" s="157" t="s">
        <v>1367</v>
      </c>
      <c r="C217" s="228">
        <f>IFERROR(GETPIVOTDATA("Sum of qty",PT!$A$17,"product",A217,"FL/AZ","FL"),0)</f>
        <v>0</v>
      </c>
      <c r="D217" s="284">
        <f>C217</f>
        <v>0</v>
      </c>
      <c r="E217" s="120"/>
      <c r="F217" s="282">
        <f t="shared" si="118"/>
        <v>0</v>
      </c>
      <c r="G217" s="282"/>
      <c r="H217" s="282"/>
      <c r="I217" s="282">
        <f t="shared" si="121"/>
        <v>0</v>
      </c>
      <c r="J217" s="119"/>
      <c r="K217" s="275"/>
      <c r="L217" s="282"/>
      <c r="M217" s="282"/>
      <c r="N217" s="157" t="s">
        <v>1207</v>
      </c>
      <c r="O217" s="275">
        <f>D217-IFERROR(VLOOKUP(A217,'[1]FL WIP'!$A:$F,4,0),0)</f>
        <v>0</v>
      </c>
      <c r="Q217" s="431"/>
    </row>
    <row r="218" spans="1:17">
      <c r="A218" s="157" t="s">
        <v>1084</v>
      </c>
      <c r="B218" s="157" t="s">
        <v>1368</v>
      </c>
      <c r="C218" s="228">
        <f>IFERROR(GETPIVOTDATA("Sum of qty",PT!$A$17,"product",A218,"FL/AZ","FL"),0)</f>
        <v>0</v>
      </c>
      <c r="D218" s="284">
        <f t="shared" si="49"/>
        <v>0</v>
      </c>
      <c r="E218" s="120">
        <f t="shared" si="122"/>
        <v>0.69981901303574467</v>
      </c>
      <c r="F218" s="282">
        <f t="shared" si="118"/>
        <v>0</v>
      </c>
      <c r="G218" s="282"/>
      <c r="H218" s="282"/>
      <c r="I218" s="282">
        <f t="shared" si="121"/>
        <v>0</v>
      </c>
      <c r="J218" s="119">
        <v>472.5</v>
      </c>
      <c r="K218" s="275">
        <f t="shared" si="99"/>
        <v>0</v>
      </c>
      <c r="L218" s="282">
        <f>K218-J218</f>
        <v>-472.5</v>
      </c>
      <c r="M218" s="282">
        <f t="shared" si="100"/>
        <v>-31.846500000000002</v>
      </c>
      <c r="N218" s="157" t="s">
        <v>1207</v>
      </c>
      <c r="O218" s="275">
        <f>D218-IFERROR(VLOOKUP(A218,'[1]FL WIP'!$A:$F,4,0),0)</f>
        <v>0</v>
      </c>
      <c r="Q218" s="431"/>
    </row>
    <row r="219" spans="1:17">
      <c r="A219" s="157" t="s">
        <v>1369</v>
      </c>
      <c r="B219" s="157" t="s">
        <v>1370</v>
      </c>
      <c r="C219" s="228">
        <f>IFERROR(GETPIVOTDATA("Sum of qty",PT!$A$17,"product",A219,"FL/AZ","FL"),0)</f>
        <v>0</v>
      </c>
      <c r="D219" s="284">
        <f>C219</f>
        <v>0</v>
      </c>
      <c r="E219" s="120">
        <f t="shared" si="122"/>
        <v>0.69981901303574467</v>
      </c>
      <c r="F219" s="282">
        <f t="shared" si="118"/>
        <v>0</v>
      </c>
      <c r="G219" s="282"/>
      <c r="H219" s="282"/>
      <c r="I219" s="282">
        <f t="shared" si="121"/>
        <v>0</v>
      </c>
      <c r="J219" s="119"/>
      <c r="K219" s="275"/>
      <c r="L219" s="282"/>
      <c r="M219" s="282"/>
      <c r="N219" s="157" t="s">
        <v>1207</v>
      </c>
      <c r="O219" s="275">
        <f>D219-IFERROR(VLOOKUP(A219,'[1]FL WIP'!$A:$F,4,0),0)</f>
        <v>0</v>
      </c>
      <c r="Q219" s="431"/>
    </row>
    <row r="220" spans="1:17">
      <c r="A220" s="157" t="s">
        <v>1371</v>
      </c>
      <c r="B220" s="157" t="s">
        <v>1372</v>
      </c>
      <c r="C220" s="228">
        <f>IFERROR(GETPIVOTDATA("Sum of qty",PT!$A$17,"product",A220,"FL/AZ","FL"),0)</f>
        <v>0</v>
      </c>
      <c r="D220" s="284">
        <f t="shared" si="49"/>
        <v>0</v>
      </c>
      <c r="E220" s="120">
        <f t="shared" si="122"/>
        <v>0.69981901303574467</v>
      </c>
      <c r="F220" s="282">
        <f t="shared" si="118"/>
        <v>0</v>
      </c>
      <c r="G220" s="282"/>
      <c r="H220" s="282"/>
      <c r="I220" s="282"/>
      <c r="J220" s="119">
        <v>-186</v>
      </c>
      <c r="K220" s="275">
        <f t="shared" si="99"/>
        <v>0</v>
      </c>
      <c r="L220" s="282">
        <f>K220-J220</f>
        <v>186</v>
      </c>
      <c r="M220" s="282">
        <f t="shared" si="100"/>
        <v>12.5364</v>
      </c>
      <c r="N220" s="157" t="s">
        <v>1207</v>
      </c>
      <c r="O220" s="275">
        <f>D220-IFERROR(VLOOKUP(A220,'[1]FL WIP'!$A:$F,4,0),0)</f>
        <v>0</v>
      </c>
      <c r="Q220" s="431"/>
    </row>
    <row r="221" spans="1:17">
      <c r="A221" s="157" t="s">
        <v>73</v>
      </c>
      <c r="B221" s="157" t="s">
        <v>1088</v>
      </c>
      <c r="C221" s="228">
        <f>IFERROR(GETPIVOTDATA("Sum of qty",PT!$A$17,"product",A221,"FL/AZ","FL"),0)</f>
        <v>22938</v>
      </c>
      <c r="D221" s="284">
        <f t="shared" ref="D221" si="123">C221</f>
        <v>22938</v>
      </c>
      <c r="E221" s="120"/>
      <c r="F221" s="282">
        <f t="shared" si="118"/>
        <v>0</v>
      </c>
      <c r="G221" s="282"/>
      <c r="H221" s="120">
        <f>$H$43</f>
        <v>0.15833333333333333</v>
      </c>
      <c r="I221" s="432">
        <f>D221*H221</f>
        <v>3631.85</v>
      </c>
      <c r="J221" s="119"/>
      <c r="K221" s="275"/>
      <c r="L221" s="282"/>
      <c r="M221" s="282"/>
      <c r="N221" s="157" t="s">
        <v>1207</v>
      </c>
      <c r="O221" s="275">
        <f>D221-IFERROR(VLOOKUP(A221,'[1]FL WIP'!$A:$F,4,0),0)</f>
        <v>-4059</v>
      </c>
      <c r="Q221" s="431"/>
    </row>
    <row r="222" spans="1:17">
      <c r="A222" s="157" t="s">
        <v>894</v>
      </c>
      <c r="B222" s="157" t="s">
        <v>1373</v>
      </c>
      <c r="C222" s="228">
        <f>IFERROR(GETPIVOTDATA("Sum of qty",PT!$A$17,"product",A222,"FL/AZ","FL"),0)</f>
        <v>0</v>
      </c>
      <c r="D222" s="284">
        <f t="shared" ref="D222" si="124">C222</f>
        <v>0</v>
      </c>
      <c r="E222" s="120"/>
      <c r="F222" s="282">
        <f t="shared" si="118"/>
        <v>0</v>
      </c>
      <c r="G222" s="282"/>
      <c r="H222" s="120">
        <f>$H$9</f>
        <v>0.33377777777777778</v>
      </c>
      <c r="I222" s="432">
        <f>D222*H222</f>
        <v>0</v>
      </c>
      <c r="J222" s="119"/>
      <c r="K222" s="275"/>
      <c r="L222" s="282"/>
      <c r="M222" s="282"/>
      <c r="N222" s="157" t="s">
        <v>1207</v>
      </c>
      <c r="O222" s="275">
        <f>D222-IFERROR(VLOOKUP(A222,'[1]FL WIP'!$A:$F,4,0),0)</f>
        <v>0</v>
      </c>
      <c r="Q222" s="431"/>
    </row>
    <row r="223" spans="1:17">
      <c r="A223" s="157" t="s">
        <v>1374</v>
      </c>
      <c r="B223" s="157" t="s">
        <v>1375</v>
      </c>
      <c r="C223" s="228">
        <f>IFERROR(GETPIVOTDATA("Sum of qty",PT!$A$17,"product",A223,"FL/AZ","FL"),0)</f>
        <v>0</v>
      </c>
      <c r="D223" s="284">
        <f t="shared" ref="D223" si="125">C223</f>
        <v>0</v>
      </c>
      <c r="E223" s="120"/>
      <c r="F223" s="282">
        <f t="shared" si="118"/>
        <v>0</v>
      </c>
      <c r="G223" s="282"/>
      <c r="H223" s="282"/>
      <c r="I223" s="282"/>
      <c r="J223" s="119"/>
      <c r="K223" s="275"/>
      <c r="L223" s="282"/>
      <c r="M223" s="282"/>
      <c r="N223" s="157" t="s">
        <v>1207</v>
      </c>
      <c r="O223" s="275">
        <f>D223-IFERROR(VLOOKUP(A223,'[1]FL WIP'!$A:$F,4,0),0)</f>
        <v>0</v>
      </c>
      <c r="Q223" s="431"/>
    </row>
    <row r="224" spans="1:17">
      <c r="A224" s="157" t="s">
        <v>1109</v>
      </c>
      <c r="B224" s="157" t="s">
        <v>1376</v>
      </c>
      <c r="C224" s="228">
        <f>IFERROR(GETPIVOTDATA("Sum of qty",PT!$A$17,"product",A224,"FL/AZ","FL"),0)</f>
        <v>0</v>
      </c>
      <c r="D224" s="284">
        <f t="shared" si="49"/>
        <v>0</v>
      </c>
      <c r="E224" s="120">
        <f t="shared" si="122"/>
        <v>0.69981901303574467</v>
      </c>
      <c r="F224" s="282">
        <f t="shared" si="118"/>
        <v>0</v>
      </c>
      <c r="G224" s="282"/>
      <c r="H224" s="282"/>
      <c r="I224" s="282"/>
      <c r="J224" s="110"/>
      <c r="K224" s="275"/>
      <c r="L224" s="282"/>
      <c r="M224" s="282"/>
      <c r="N224" s="157" t="s">
        <v>828</v>
      </c>
      <c r="O224" s="275">
        <f>D224-IFERROR(VLOOKUP(A224,'[1]FL WIP'!$A:$F,4,0),0)</f>
        <v>0</v>
      </c>
      <c r="Q224" s="431"/>
    </row>
    <row r="225" spans="1:17">
      <c r="A225" s="198" t="s">
        <v>665</v>
      </c>
      <c r="B225" s="198" t="s">
        <v>666</v>
      </c>
      <c r="C225" s="228">
        <f>IFERROR(GETPIVOTDATA("Sum of qty",PT!$A$17,"product",A225,"FL/AZ","FL"),0)</f>
        <v>0</v>
      </c>
      <c r="D225" s="284">
        <f>C225</f>
        <v>0</v>
      </c>
      <c r="E225" s="120">
        <f t="shared" si="122"/>
        <v>0.69981901303574467</v>
      </c>
      <c r="F225" s="282">
        <f t="shared" si="118"/>
        <v>0</v>
      </c>
      <c r="G225" s="282"/>
      <c r="H225" s="282"/>
      <c r="I225" s="282"/>
      <c r="J225" s="110"/>
      <c r="K225" s="275"/>
      <c r="L225" s="282"/>
      <c r="M225" s="282"/>
      <c r="N225" s="157" t="s">
        <v>828</v>
      </c>
      <c r="O225" s="275">
        <f>D225-IFERROR(VLOOKUP(A225,'[1]FL WIP'!$A:$F,4,0),0)</f>
        <v>-81</v>
      </c>
      <c r="Q225" s="431"/>
    </row>
    <row r="226" spans="1:17">
      <c r="A226" s="157" t="s">
        <v>1377</v>
      </c>
      <c r="B226" s="157" t="s">
        <v>1378</v>
      </c>
      <c r="C226" s="228">
        <f>IFERROR(GETPIVOTDATA("Sum of qty",PT!$A$17,"product",A226,"FL/AZ","FL"),0)</f>
        <v>0</v>
      </c>
      <c r="D226" s="284">
        <f t="shared" si="49"/>
        <v>0</v>
      </c>
      <c r="E226" s="120">
        <f t="shared" si="122"/>
        <v>0.69981901303574467</v>
      </c>
      <c r="F226" s="282">
        <f t="shared" si="118"/>
        <v>0</v>
      </c>
      <c r="G226" s="282"/>
      <c r="H226" s="282"/>
      <c r="I226" s="282"/>
      <c r="J226" s="109"/>
      <c r="K226"/>
      <c r="L226" s="282"/>
      <c r="M226" s="282"/>
      <c r="N226" s="157" t="s">
        <v>828</v>
      </c>
      <c r="O226" s="275">
        <f>D226-IFERROR(VLOOKUP(A226,'[1]FL WIP'!$A:$F,4,0),0)</f>
        <v>0</v>
      </c>
      <c r="Q226" s="431"/>
    </row>
    <row r="227" spans="1:17">
      <c r="A227" s="157" t="s">
        <v>1093</v>
      </c>
      <c r="B227" s="157" t="s">
        <v>1094</v>
      </c>
      <c r="C227" s="228">
        <f>IFERROR(GETPIVOTDATA("Sum of qty",PT!$A$17,"product",A227,"FL/AZ","FL"),0)</f>
        <v>0</v>
      </c>
      <c r="D227" s="284">
        <f>C227</f>
        <v>0</v>
      </c>
      <c r="E227" s="120">
        <f t="shared" si="122"/>
        <v>0.69981901303574467</v>
      </c>
      <c r="F227" s="282">
        <f t="shared" si="118"/>
        <v>0</v>
      </c>
      <c r="G227" s="282"/>
      <c r="H227" s="282"/>
      <c r="I227" s="282"/>
      <c r="J227" s="109"/>
      <c r="K227"/>
      <c r="L227" s="282"/>
      <c r="M227" s="282"/>
      <c r="N227" s="157" t="s">
        <v>828</v>
      </c>
      <c r="O227" s="275">
        <f>D227-IFERROR(VLOOKUP(A227,'[1]FL WIP'!$A:$F,4,0),0)</f>
        <v>0</v>
      </c>
      <c r="Q227" s="431"/>
    </row>
    <row r="228" spans="1:17">
      <c r="A228" s="157" t="s">
        <v>1379</v>
      </c>
      <c r="B228" s="157" t="s">
        <v>1380</v>
      </c>
      <c r="C228" s="228">
        <f>IFERROR(GETPIVOTDATA("Sum of qty",PT!$A$17,"product",A228,"FL/AZ","FL"),0)</f>
        <v>0</v>
      </c>
      <c r="D228" s="284">
        <f t="shared" si="49"/>
        <v>0</v>
      </c>
      <c r="E228" s="120">
        <f t="shared" si="122"/>
        <v>0.69981901303574467</v>
      </c>
      <c r="F228" s="282">
        <f t="shared" si="118"/>
        <v>0</v>
      </c>
      <c r="G228" s="282"/>
      <c r="H228" s="282"/>
      <c r="I228" s="282"/>
      <c r="J228" s="109"/>
      <c r="K228"/>
      <c r="L228" s="282"/>
      <c r="M228" s="282"/>
      <c r="N228" s="157" t="s">
        <v>828</v>
      </c>
      <c r="O228" s="275">
        <f>D228-IFERROR(VLOOKUP(A228,'[1]FL WIP'!$A:$F,4,0),0)</f>
        <v>0</v>
      </c>
      <c r="Q228" s="431"/>
    </row>
    <row r="229" spans="1:17">
      <c r="A229" s="157" t="s">
        <v>1381</v>
      </c>
      <c r="B229" s="157" t="s">
        <v>1382</v>
      </c>
      <c r="C229" s="228">
        <f>IFERROR(GETPIVOTDATA("Sum of qty",PT!$A$17,"product",A229,"FL/AZ","FL"),0)</f>
        <v>0</v>
      </c>
      <c r="D229" s="284">
        <f t="shared" ref="D229" si="126">C229</f>
        <v>0</v>
      </c>
      <c r="E229" s="120">
        <f t="shared" si="122"/>
        <v>0.69981901303574467</v>
      </c>
      <c r="F229" s="282">
        <f t="shared" si="118"/>
        <v>0</v>
      </c>
      <c r="G229" s="282"/>
      <c r="H229" s="282"/>
      <c r="I229" s="282"/>
      <c r="J229" s="109"/>
      <c r="K229"/>
      <c r="L229" s="282"/>
      <c r="M229" s="282"/>
      <c r="N229" s="157" t="s">
        <v>828</v>
      </c>
      <c r="O229" s="275">
        <f>D229-IFERROR(VLOOKUP(A229,'[1]FL WIP'!$A:$F,4,0),0)</f>
        <v>0</v>
      </c>
      <c r="Q229" s="431"/>
    </row>
    <row r="230" spans="1:17">
      <c r="A230" s="157" t="s">
        <v>1095</v>
      </c>
      <c r="B230" s="157" t="s">
        <v>1383</v>
      </c>
      <c r="C230" s="228">
        <f>IFERROR(GETPIVOTDATA("Sum of qty",PT!$A$17,"product",A230,"FL/AZ","FL"),0)</f>
        <v>0</v>
      </c>
      <c r="D230" s="284">
        <f t="shared" si="49"/>
        <v>0</v>
      </c>
      <c r="E230" s="120">
        <f t="shared" si="122"/>
        <v>0.69981901303574467</v>
      </c>
      <c r="F230" s="282">
        <f t="shared" si="118"/>
        <v>0</v>
      </c>
      <c r="G230" s="282"/>
      <c r="H230" s="282"/>
      <c r="I230" s="282"/>
      <c r="J230" s="109"/>
      <c r="K230"/>
      <c r="L230" s="282"/>
      <c r="M230"/>
      <c r="N230" s="157" t="s">
        <v>828</v>
      </c>
      <c r="O230" s="275">
        <f>D230-IFERROR(VLOOKUP(A230,'[1]FL WIP'!$A:$F,4,0),0)</f>
        <v>0</v>
      </c>
      <c r="Q230" s="431"/>
    </row>
    <row r="231" spans="1:17">
      <c r="A231" s="157" t="s">
        <v>1384</v>
      </c>
      <c r="B231" s="157" t="s">
        <v>1385</v>
      </c>
      <c r="C231" s="228">
        <f>IFERROR(GETPIVOTDATA("Sum of qty",PT!$A$17,"product",A231,"FL/AZ","FL"),0)</f>
        <v>0</v>
      </c>
      <c r="D231" s="284">
        <f t="shared" si="49"/>
        <v>0</v>
      </c>
      <c r="E231" s="120">
        <f t="shared" si="122"/>
        <v>0.69981901303574467</v>
      </c>
      <c r="F231" s="282">
        <f t="shared" si="118"/>
        <v>0</v>
      </c>
      <c r="G231" s="282"/>
      <c r="H231" s="282"/>
      <c r="I231" s="282"/>
      <c r="J231" s="109"/>
      <c r="K231"/>
      <c r="L231" s="282"/>
      <c r="M231"/>
      <c r="N231" s="157" t="s">
        <v>828</v>
      </c>
      <c r="O231" s="275">
        <f>D231-IFERROR(VLOOKUP(A231,'[1]FL WIP'!$A:$F,4,0),0)</f>
        <v>0</v>
      </c>
      <c r="Q231" s="431"/>
    </row>
    <row r="232" spans="1:17">
      <c r="A232" s="157" t="s">
        <v>1097</v>
      </c>
      <c r="B232" s="157" t="s">
        <v>1098</v>
      </c>
      <c r="C232" s="228">
        <f>IFERROR(GETPIVOTDATA("Sum of qty",PT!$A$17,"product",A232,"FL/AZ","FL"),0)</f>
        <v>0</v>
      </c>
      <c r="D232" s="284">
        <f>C232</f>
        <v>0</v>
      </c>
      <c r="E232" s="120">
        <f t="shared" si="122"/>
        <v>0.69981901303574467</v>
      </c>
      <c r="F232" s="282">
        <f t="shared" si="118"/>
        <v>0</v>
      </c>
      <c r="G232" s="282"/>
      <c r="H232" s="282"/>
      <c r="I232" s="282"/>
      <c r="J232" s="109"/>
      <c r="K232"/>
      <c r="L232" s="282"/>
      <c r="M232"/>
      <c r="N232" s="157" t="s">
        <v>828</v>
      </c>
      <c r="O232" s="275">
        <f>D232-IFERROR(VLOOKUP(A232,'[1]FL WIP'!$A:$F,4,0),0)</f>
        <v>0</v>
      </c>
      <c r="Q232" s="431"/>
    </row>
    <row r="233" spans="1:17">
      <c r="A233" s="157" t="s">
        <v>1099</v>
      </c>
      <c r="B233" s="157" t="s">
        <v>1100</v>
      </c>
      <c r="C233" s="228">
        <f>IFERROR(GETPIVOTDATA("Sum of qty",PT!$A$17,"product",A233,"FL/AZ","FL"),0)</f>
        <v>0</v>
      </c>
      <c r="D233" s="284">
        <f>C233</f>
        <v>0</v>
      </c>
      <c r="E233" s="120">
        <f t="shared" si="122"/>
        <v>0.69981901303574467</v>
      </c>
      <c r="F233" s="282">
        <f t="shared" si="118"/>
        <v>0</v>
      </c>
      <c r="G233" s="282"/>
      <c r="H233" s="282"/>
      <c r="I233" s="282"/>
      <c r="J233" s="109"/>
      <c r="K233"/>
      <c r="L233" s="282"/>
      <c r="M233"/>
      <c r="N233" s="157" t="s">
        <v>828</v>
      </c>
      <c r="O233" s="275">
        <f>D233-IFERROR(VLOOKUP(A233,'[1]FL WIP'!$A:$F,4,0),0)</f>
        <v>0</v>
      </c>
      <c r="Q233" s="431"/>
    </row>
    <row r="234" spans="1:17">
      <c r="A234" s="157" t="s">
        <v>1103</v>
      </c>
      <c r="B234" s="157" t="s">
        <v>1104</v>
      </c>
      <c r="C234" s="228">
        <f>IFERROR(GETPIVOTDATA("Sum of qty",PT!$A$17,"product",A234,"FL/AZ","FL"),0)</f>
        <v>0</v>
      </c>
      <c r="D234" s="284">
        <f>C234</f>
        <v>0</v>
      </c>
      <c r="E234" s="120">
        <f t="shared" si="122"/>
        <v>0.69981901303574467</v>
      </c>
      <c r="F234" s="282">
        <f t="shared" ref="F234" si="127">D234*E234</f>
        <v>0</v>
      </c>
      <c r="G234" s="282"/>
      <c r="H234" s="282"/>
      <c r="I234" s="282"/>
      <c r="J234" s="109"/>
      <c r="K234"/>
      <c r="L234" s="282"/>
      <c r="M234"/>
      <c r="N234" s="157" t="s">
        <v>828</v>
      </c>
      <c r="O234" s="275">
        <f>D234-IFERROR(VLOOKUP(A234,'[1]FL WIP'!$A:$F,4,0),0)</f>
        <v>0</v>
      </c>
      <c r="Q234" s="431"/>
    </row>
    <row r="235" spans="1:17">
      <c r="A235" s="157" t="s">
        <v>1386</v>
      </c>
      <c r="B235" s="157" t="s">
        <v>1387</v>
      </c>
      <c r="C235" s="228">
        <f>IFERROR(GETPIVOTDATA("Sum of qty",PT!$A$17,"product",A235,"FL/AZ","FL"),0)</f>
        <v>0</v>
      </c>
      <c r="D235" s="284">
        <f t="shared" si="49"/>
        <v>0</v>
      </c>
      <c r="E235" s="120">
        <f t="shared" si="122"/>
        <v>0.69981901303574467</v>
      </c>
      <c r="F235" s="282">
        <f t="shared" si="118"/>
        <v>0</v>
      </c>
      <c r="G235" s="282"/>
      <c r="H235" s="282"/>
      <c r="I235" s="282"/>
      <c r="J235" s="109"/>
      <c r="K235"/>
      <c r="L235" s="282"/>
      <c r="M235"/>
      <c r="N235" s="157" t="s">
        <v>828</v>
      </c>
      <c r="O235" s="275">
        <f>D235-IFERROR(VLOOKUP(A235,'[1]FL WIP'!$A:$F,4,0),0)</f>
        <v>0</v>
      </c>
      <c r="Q235" s="431"/>
    </row>
    <row r="236" spans="1:17">
      <c r="A236" s="157" t="s">
        <v>1388</v>
      </c>
      <c r="B236" s="157" t="s">
        <v>1389</v>
      </c>
      <c r="C236" s="228">
        <f>IFERROR(GETPIVOTDATA("Sum of qty",PT!$A$17,"product",A236,"FL/AZ","FL"),0)</f>
        <v>0</v>
      </c>
      <c r="D236" s="284">
        <f t="shared" si="49"/>
        <v>0</v>
      </c>
      <c r="E236" s="120">
        <f t="shared" si="122"/>
        <v>0.69981901303574467</v>
      </c>
      <c r="F236" s="282">
        <f t="shared" si="118"/>
        <v>0</v>
      </c>
      <c r="G236" s="282"/>
      <c r="H236" s="282"/>
      <c r="I236" s="282"/>
      <c r="J236" s="109"/>
      <c r="K236"/>
      <c r="L236" s="282"/>
      <c r="M236"/>
      <c r="N236" s="157" t="s">
        <v>828</v>
      </c>
      <c r="O236" s="275">
        <f>D236-IFERROR(VLOOKUP(A236,'[1]FL WIP'!$A:$F,4,0),0)</f>
        <v>0</v>
      </c>
      <c r="Q236" s="431"/>
    </row>
    <row r="237" spans="1:17">
      <c r="A237" s="157" t="s">
        <v>1105</v>
      </c>
      <c r="B237" s="157" t="s">
        <v>1106</v>
      </c>
      <c r="C237" s="228">
        <f>IFERROR(GETPIVOTDATA("Sum of qty",PT!$A$17,"product",A237,"FL/AZ","FL"),0)</f>
        <v>0</v>
      </c>
      <c r="D237" s="284">
        <f t="shared" si="49"/>
        <v>0</v>
      </c>
      <c r="E237" s="120">
        <f t="shared" si="122"/>
        <v>0.69981901303574467</v>
      </c>
      <c r="F237" s="282">
        <f t="shared" si="118"/>
        <v>0</v>
      </c>
      <c r="G237" s="282"/>
      <c r="H237" s="282"/>
      <c r="I237" s="282"/>
      <c r="J237" s="109"/>
      <c r="K237"/>
      <c r="L237" s="282"/>
      <c r="M237"/>
      <c r="N237" s="157" t="s">
        <v>828</v>
      </c>
      <c r="O237" s="275">
        <f>D237-IFERROR(VLOOKUP(A237,'[1]FL WIP'!$A:$F,4,0),0)</f>
        <v>0</v>
      </c>
      <c r="Q237" s="431"/>
    </row>
    <row r="238" spans="1:17">
      <c r="A238" s="157" t="s">
        <v>1390</v>
      </c>
      <c r="B238" s="157" t="s">
        <v>1391</v>
      </c>
      <c r="C238" s="228">
        <f>IFERROR(GETPIVOTDATA("Sum of qty",PT!$A$17,"product",A238,"FL/AZ","FL"),0)</f>
        <v>0</v>
      </c>
      <c r="D238" s="284">
        <f>C238</f>
        <v>0</v>
      </c>
      <c r="E238" s="120">
        <f t="shared" si="122"/>
        <v>0.69981901303574467</v>
      </c>
      <c r="F238" s="282">
        <f t="shared" si="118"/>
        <v>0</v>
      </c>
      <c r="G238" s="282"/>
      <c r="H238" s="282"/>
      <c r="I238" s="282"/>
      <c r="J238" s="109"/>
      <c r="K238"/>
      <c r="L238" s="282"/>
      <c r="M238"/>
      <c r="N238" s="157" t="s">
        <v>828</v>
      </c>
      <c r="O238" s="275">
        <f>D238-IFERROR(VLOOKUP(A238,'[1]FL WIP'!$A:$F,4,0),0)</f>
        <v>0</v>
      </c>
      <c r="Q238" s="431"/>
    </row>
    <row r="239" spans="1:17">
      <c r="A239" s="157" t="s">
        <v>707</v>
      </c>
      <c r="B239" s="157" t="s">
        <v>708</v>
      </c>
      <c r="C239" s="228">
        <f>IFERROR(GETPIVOTDATA("Sum of qty",PT!$A$17,"product",A239,"FL/AZ","FL"),0)</f>
        <v>0</v>
      </c>
      <c r="D239" s="284">
        <f t="shared" si="49"/>
        <v>0</v>
      </c>
      <c r="E239" s="120">
        <f t="shared" si="122"/>
        <v>0.69981901303574467</v>
      </c>
      <c r="F239" s="282">
        <f t="shared" si="118"/>
        <v>0</v>
      </c>
      <c r="G239" s="282"/>
      <c r="H239" s="282"/>
      <c r="I239" s="282"/>
      <c r="J239" s="109"/>
      <c r="K239"/>
      <c r="L239" s="282"/>
      <c r="M239"/>
      <c r="N239" s="157" t="s">
        <v>828</v>
      </c>
      <c r="O239" s="275">
        <f>D239-IFERROR(VLOOKUP(A239,'[1]FL WIP'!$A:$F,4,0),0)</f>
        <v>0</v>
      </c>
      <c r="Q239" s="431"/>
    </row>
    <row r="240" spans="1:17">
      <c r="A240" s="157" t="s">
        <v>1115</v>
      </c>
      <c r="B240" s="157" t="s">
        <v>1392</v>
      </c>
      <c r="C240" s="228">
        <f>IFERROR(GETPIVOTDATA("Sum of qty",PT!$A$17,"product",A240,"FL/AZ","FL"),0)</f>
        <v>0</v>
      </c>
      <c r="D240" s="284">
        <f t="shared" si="49"/>
        <v>0</v>
      </c>
      <c r="E240" s="120">
        <f t="shared" si="122"/>
        <v>0.69981901303574467</v>
      </c>
      <c r="F240" s="282">
        <f t="shared" si="118"/>
        <v>0</v>
      </c>
      <c r="G240" s="282"/>
      <c r="H240" s="282"/>
      <c r="I240" s="282"/>
      <c r="J240" s="109"/>
      <c r="K240"/>
      <c r="L240" s="282"/>
      <c r="M240"/>
      <c r="N240" s="157" t="s">
        <v>828</v>
      </c>
      <c r="O240" s="275">
        <f>D240-IFERROR(VLOOKUP(A240,'[1]FL WIP'!$A:$F,4,0),0)</f>
        <v>0</v>
      </c>
      <c r="Q240" s="431"/>
    </row>
    <row r="241" spans="1:17">
      <c r="A241" s="157" t="s">
        <v>1111</v>
      </c>
      <c r="B241" s="157" t="s">
        <v>1112</v>
      </c>
      <c r="C241" s="228">
        <f>IFERROR(GETPIVOTDATA("Sum of qty",PT!$A$17,"product",A241,"FL/AZ","FL"),0)</f>
        <v>0</v>
      </c>
      <c r="D241" s="284">
        <f t="shared" ref="D241" si="128">C241</f>
        <v>0</v>
      </c>
      <c r="E241" s="120">
        <f t="shared" si="122"/>
        <v>0.69981901303574467</v>
      </c>
      <c r="F241" s="282">
        <f t="shared" si="118"/>
        <v>0</v>
      </c>
      <c r="G241" s="282"/>
      <c r="H241" s="282"/>
      <c r="I241" s="282"/>
      <c r="J241" s="109"/>
      <c r="K241"/>
      <c r="L241" s="282"/>
      <c r="M241"/>
      <c r="N241" s="157" t="s">
        <v>828</v>
      </c>
      <c r="O241" s="275">
        <f>D241-IFERROR(VLOOKUP(A241,'[1]FL WIP'!$A:$F,4,0),0)</f>
        <v>0</v>
      </c>
      <c r="Q241" s="431"/>
    </row>
    <row r="242" spans="1:17">
      <c r="A242" s="157" t="s">
        <v>1107</v>
      </c>
      <c r="B242" s="157" t="s">
        <v>1393</v>
      </c>
      <c r="C242" s="228">
        <f>IFERROR(GETPIVOTDATA("Sum of qty",PT!$A$17,"product",A242,"FL/AZ","FL"),0)</f>
        <v>0</v>
      </c>
      <c r="D242" s="284">
        <f t="shared" si="49"/>
        <v>0</v>
      </c>
      <c r="E242" s="120">
        <f t="shared" si="122"/>
        <v>0.69981901303574467</v>
      </c>
      <c r="F242" s="282">
        <f t="shared" si="118"/>
        <v>0</v>
      </c>
      <c r="G242" s="282"/>
      <c r="H242" s="282"/>
      <c r="I242" s="282"/>
      <c r="J242" s="109"/>
      <c r="K242"/>
      <c r="L242" s="282"/>
      <c r="M242"/>
      <c r="N242" s="157" t="s">
        <v>828</v>
      </c>
      <c r="O242" s="275">
        <f>D242-IFERROR(VLOOKUP(A242,'[1]FL WIP'!$A:$F,4,0),0)</f>
        <v>0</v>
      </c>
      <c r="Q242" s="431"/>
    </row>
    <row r="243" spans="1:17">
      <c r="A243" s="157" t="s">
        <v>592</v>
      </c>
      <c r="B243" s="157" t="s">
        <v>593</v>
      </c>
      <c r="C243" s="228">
        <f>IFERROR(GETPIVOTDATA("Sum of qty",PT!$A$17,"product",A243,"FL/AZ","FL"),0)</f>
        <v>0</v>
      </c>
      <c r="D243" s="284">
        <f t="shared" si="49"/>
        <v>0</v>
      </c>
      <c r="E243" s="120">
        <f t="shared" si="122"/>
        <v>0.69981901303574467</v>
      </c>
      <c r="F243" s="282">
        <f t="shared" si="118"/>
        <v>0</v>
      </c>
      <c r="G243" s="282"/>
      <c r="H243" s="282"/>
      <c r="I243" s="282"/>
      <c r="J243" s="109"/>
      <c r="K243"/>
      <c r="L243" s="282"/>
      <c r="M243"/>
      <c r="N243" s="157" t="s">
        <v>828</v>
      </c>
      <c r="O243" s="275">
        <f>D243-IFERROR(VLOOKUP(A243,'[1]FL WIP'!$A:$F,4,0),0)</f>
        <v>0</v>
      </c>
      <c r="Q243" s="431"/>
    </row>
    <row r="244" spans="1:17">
      <c r="A244" s="157" t="s">
        <v>1394</v>
      </c>
      <c r="B244" s="157" t="s">
        <v>593</v>
      </c>
      <c r="C244" s="228">
        <f>IFERROR(GETPIVOTDATA("Sum of qty",PT!$A$17,"product",A244,"FL/AZ","FL"),0)</f>
        <v>0</v>
      </c>
      <c r="D244" s="284">
        <f>C244</f>
        <v>0</v>
      </c>
      <c r="E244" s="120">
        <f t="shared" si="122"/>
        <v>0.69981901303574467</v>
      </c>
      <c r="F244" s="282">
        <f t="shared" si="118"/>
        <v>0</v>
      </c>
      <c r="G244" s="282"/>
      <c r="H244" s="282"/>
      <c r="I244" s="282"/>
      <c r="J244" s="109"/>
      <c r="K244"/>
      <c r="L244" s="282"/>
      <c r="M244"/>
      <c r="N244" s="157" t="s">
        <v>828</v>
      </c>
      <c r="O244" s="275">
        <f>D244-IFERROR(VLOOKUP(A244,'[1]FL WIP'!$A:$F,4,0),0)</f>
        <v>0</v>
      </c>
      <c r="Q244" s="431"/>
    </row>
    <row r="245" spans="1:17">
      <c r="A245" s="157" t="s">
        <v>322</v>
      </c>
      <c r="B245" s="157" t="s">
        <v>323</v>
      </c>
      <c r="C245" s="228">
        <f>IFERROR(GETPIVOTDATA("Sum of qty",PT!$A$17,"product",A245,"FL/AZ","FL"),0)</f>
        <v>0</v>
      </c>
      <c r="D245" s="284">
        <f t="shared" si="49"/>
        <v>0</v>
      </c>
      <c r="E245" s="120">
        <f t="shared" si="122"/>
        <v>0.69981901303574467</v>
      </c>
      <c r="F245" s="282">
        <f t="shared" si="118"/>
        <v>0</v>
      </c>
      <c r="G245" s="282"/>
      <c r="H245" s="282"/>
      <c r="I245" s="282"/>
      <c r="J245" s="109"/>
      <c r="K245"/>
      <c r="L245" s="282"/>
      <c r="M245"/>
      <c r="N245" s="157" t="s">
        <v>828</v>
      </c>
      <c r="O245" s="275">
        <f>D245-IFERROR(VLOOKUP(A245,'[1]FL WIP'!$A:$F,4,0),0)</f>
        <v>0</v>
      </c>
      <c r="Q245" s="431"/>
    </row>
    <row r="246" spans="1:17">
      <c r="A246" s="157" t="s">
        <v>1113</v>
      </c>
      <c r="B246" s="157" t="s">
        <v>1114</v>
      </c>
      <c r="C246" s="228">
        <f>IFERROR(GETPIVOTDATA("Sum of qty",PT!$A$17,"product",A246,"FL/AZ","FL"),0)</f>
        <v>0</v>
      </c>
      <c r="D246" s="284">
        <v>0</v>
      </c>
      <c r="E246" s="120">
        <f t="shared" si="122"/>
        <v>0.69981901303574467</v>
      </c>
      <c r="F246" s="282">
        <f t="shared" si="118"/>
        <v>0</v>
      </c>
      <c r="G246" s="282"/>
      <c r="H246" s="282"/>
      <c r="I246" s="282"/>
      <c r="J246" s="109"/>
      <c r="K246"/>
      <c r="L246" s="282"/>
      <c r="M246"/>
      <c r="N246" s="157" t="s">
        <v>828</v>
      </c>
      <c r="O246" s="275">
        <f>D246-IFERROR(VLOOKUP(A246,'[1]FL WIP'!$A:$F,4,0),0)</f>
        <v>0</v>
      </c>
      <c r="Q246" s="431"/>
    </row>
    <row r="247" spans="1:17">
      <c r="A247" s="157" t="s">
        <v>1117</v>
      </c>
      <c r="B247" s="157" t="s">
        <v>1118</v>
      </c>
      <c r="C247" s="228">
        <f>IFERROR(GETPIVOTDATA("Sum of qty",PT!$A$17,"product",A247,"FL/AZ","FL"),0)</f>
        <v>4799</v>
      </c>
      <c r="D247" s="284">
        <f t="shared" si="49"/>
        <v>4799</v>
      </c>
      <c r="E247" s="120">
        <f t="shared" si="122"/>
        <v>0.69981901303574467</v>
      </c>
      <c r="F247" s="282">
        <f t="shared" si="118"/>
        <v>3358.4314435585388</v>
      </c>
      <c r="G247" s="282"/>
      <c r="H247" s="282"/>
      <c r="I247" s="282"/>
      <c r="J247" s="109"/>
      <c r="K247"/>
      <c r="L247" s="282"/>
      <c r="M247"/>
      <c r="N247" s="157" t="s">
        <v>828</v>
      </c>
      <c r="O247" s="275">
        <f>D247-IFERROR(VLOOKUP(A247,'[1]FL WIP'!$A:$F,4,0),0)</f>
        <v>4799</v>
      </c>
      <c r="Q247" s="431"/>
    </row>
    <row r="248" spans="1:17">
      <c r="A248" s="157" t="s">
        <v>1395</v>
      </c>
      <c r="B248" s="157" t="s">
        <v>1396</v>
      </c>
      <c r="C248" s="228">
        <f>IFERROR(GETPIVOTDATA("Sum of qty",PT!$A$17,"product",A248,"FL/AZ","FL"),0)</f>
        <v>0</v>
      </c>
      <c r="D248" s="284">
        <f t="shared" si="49"/>
        <v>0</v>
      </c>
      <c r="E248" s="120">
        <f t="shared" si="122"/>
        <v>0.69981901303574467</v>
      </c>
      <c r="F248" s="282">
        <f t="shared" si="118"/>
        <v>0</v>
      </c>
      <c r="G248" s="282"/>
      <c r="H248" s="282"/>
      <c r="I248" s="282"/>
      <c r="J248" s="109"/>
      <c r="K248"/>
      <c r="L248" s="282"/>
      <c r="M248"/>
      <c r="N248" s="157" t="s">
        <v>828</v>
      </c>
      <c r="O248" s="275">
        <f>D248-IFERROR(VLOOKUP(A248,'[1]FL WIP'!$A:$F,4,0),0)</f>
        <v>0</v>
      </c>
      <c r="Q248" s="431"/>
    </row>
    <row r="249" spans="1:17">
      <c r="A249" s="157" t="s">
        <v>1397</v>
      </c>
      <c r="B249" s="157" t="s">
        <v>1398</v>
      </c>
      <c r="C249" s="228">
        <f>IFERROR(GETPIVOTDATA("Sum of qty",PT!$A$17,"product",A249,"FL/AZ","FL"),0)</f>
        <v>0</v>
      </c>
      <c r="D249" s="284">
        <f t="shared" si="49"/>
        <v>0</v>
      </c>
      <c r="E249" s="120">
        <f t="shared" si="122"/>
        <v>0.69981901303574467</v>
      </c>
      <c r="F249" s="282">
        <f t="shared" si="118"/>
        <v>0</v>
      </c>
      <c r="G249" s="282"/>
      <c r="H249" s="282"/>
      <c r="I249" s="282"/>
      <c r="J249" s="109"/>
      <c r="K249"/>
      <c r="L249" s="282"/>
      <c r="M249"/>
      <c r="N249" s="157" t="s">
        <v>828</v>
      </c>
      <c r="O249" s="275">
        <f>D249-IFERROR(VLOOKUP(A249,'[1]FL WIP'!$A:$F,4,0),0)</f>
        <v>0</v>
      </c>
      <c r="Q249" s="431"/>
    </row>
    <row r="250" spans="1:17">
      <c r="A250" s="157" t="s">
        <v>1119</v>
      </c>
      <c r="B250" s="157" t="s">
        <v>1120</v>
      </c>
      <c r="C250" s="228">
        <f>IFERROR(GETPIVOTDATA("Sum of qty",PT!$A$17,"product",A250,"FL/AZ","FL"),0)</f>
        <v>0</v>
      </c>
      <c r="D250" s="284">
        <f>C250</f>
        <v>0</v>
      </c>
      <c r="E250" s="120">
        <f t="shared" si="122"/>
        <v>0.69981901303574467</v>
      </c>
      <c r="F250" s="282">
        <f t="shared" si="118"/>
        <v>0</v>
      </c>
      <c r="G250" s="282"/>
      <c r="H250" s="282"/>
      <c r="I250" s="282"/>
      <c r="J250" s="109"/>
      <c r="K250"/>
      <c r="L250" s="282"/>
      <c r="M250"/>
      <c r="N250" s="157" t="s">
        <v>828</v>
      </c>
      <c r="O250" s="275">
        <f>D250-IFERROR(VLOOKUP(A250,'[1]FL WIP'!$A:$F,4,0),0)</f>
        <v>0</v>
      </c>
      <c r="Q250" s="431"/>
    </row>
    <row r="251" spans="1:17">
      <c r="A251" s="157" t="s">
        <v>1121</v>
      </c>
      <c r="B251" s="157" t="s">
        <v>1399</v>
      </c>
      <c r="C251" s="228">
        <f>IFERROR(GETPIVOTDATA("Sum of qty",PT!$A$17,"product",A251,"FL/AZ","FL"),0)</f>
        <v>0</v>
      </c>
      <c r="D251" s="284">
        <f t="shared" si="49"/>
        <v>0</v>
      </c>
      <c r="E251" s="120">
        <f t="shared" si="122"/>
        <v>0.69981901303574467</v>
      </c>
      <c r="F251" s="282">
        <f t="shared" si="118"/>
        <v>0</v>
      </c>
      <c r="G251" s="282"/>
      <c r="H251" s="282"/>
      <c r="I251" s="282"/>
      <c r="J251" s="109"/>
      <c r="K251"/>
      <c r="L251" s="282"/>
      <c r="M251"/>
      <c r="N251" s="157" t="s">
        <v>828</v>
      </c>
      <c r="O251" s="275">
        <f>D251-IFERROR(VLOOKUP(A251,'[1]FL WIP'!$A:$F,4,0),0)</f>
        <v>0</v>
      </c>
      <c r="Q251" s="431"/>
    </row>
    <row r="252" spans="1:17">
      <c r="A252" s="157" t="s">
        <v>1400</v>
      </c>
      <c r="B252" s="157" t="s">
        <v>1401</v>
      </c>
      <c r="C252" s="228">
        <f>IFERROR(GETPIVOTDATA("Sum of qty",PT!$A$17,"product",A252,"FL/AZ","FL"),0)</f>
        <v>0</v>
      </c>
      <c r="D252" s="284">
        <f t="shared" si="49"/>
        <v>0</v>
      </c>
      <c r="E252" s="120">
        <f t="shared" si="122"/>
        <v>0.69981901303574467</v>
      </c>
      <c r="F252" s="282">
        <f t="shared" si="118"/>
        <v>0</v>
      </c>
      <c r="G252" s="282"/>
      <c r="H252" s="282"/>
      <c r="I252" s="282"/>
      <c r="J252" s="109"/>
      <c r="K252"/>
      <c r="L252" s="282"/>
      <c r="M252"/>
      <c r="N252" s="157" t="s">
        <v>828</v>
      </c>
      <c r="O252" s="275">
        <f>D252-IFERROR(VLOOKUP(A252,'[1]FL WIP'!$A:$F,4,0),0)</f>
        <v>0</v>
      </c>
      <c r="Q252" s="431"/>
    </row>
    <row r="253" spans="1:17">
      <c r="A253" s="157" t="s">
        <v>1125</v>
      </c>
      <c r="B253" s="157" t="s">
        <v>1126</v>
      </c>
      <c r="C253" s="228">
        <f>IFERROR(GETPIVOTDATA("Sum of qty",PT!$A$17,"product",A253,"FL/AZ","FL"),0)</f>
        <v>0</v>
      </c>
      <c r="D253" s="284">
        <f t="shared" si="49"/>
        <v>0</v>
      </c>
      <c r="E253" s="120">
        <f t="shared" si="122"/>
        <v>0.69981901303574467</v>
      </c>
      <c r="F253" s="282">
        <f t="shared" si="118"/>
        <v>0</v>
      </c>
      <c r="G253" s="282"/>
      <c r="H253" s="282"/>
      <c r="I253" s="282"/>
      <c r="J253" s="109"/>
      <c r="K253"/>
      <c r="L253" s="282"/>
      <c r="M253"/>
      <c r="N253" s="157" t="s">
        <v>828</v>
      </c>
      <c r="O253" s="275">
        <f>D253-IFERROR(VLOOKUP(A253,'[1]FL WIP'!$A:$F,4,0),0)</f>
        <v>0</v>
      </c>
      <c r="Q253" s="431"/>
    </row>
    <row r="254" spans="1:17">
      <c r="A254" s="157" t="s">
        <v>71</v>
      </c>
      <c r="B254" s="157" t="s">
        <v>72</v>
      </c>
      <c r="C254" s="228">
        <f>IFERROR(GETPIVOTDATA("Sum of qty",PT!$A$17,"product",A254,"FL/AZ","FL"),0)</f>
        <v>0</v>
      </c>
      <c r="D254" s="284">
        <f t="shared" si="49"/>
        <v>0</v>
      </c>
      <c r="E254" s="120">
        <f t="shared" si="122"/>
        <v>0.69981901303574467</v>
      </c>
      <c r="F254" s="282">
        <f t="shared" si="118"/>
        <v>0</v>
      </c>
      <c r="G254" s="282"/>
      <c r="H254" s="282"/>
      <c r="I254" s="282"/>
      <c r="J254" s="109"/>
      <c r="K254"/>
      <c r="L254" s="282"/>
      <c r="M254"/>
      <c r="N254" s="157" t="s">
        <v>828</v>
      </c>
      <c r="O254" s="275">
        <f>D254-IFERROR(VLOOKUP(A254,'[1]FL WIP'!$A:$F,4,0),0)</f>
        <v>0</v>
      </c>
      <c r="Q254" s="431"/>
    </row>
    <row r="255" spans="1:17">
      <c r="A255" s="157" t="s">
        <v>1402</v>
      </c>
      <c r="B255" s="157" t="s">
        <v>1403</v>
      </c>
      <c r="C255" s="228">
        <f>IFERROR(GETPIVOTDATA("Sum of qty",PT!$A$17,"product",A255,"FL/AZ","FL"),0)</f>
        <v>0</v>
      </c>
      <c r="D255" s="284">
        <f>C255</f>
        <v>0</v>
      </c>
      <c r="E255" s="120">
        <f t="shared" si="122"/>
        <v>0.69981901303574467</v>
      </c>
      <c r="F255" s="282">
        <f t="shared" si="118"/>
        <v>0</v>
      </c>
      <c r="G255" s="282"/>
      <c r="H255" s="282"/>
      <c r="I255" s="282"/>
      <c r="J255" s="109"/>
      <c r="K255"/>
      <c r="L255" s="282"/>
      <c r="M255"/>
      <c r="N255" s="157" t="s">
        <v>828</v>
      </c>
      <c r="O255" s="275">
        <f>D255-IFERROR(VLOOKUP(A255,'[1]FL WIP'!$A:$F,4,0),0)</f>
        <v>0</v>
      </c>
      <c r="Q255" s="431"/>
    </row>
    <row r="256" spans="1:17">
      <c r="A256" s="157" t="s">
        <v>1404</v>
      </c>
      <c r="B256" s="157" t="s">
        <v>1126</v>
      </c>
      <c r="C256" s="228">
        <f>IFERROR(GETPIVOTDATA("Sum of qty",PT!$A$17,"product",A256,"FL/AZ","FL"),0)</f>
        <v>0</v>
      </c>
      <c r="D256" s="284">
        <f>C256</f>
        <v>0</v>
      </c>
      <c r="E256" s="120">
        <f t="shared" si="122"/>
        <v>0.69981901303574467</v>
      </c>
      <c r="F256" s="282">
        <f t="shared" si="118"/>
        <v>0</v>
      </c>
      <c r="G256" s="282"/>
      <c r="H256" s="282"/>
      <c r="I256" s="282"/>
      <c r="J256" s="109"/>
      <c r="K256"/>
      <c r="L256" s="282"/>
      <c r="M256"/>
      <c r="N256" s="157" t="s">
        <v>828</v>
      </c>
      <c r="O256" s="275">
        <f>D256-IFERROR(VLOOKUP(A256,'[1]FL WIP'!$A:$F,4,0),0)</f>
        <v>0</v>
      </c>
      <c r="Q256" s="431"/>
    </row>
    <row r="257" spans="1:17">
      <c r="A257" s="157" t="s">
        <v>512</v>
      </c>
      <c r="B257" t="s">
        <v>513</v>
      </c>
      <c r="C257" s="228">
        <f>IFERROR(GETPIVOTDATA("Sum of qty",PT!$A$17,"product",A257,"FL/AZ","FL"),0)</f>
        <v>0</v>
      </c>
      <c r="D257" s="284">
        <f t="shared" ref="D257:D258" si="129">C257</f>
        <v>0</v>
      </c>
      <c r="E257" s="120">
        <f t="shared" si="122"/>
        <v>0.69981901303574467</v>
      </c>
      <c r="F257" s="282">
        <f t="shared" ref="F257:F258" si="130">D257*E257</f>
        <v>0</v>
      </c>
      <c r="G257" s="282"/>
      <c r="H257" s="282"/>
      <c r="I257" s="282"/>
      <c r="J257" s="109"/>
      <c r="K257"/>
      <c r="L257" s="282"/>
      <c r="M257"/>
      <c r="N257" s="157" t="s">
        <v>828</v>
      </c>
      <c r="O257" s="275">
        <f>D257-IFERROR(VLOOKUP(A257,'[1]FL WIP'!$A:$F,4,0),0)</f>
        <v>0</v>
      </c>
      <c r="Q257" s="431"/>
    </row>
    <row r="258" spans="1:17">
      <c r="A258" s="157" t="s">
        <v>2835</v>
      </c>
      <c r="B258" t="s">
        <v>2836</v>
      </c>
      <c r="C258" s="228">
        <f>IFERROR(GETPIVOTDATA("Sum of qty",PT!$A$17,"product",A258,"FL/AZ","FL"),0)</f>
        <v>0</v>
      </c>
      <c r="D258" s="284">
        <f t="shared" si="129"/>
        <v>0</v>
      </c>
      <c r="E258" s="120">
        <f t="shared" si="122"/>
        <v>0.69981901303574467</v>
      </c>
      <c r="F258" s="282">
        <f t="shared" si="130"/>
        <v>0</v>
      </c>
      <c r="G258" s="282"/>
      <c r="H258" s="282"/>
      <c r="I258" s="282"/>
      <c r="J258" s="109"/>
      <c r="K258"/>
      <c r="L258" s="282"/>
      <c r="M258"/>
      <c r="N258" s="157" t="s">
        <v>828</v>
      </c>
      <c r="O258" s="275">
        <f>D258-IFERROR(VLOOKUP(A258,'[1]FL WIP'!$A:$F,4,0),0)</f>
        <v>0</v>
      </c>
      <c r="Q258" s="431"/>
    </row>
    <row r="259" spans="1:17" ht="13.5" customHeight="1">
      <c r="A259" s="157" t="s">
        <v>1128</v>
      </c>
      <c r="B259" t="s">
        <v>2875</v>
      </c>
      <c r="C259" s="228">
        <f>IFERROR(GETPIVOTDATA("Sum of qty",PT!$A$17,"product",A259,"FL/AZ","FL"),0)</f>
        <v>0</v>
      </c>
      <c r="D259" s="284"/>
      <c r="E259" s="120">
        <f t="shared" si="122"/>
        <v>0.69981901303574467</v>
      </c>
      <c r="F259" s="282">
        <f t="shared" si="118"/>
        <v>0</v>
      </c>
      <c r="G259" s="282"/>
      <c r="H259" s="282"/>
      <c r="I259" s="282"/>
      <c r="J259" s="109"/>
      <c r="K259"/>
      <c r="L259" s="282"/>
      <c r="M259"/>
      <c r="N259" s="157" t="s">
        <v>828</v>
      </c>
      <c r="O259" s="275">
        <f>D259-IFERROR(VLOOKUP(A259,'[1]FL WIP'!$A:$F,4,0),0)</f>
        <v>0</v>
      </c>
      <c r="Q259" s="431"/>
    </row>
    <row r="260" spans="1:17" ht="13.5" customHeight="1">
      <c r="A260" s="157" t="s">
        <v>1129</v>
      </c>
      <c r="B260" t="s">
        <v>1405</v>
      </c>
      <c r="C260" s="228">
        <f>IFERROR(GETPIVOTDATA("Sum of qty",PT!$A$17,"product",A260,"FL/AZ","FL"),0)</f>
        <v>0</v>
      </c>
      <c r="D260" s="284"/>
      <c r="E260" s="120">
        <f t="shared" si="122"/>
        <v>0.69981901303574467</v>
      </c>
      <c r="F260" s="282">
        <f t="shared" si="118"/>
        <v>0</v>
      </c>
      <c r="G260" s="282"/>
      <c r="H260" s="282"/>
      <c r="I260" s="282"/>
      <c r="J260" s="109"/>
      <c r="K260"/>
      <c r="L260" s="282"/>
      <c r="M260"/>
      <c r="N260" s="157" t="s">
        <v>828</v>
      </c>
      <c r="O260" s="275">
        <f>D260-IFERROR(VLOOKUP(A260,'[1]FL WIP'!$A:$F,4,0),0)</f>
        <v>0</v>
      </c>
      <c r="Q260" s="431"/>
    </row>
    <row r="261" spans="1:17" ht="13.5" customHeight="1">
      <c r="A261" s="157" t="s">
        <v>1406</v>
      </c>
      <c r="B261" t="s">
        <v>1407</v>
      </c>
      <c r="C261" s="228">
        <f>IFERROR(GETPIVOTDATA("Sum of qty",PT!$A$17,"product",A261,"FL/AZ","FL"),0)</f>
        <v>0</v>
      </c>
      <c r="D261" s="284"/>
      <c r="E261" s="120">
        <f t="shared" si="122"/>
        <v>0.69981901303574467</v>
      </c>
      <c r="F261" s="282">
        <f t="shared" si="118"/>
        <v>0</v>
      </c>
      <c r="G261" s="282"/>
      <c r="H261" s="282"/>
      <c r="I261" s="282"/>
      <c r="J261" s="109"/>
      <c r="K261"/>
      <c r="L261" s="282"/>
      <c r="M261"/>
      <c r="N261" s="157" t="s">
        <v>828</v>
      </c>
      <c r="O261" s="275">
        <f>D261-IFERROR(VLOOKUP(A261,'[1]FL WIP'!$A:$F,4,0),0)</f>
        <v>0</v>
      </c>
      <c r="Q261" s="431"/>
    </row>
    <row r="262" spans="1:17" ht="13.5" customHeight="1">
      <c r="A262" s="157" t="s">
        <v>1408</v>
      </c>
      <c r="B262" s="198" t="s">
        <v>1409</v>
      </c>
      <c r="C262" s="228">
        <f>IFERROR(GETPIVOTDATA("Sum of qty",PT!$A$17,"product",A262,"FL/AZ","FL"),0)</f>
        <v>0</v>
      </c>
      <c r="D262" s="284"/>
      <c r="E262" s="120">
        <f t="shared" si="122"/>
        <v>0.69981901303574467</v>
      </c>
      <c r="F262" s="282">
        <f t="shared" si="118"/>
        <v>0</v>
      </c>
      <c r="G262" s="282"/>
      <c r="H262" s="282"/>
      <c r="I262" s="282"/>
      <c r="J262" s="109"/>
      <c r="K262"/>
      <c r="L262" s="282"/>
      <c r="M262"/>
      <c r="N262" s="157" t="s">
        <v>828</v>
      </c>
      <c r="O262" s="275">
        <f>D262-IFERROR(VLOOKUP(A262,'[1]FL WIP'!$A:$F,4,0),0)</f>
        <v>0</v>
      </c>
      <c r="Q262" s="431"/>
    </row>
    <row r="263" spans="1:17" ht="13.5" customHeight="1">
      <c r="A263" s="157"/>
      <c r="B263"/>
      <c r="C263"/>
      <c r="D263"/>
      <c r="E263"/>
      <c r="F263"/>
      <c r="G263" s="282"/>
      <c r="H263" s="282"/>
      <c r="I263" s="282"/>
      <c r="J263" s="109"/>
      <c r="K263"/>
      <c r="L263" s="282"/>
      <c r="M263"/>
      <c r="N263" s="157"/>
      <c r="O263" s="157"/>
    </row>
    <row r="264" spans="1:17" ht="13.5" customHeight="1">
      <c r="A264"/>
      <c r="B264"/>
      <c r="C264" s="284" t="s">
        <v>1133</v>
      </c>
      <c r="D264" s="284"/>
      <c r="E264" s="282"/>
      <c r="F264" s="282"/>
      <c r="G264" s="282"/>
      <c r="H264" s="284"/>
      <c r="I264" s="282"/>
      <c r="J264"/>
      <c r="K264"/>
      <c r="L264" s="282"/>
      <c r="M264"/>
      <c r="N264" s="157"/>
      <c r="O264" s="157"/>
    </row>
    <row r="265" spans="1:17">
      <c r="A265"/>
      <c r="B265" s="15"/>
      <c r="C265" s="14">
        <f>SUM(C72:C264)</f>
        <v>828509.7200000002</v>
      </c>
      <c r="D265" s="14">
        <f>SUM(D72:D264)</f>
        <v>464518.57095100003</v>
      </c>
      <c r="E265" s="98"/>
      <c r="F265" s="98">
        <f>SUM(F73:F264)</f>
        <v>58909.260571998842</v>
      </c>
      <c r="G265" s="98"/>
      <c r="H265" s="98"/>
      <c r="I265" s="98">
        <f>SUM(I99:I264)</f>
        <v>56482.63255555556</v>
      </c>
      <c r="J265" s="98">
        <f>SUM(J99:J264)</f>
        <v>34620.03</v>
      </c>
      <c r="K265" s="98">
        <f>SUM(K99:K264)</f>
        <v>21873</v>
      </c>
      <c r="L265" s="98">
        <f>SUM(L99:L264)</f>
        <v>-12747.029999999999</v>
      </c>
      <c r="M265" s="98">
        <f>SUM(M99:M264)</f>
        <v>-859.14982199999997</v>
      </c>
      <c r="N265" s="157"/>
      <c r="O265" s="14">
        <f>SUM(O8:O262)</f>
        <v>-102593.890423</v>
      </c>
    </row>
    <row r="266" spans="1:17">
      <c r="A266"/>
      <c r="B266"/>
      <c r="C266" s="284"/>
      <c r="D266" s="284"/>
      <c r="E266"/>
      <c r="F266" s="282"/>
      <c r="G266" s="282"/>
      <c r="H266" s="282"/>
      <c r="I266" s="282"/>
      <c r="J266"/>
      <c r="K266"/>
      <c r="L266" s="282"/>
      <c r="M266"/>
      <c r="N266" s="157"/>
      <c r="O266" s="157"/>
    </row>
    <row r="267" spans="1:17">
      <c r="A267"/>
      <c r="B267" s="102" t="s">
        <v>1410</v>
      </c>
      <c r="C267" s="99">
        <f>C70+C265</f>
        <v>1241387.7100000002</v>
      </c>
      <c r="D267" s="320">
        <f>D70+D265</f>
        <v>877396.56095100008</v>
      </c>
      <c r="E267"/>
      <c r="F267" s="282"/>
      <c r="G267" s="282"/>
      <c r="H267" s="282"/>
      <c r="I267" s="282"/>
      <c r="J267"/>
      <c r="K267"/>
      <c r="L267" s="282"/>
      <c r="M267"/>
      <c r="N267" s="157"/>
      <c r="O267" s="157"/>
    </row>
    <row r="268" spans="1:17">
      <c r="A268" s="157"/>
      <c r="B268"/>
      <c r="C268" s="284"/>
      <c r="D268" s="121">
        <v>979990.45137399994</v>
      </c>
      <c r="E268"/>
      <c r="F268" s="282"/>
      <c r="G268" s="282"/>
      <c r="H268" s="282"/>
      <c r="I268" s="282"/>
      <c r="J268" s="285">
        <f>J46+J48+J50+J52+J53+J58+J59+J60+J188+J189+J192+J199+J200+J208+J210+J56+J194+J51+J47+J187+J45</f>
        <v>36898.53</v>
      </c>
      <c r="K268" s="285">
        <f>K46+K48+K50+K52+K53+K58+K59+K60+K188+K189+K192+K199+K200+K208+K210+K56+K194+K51+K47+K187+K45</f>
        <v>5220</v>
      </c>
      <c r="L268" s="286">
        <f t="shared" ref="L268:M270" si="131">K268-J268</f>
        <v>-31678.53</v>
      </c>
      <c r="M268" s="286">
        <f t="shared" si="131"/>
        <v>-36898.53</v>
      </c>
      <c r="N268" s="286" t="s">
        <v>550</v>
      </c>
      <c r="O268" s="157"/>
    </row>
    <row r="269" spans="1:17" ht="13.5" thickBot="1">
      <c r="A269" s="157"/>
      <c r="B269"/>
      <c r="C269"/>
      <c r="D269" s="8">
        <f>D267-D268</f>
        <v>-102593.89042299986</v>
      </c>
      <c r="E269"/>
      <c r="F269"/>
      <c r="G269"/>
      <c r="H269"/>
      <c r="I269"/>
      <c r="J269" s="275">
        <f>J65+J224+J66+J220+J226+J218+J213+J63</f>
        <v>1726.5</v>
      </c>
      <c r="K269" s="275">
        <f>K65+K224+K66+K220+K226+K218+K213+K63</f>
        <v>0</v>
      </c>
      <c r="L269" s="282">
        <f t="shared" si="131"/>
        <v>-1726.5</v>
      </c>
      <c r="M269" s="282">
        <f t="shared" si="131"/>
        <v>-1726.5</v>
      </c>
      <c r="N269" s="286" t="s">
        <v>1207</v>
      </c>
      <c r="O269" s="157"/>
    </row>
    <row r="270" spans="1:17" ht="13.5" thickBot="1">
      <c r="A270" s="157"/>
      <c r="B270"/>
      <c r="C270"/>
      <c r="D270" s="14"/>
      <c r="E270"/>
      <c r="F270" s="208">
        <f>F70+F265</f>
        <v>68407.20421691997</v>
      </c>
      <c r="G270" s="101"/>
      <c r="H270" s="101"/>
      <c r="I270" s="208">
        <f>I70+I265</f>
        <v>97999.333605555556</v>
      </c>
      <c r="J270" s="100">
        <f>J70+J265</f>
        <v>74495</v>
      </c>
      <c r="K270" s="100">
        <f>K70+K265</f>
        <v>35445</v>
      </c>
      <c r="L270" s="100">
        <f t="shared" si="131"/>
        <v>-39050</v>
      </c>
      <c r="M270" s="100">
        <f t="shared" si="131"/>
        <v>-74495</v>
      </c>
      <c r="N270" s="101" t="s">
        <v>822</v>
      </c>
      <c r="O270" s="275"/>
    </row>
    <row r="271" spans="1:17">
      <c r="A271" s="157"/>
      <c r="B271"/>
      <c r="C271"/>
      <c r="D271"/>
      <c r="E271"/>
      <c r="F271" s="121">
        <v>60113.543455053528</v>
      </c>
      <c r="G271"/>
      <c r="H271"/>
      <c r="I271"/>
      <c r="J271"/>
      <c r="K271"/>
      <c r="L271" s="282"/>
      <c r="M271" s="157"/>
      <c r="N271" s="286"/>
      <c r="O271" s="157"/>
    </row>
    <row r="272" spans="1:17">
      <c r="A272" s="157"/>
      <c r="B272" s="287"/>
      <c r="C272" s="85" t="s">
        <v>1411</v>
      </c>
      <c r="D272" s="10"/>
      <c r="E272" s="15" t="s">
        <v>2767</v>
      </c>
      <c r="F272" s="14">
        <f>F270-F271</f>
        <v>8293.660761866442</v>
      </c>
      <c r="G272"/>
      <c r="H272"/>
      <c r="I272" s="384"/>
      <c r="J272" s="18"/>
      <c r="K272"/>
      <c r="L272"/>
      <c r="M272"/>
      <c r="N272"/>
    </row>
    <row r="273" spans="1:16">
      <c r="A273" s="157"/>
      <c r="B273" s="287"/>
      <c r="C273" s="157" t="s">
        <v>852</v>
      </c>
      <c r="D273" s="337"/>
      <c r="E273" s="315" t="s">
        <v>1412</v>
      </c>
      <c r="F273"/>
      <c r="G273"/>
      <c r="H273"/>
      <c r="I273" s="384"/>
      <c r="J273" s="18"/>
      <c r="K273"/>
      <c r="L273"/>
      <c r="M273"/>
      <c r="N273"/>
      <c r="O273"/>
    </row>
    <row r="274" spans="1:16">
      <c r="A274" s="157"/>
      <c r="B274" s="426"/>
      <c r="C274" s="157" t="s">
        <v>828</v>
      </c>
      <c r="D274" s="337">
        <f>((118404*0.015197)+(101252*0.289))/D290</f>
        <v>8.9893111507642773E-2</v>
      </c>
      <c r="E274" s="315" t="s">
        <v>2904</v>
      </c>
      <c r="F274"/>
      <c r="G274"/>
      <c r="H274"/>
      <c r="I274"/>
      <c r="J274"/>
      <c r="K274"/>
      <c r="L274"/>
      <c r="M274" s="315"/>
      <c r="N274"/>
      <c r="O274"/>
    </row>
    <row r="275" spans="1:16">
      <c r="A275" s="157"/>
      <c r="B275" s="287"/>
      <c r="C275" s="157" t="s">
        <v>550</v>
      </c>
      <c r="D275" s="337">
        <f>((37661*0.9614)+(20899*0.957)+(D197*1.3485)) /D291</f>
        <v>0.85662331690016924</v>
      </c>
      <c r="E275" s="315" t="s">
        <v>1413</v>
      </c>
      <c r="F275"/>
      <c r="G275"/>
      <c r="H275"/>
      <c r="I275" s="276"/>
      <c r="J275"/>
      <c r="K275"/>
      <c r="L275"/>
      <c r="M275"/>
      <c r="N275"/>
      <c r="O275"/>
    </row>
    <row r="276" spans="1:16">
      <c r="A276" s="157"/>
      <c r="B276" s="287"/>
      <c r="C276" s="157" t="s">
        <v>1198</v>
      </c>
      <c r="D276" s="337">
        <v>0.89400000000000002</v>
      </c>
      <c r="E276" s="315" t="s">
        <v>1414</v>
      </c>
      <c r="F276"/>
      <c r="G276"/>
      <c r="H276"/>
      <c r="I276"/>
      <c r="J276"/>
      <c r="K276"/>
      <c r="L276"/>
      <c r="M276"/>
      <c r="N276"/>
      <c r="O276"/>
    </row>
    <row r="277" spans="1:16">
      <c r="A277" s="157"/>
      <c r="B277" s="287"/>
      <c r="C277" s="157" t="s">
        <v>1415</v>
      </c>
      <c r="D277" s="123">
        <v>0.57730000000000004</v>
      </c>
      <c r="E277" s="315" t="s">
        <v>1416</v>
      </c>
      <c r="F277"/>
      <c r="G277"/>
      <c r="H277" s="384"/>
      <c r="I277" s="18"/>
      <c r="J277"/>
      <c r="K277"/>
      <c r="L277"/>
      <c r="M277"/>
      <c r="N277"/>
      <c r="O277"/>
    </row>
    <row r="278" spans="1:16">
      <c r="A278" s="157"/>
      <c r="B278" s="287"/>
      <c r="C278" s="157" t="s">
        <v>1417</v>
      </c>
      <c r="D278" s="123">
        <v>1.6366000000000001</v>
      </c>
      <c r="E278" s="315" t="s">
        <v>504</v>
      </c>
      <c r="F278"/>
      <c r="G278"/>
      <c r="H278" s="384"/>
      <c r="I278" s="18"/>
      <c r="J278"/>
      <c r="K278" s="157" t="s">
        <v>2901</v>
      </c>
      <c r="L278"/>
      <c r="M278"/>
      <c r="N278"/>
      <c r="O278"/>
      <c r="P278" s="157"/>
    </row>
    <row r="279" spans="1:16">
      <c r="A279" s="157"/>
      <c r="B279"/>
      <c r="C279"/>
      <c r="D279" s="282"/>
      <c r="E279"/>
      <c r="F279"/>
      <c r="G279"/>
      <c r="H279"/>
      <c r="I279"/>
      <c r="J279"/>
      <c r="K279" s="157" t="s">
        <v>2903</v>
      </c>
      <c r="L279"/>
      <c r="M279"/>
      <c r="N279"/>
      <c r="O279"/>
      <c r="P279" s="157"/>
    </row>
    <row r="280" spans="1:16">
      <c r="A280" s="157"/>
      <c r="B280" s="287">
        <f>+'AZ WIP'!K211</f>
        <v>45838</v>
      </c>
      <c r="C280" s="157" t="s">
        <v>852</v>
      </c>
      <c r="D280" s="122">
        <v>80729.08</v>
      </c>
      <c r="E280" s="122" t="s">
        <v>2890</v>
      </c>
      <c r="F280" s="122">
        <v>0</v>
      </c>
      <c r="G280" s="261"/>
      <c r="H280" s="261"/>
      <c r="I280" s="261"/>
      <c r="J280"/>
      <c r="K280" s="157"/>
      <c r="L280"/>
      <c r="M280"/>
      <c r="N280"/>
      <c r="O280" s="157"/>
      <c r="P280" s="157"/>
    </row>
    <row r="281" spans="1:16">
      <c r="A281" s="157"/>
      <c r="B281" s="287">
        <f>+B280</f>
        <v>45838</v>
      </c>
      <c r="C281" s="157" t="s">
        <v>828</v>
      </c>
      <c r="D281" s="430">
        <v>422892.05</v>
      </c>
      <c r="E281" s="122" t="s">
        <v>2907</v>
      </c>
      <c r="F281" s="122">
        <v>31730.182160000004</v>
      </c>
      <c r="G281" s="261"/>
      <c r="H281" s="261"/>
      <c r="I281" s="261"/>
      <c r="J281"/>
      <c r="K281"/>
      <c r="L281"/>
      <c r="M281"/>
      <c r="N281"/>
      <c r="O281" s="157"/>
      <c r="P281" s="157"/>
    </row>
    <row r="282" spans="1:16">
      <c r="A282" s="157"/>
      <c r="B282" s="287">
        <f>+B281</f>
        <v>45838</v>
      </c>
      <c r="C282" s="157" t="s">
        <v>550</v>
      </c>
      <c r="D282" s="121">
        <v>108034.3</v>
      </c>
      <c r="E282" s="121" t="s">
        <v>2908</v>
      </c>
      <c r="F282" s="121">
        <v>36207.285400000001</v>
      </c>
      <c r="G282" s="261"/>
      <c r="H282" s="261"/>
      <c r="I282" s="261"/>
      <c r="K282"/>
      <c r="L282"/>
      <c r="M282"/>
      <c r="N282"/>
      <c r="O282" s="157"/>
      <c r="P282" s="157"/>
    </row>
    <row r="283" spans="1:16">
      <c r="A283" s="157"/>
      <c r="B283" s="287">
        <f>+B281</f>
        <v>45838</v>
      </c>
      <c r="C283" s="157" t="s">
        <v>1198</v>
      </c>
      <c r="D283" s="121">
        <v>216373.32</v>
      </c>
      <c r="E283" s="121" t="s">
        <v>2909</v>
      </c>
      <c r="F283" s="121">
        <v>194285.26679999998</v>
      </c>
      <c r="G283" s="261"/>
      <c r="H283" s="261"/>
      <c r="I283" s="261"/>
      <c r="J283"/>
      <c r="K283"/>
      <c r="L283"/>
      <c r="M283"/>
      <c r="N283"/>
      <c r="O283" s="157"/>
      <c r="P283" s="157"/>
    </row>
    <row r="284" spans="1:16">
      <c r="A284" s="157"/>
      <c r="B284" s="287">
        <f>+B282</f>
        <v>45838</v>
      </c>
      <c r="C284" s="157" t="s">
        <v>1415</v>
      </c>
      <c r="D284" s="121">
        <v>5400</v>
      </c>
      <c r="E284" s="121" t="s">
        <v>2750</v>
      </c>
      <c r="F284" s="121">
        <v>3117.42</v>
      </c>
      <c r="G284" s="261"/>
      <c r="H284" s="261"/>
      <c r="I284" s="261"/>
      <c r="J284"/>
      <c r="K284"/>
      <c r="L284"/>
      <c r="M284"/>
      <c r="N284"/>
      <c r="O284" s="157"/>
      <c r="P284" s="157"/>
    </row>
    <row r="285" spans="1:16">
      <c r="A285" s="157"/>
      <c r="B285" s="287">
        <f>+B284</f>
        <v>45838</v>
      </c>
      <c r="C285" s="157" t="s">
        <v>1417</v>
      </c>
      <c r="D285" s="121">
        <v>24380</v>
      </c>
      <c r="E285" s="121" t="s">
        <v>2910</v>
      </c>
      <c r="F285" s="121">
        <v>35063.315999999999</v>
      </c>
      <c r="G285" s="261"/>
      <c r="H285" s="261"/>
      <c r="I285" s="261"/>
      <c r="J285"/>
      <c r="K285"/>
      <c r="L285"/>
      <c r="M285"/>
      <c r="N285"/>
      <c r="O285" s="157"/>
      <c r="P285" s="157"/>
    </row>
    <row r="286" spans="1:16">
      <c r="A286" s="157"/>
      <c r="B286"/>
      <c r="C286"/>
      <c r="D286" s="282"/>
      <c r="E286"/>
      <c r="F286" s="261"/>
      <c r="G286" s="261"/>
      <c r="H286"/>
      <c r="I286" s="8"/>
      <c r="J286"/>
      <c r="K286"/>
      <c r="L286"/>
      <c r="M286"/>
      <c r="N286"/>
      <c r="O286" s="157"/>
      <c r="P286" s="157"/>
    </row>
    <row r="287" spans="1:16" ht="13.5" thickBot="1">
      <c r="A287" s="157"/>
      <c r="B287"/>
      <c r="C287"/>
      <c r="D287" s="111">
        <f>SUMPRODUCT(D280:D285,D273:D278)</f>
        <v>367015.25869133364</v>
      </c>
      <c r="E287"/>
      <c r="F287" s="104">
        <f>SUM(F280:F285)</f>
        <v>300403.47035999998</v>
      </c>
      <c r="G287" s="106"/>
      <c r="H287" s="106"/>
      <c r="I287" s="427" t="s">
        <v>2902</v>
      </c>
      <c r="J287"/>
      <c r="K287" s="1"/>
      <c r="L287"/>
      <c r="M287"/>
      <c r="N287"/>
      <c r="O287" s="157"/>
      <c r="P287" s="157"/>
    </row>
    <row r="288" spans="1:16">
      <c r="A288" s="157"/>
      <c r="B288"/>
      <c r="C288"/>
      <c r="D288" s="282"/>
      <c r="E288"/>
      <c r="F288" s="261"/>
      <c r="G288" s="261"/>
      <c r="H288" s="15" t="s">
        <v>1419</v>
      </c>
      <c r="I288" s="369" t="s">
        <v>1420</v>
      </c>
      <c r="J288"/>
      <c r="K288" s="18"/>
      <c r="L288"/>
      <c r="M288"/>
      <c r="N288"/>
      <c r="O288" s="157"/>
      <c r="P288" s="157"/>
    </row>
    <row r="289" spans="1:16">
      <c r="A289" s="157"/>
      <c r="B289" s="287">
        <f>+'AZ WIP'!K210</f>
        <v>45869</v>
      </c>
      <c r="C289" s="157" t="s">
        <v>852</v>
      </c>
      <c r="D289" s="265">
        <f>D28+D31+D32+D33+D163+D30+D158+D165+D161+D162</f>
        <v>108657.44</v>
      </c>
      <c r="E289" s="265" t="str">
        <f>" x "&amp;D273&amp;" ="</f>
        <v xml:space="preserve"> x  =</v>
      </c>
      <c r="F289" s="338">
        <f>D289*D273</f>
        <v>0</v>
      </c>
      <c r="G289" s="261"/>
      <c r="H289" s="246">
        <f>SUMIF($N$8:$N$262,C289,$D$8:$D$262)</f>
        <v>108747.44</v>
      </c>
      <c r="I289" s="375">
        <f>H289-'[1]FL WIP'!H288</f>
        <v>23509.360000000001</v>
      </c>
      <c r="J289" s="154"/>
      <c r="K289"/>
      <c r="L289"/>
      <c r="M289"/>
      <c r="N289" s="15" t="s">
        <v>1421</v>
      </c>
      <c r="O289" s="15" t="s">
        <v>34</v>
      </c>
      <c r="P289" s="157"/>
    </row>
    <row r="290" spans="1:16">
      <c r="A290" s="157"/>
      <c r="B290" s="287">
        <f>+B289</f>
        <v>45869</v>
      </c>
      <c r="C290" s="157" t="s">
        <v>828</v>
      </c>
      <c r="D290" s="265">
        <f>D17+D18+D20+D24+D26+D128+D130+D19+D21+D25+D132+D152+D224+D243+D244+D15+D16+D242+D240+D238+D237+D232+D230+D227+D226+D133+D8</f>
        <v>345534.97</v>
      </c>
      <c r="E290" s="265" t="str">
        <f>" x "&amp;D274&amp;" ="</f>
        <v xml:space="preserve"> x 0.0898931115076428 =</v>
      </c>
      <c r="F290" s="338">
        <f>D290*D274</f>
        <v>31061.213587999999</v>
      </c>
      <c r="G290" s="261"/>
      <c r="H290" s="246">
        <f>SUMIF($N$8:$N$262,C290,$D$8:$D$262)</f>
        <v>414213.99</v>
      </c>
      <c r="I290" s="375">
        <f>H290-'[1]FL WIP'!H289</f>
        <v>-50305.06</v>
      </c>
      <c r="J290" s="393"/>
      <c r="K290" s="18"/>
      <c r="L290"/>
      <c r="M290"/>
      <c r="N290" s="157" t="s">
        <v>828</v>
      </c>
      <c r="O290" s="246">
        <f>SUMIF($N$8:$N$262,N290,$D$8:$D$262)</f>
        <v>414213.99</v>
      </c>
      <c r="P290" s="157"/>
    </row>
    <row r="291" spans="1:16">
      <c r="A291" s="157"/>
      <c r="B291" s="287">
        <f>+B290</f>
        <v>45869</v>
      </c>
      <c r="C291" s="157" t="s">
        <v>550</v>
      </c>
      <c r="D291" s="266">
        <f>D47+D49+D51+D187+D200+D45+D46+D173+D194+D208+D199+D191+D188+D172+D175+D176+D192+D177+D178+D195+D198+D197+D179+D174</f>
        <v>91830.56</v>
      </c>
      <c r="E291" s="266" t="str">
        <f>" x "&amp;D275&amp;" ="</f>
        <v xml:space="preserve"> x 0.856623316900169 =</v>
      </c>
      <c r="F291" s="338">
        <f>D291*D275</f>
        <v>78664.198900000003</v>
      </c>
      <c r="G291" s="261"/>
      <c r="H291" s="246">
        <f>SUMIF($N$8:$N$262,C291,$D$8:$D$262)</f>
        <v>100002.56</v>
      </c>
      <c r="I291" s="375">
        <f>H291-'[1]FL WIP'!H290</f>
        <v>-21802.740000000005</v>
      </c>
      <c r="J291" s="15"/>
      <c r="K291"/>
      <c r="L291" s="73"/>
      <c r="M291"/>
      <c r="N291" s="157" t="s">
        <v>852</v>
      </c>
      <c r="O291" s="246">
        <f>SUMIF($N$8:$N$262,N291,$D$8:$D$262)</f>
        <v>108747.44</v>
      </c>
      <c r="P291" s="157"/>
    </row>
    <row r="292" spans="1:16">
      <c r="A292" s="157"/>
      <c r="B292" s="287">
        <f>+B290</f>
        <v>45869</v>
      </c>
      <c r="C292" s="157" t="s">
        <v>1198</v>
      </c>
      <c r="D292" s="266">
        <f>D180+D55</f>
        <v>147928.32000000001</v>
      </c>
      <c r="E292" s="266" t="str">
        <f>" x "&amp;D276&amp;" ="</f>
        <v xml:space="preserve"> x 0.894 =</v>
      </c>
      <c r="F292" s="338">
        <f>D292*D276</f>
        <v>132247.91808</v>
      </c>
      <c r="G292" s="261"/>
      <c r="H292" s="246">
        <f>D180+D55</f>
        <v>147928.32000000001</v>
      </c>
      <c r="I292" s="375">
        <f>H292-'[1]FL WIP'!H291</f>
        <v>-68445</v>
      </c>
      <c r="J292" s="15"/>
      <c r="K292"/>
      <c r="L292"/>
      <c r="M292"/>
      <c r="N292" s="157" t="s">
        <v>550</v>
      </c>
      <c r="O292" s="246">
        <f>SUMIF($N$8:$N$262,N292,$D$8:$D$262)</f>
        <v>100002.56</v>
      </c>
      <c r="P292" s="157"/>
    </row>
    <row r="293" spans="1:16">
      <c r="A293" s="157"/>
      <c r="B293" s="287">
        <f>+B291</f>
        <v>45869</v>
      </c>
      <c r="C293" s="157" t="s">
        <v>1415</v>
      </c>
      <c r="D293" s="266">
        <f>D43+D190</f>
        <v>5400</v>
      </c>
      <c r="E293" s="266" t="str">
        <f t="shared" ref="E293" si="132">" x "&amp;D277&amp;" ="</f>
        <v xml:space="preserve"> x 0.5773 =</v>
      </c>
      <c r="F293" s="338">
        <f t="shared" ref="F293:F294" si="133">D293*D277</f>
        <v>3117.42</v>
      </c>
      <c r="G293" s="261"/>
      <c r="H293" s="246">
        <f>D43+D190</f>
        <v>5400</v>
      </c>
      <c r="I293" s="375">
        <f>H293-'[1]FL WIP'!H292</f>
        <v>0</v>
      </c>
      <c r="J293" s="15"/>
      <c r="K293"/>
      <c r="L293"/>
      <c r="M293"/>
      <c r="N293" s="157"/>
      <c r="O293" s="246"/>
      <c r="P293" s="157"/>
    </row>
    <row r="294" spans="1:16" ht="13.5" thickBot="1">
      <c r="A294" s="157"/>
      <c r="B294" s="287">
        <f>+B293</f>
        <v>45869</v>
      </c>
      <c r="C294" s="157" t="s">
        <v>1417</v>
      </c>
      <c r="D294" s="266">
        <f>D117+D118+D119</f>
        <v>23011</v>
      </c>
      <c r="E294" s="266" t="str">
        <f>" x "&amp;D278&amp;" ="</f>
        <v xml:space="preserve"> x 1.6366 =</v>
      </c>
      <c r="F294" s="338">
        <f t="shared" si="133"/>
        <v>37659.802600000003</v>
      </c>
      <c r="G294" s="261"/>
      <c r="H294" s="246">
        <f>D117+D118+D119</f>
        <v>23011</v>
      </c>
      <c r="I294" s="375">
        <f>H294-'[1]FL WIP'!H293</f>
        <v>-1369</v>
      </c>
      <c r="J294"/>
      <c r="K294"/>
      <c r="L294"/>
      <c r="M294"/>
      <c r="N294" s="157"/>
      <c r="O294" s="157"/>
      <c r="P294" s="275"/>
    </row>
    <row r="295" spans="1:16" ht="13.5" thickBot="1">
      <c r="A295" s="157"/>
      <c r="B295"/>
      <c r="C295" s="15"/>
      <c r="D295" s="14">
        <f>SUM(D289:D294)</f>
        <v>722362.29</v>
      </c>
      <c r="E295"/>
      <c r="F295" s="209">
        <f>SUM(F289:F294)</f>
        <v>282750.55316800001</v>
      </c>
      <c r="G295" s="106"/>
      <c r="H295" s="157"/>
      <c r="I295" s="157"/>
      <c r="J295"/>
      <c r="K295"/>
      <c r="L295"/>
      <c r="M295"/>
      <c r="N295" s="157"/>
      <c r="O295" s="157"/>
      <c r="P295" s="157"/>
    </row>
    <row r="296" spans="1:16">
      <c r="A296" s="157"/>
      <c r="B296" s="105" t="s">
        <v>2788</v>
      </c>
      <c r="C296" s="15" t="s">
        <v>1422</v>
      </c>
      <c r="D296" s="8">
        <f>D295-SUM(D280:D285)</f>
        <v>-135446.45999999996</v>
      </c>
      <c r="E296"/>
      <c r="F296" s="54">
        <f>F295-F287</f>
        <v>-17652.917191999964</v>
      </c>
      <c r="G296" s="261"/>
      <c r="H296" s="438" t="s">
        <v>1423</v>
      </c>
      <c r="I296" s="438"/>
      <c r="J296"/>
      <c r="K296"/>
      <c r="L296"/>
      <c r="M296"/>
      <c r="N296" s="157"/>
      <c r="O296" s="157"/>
      <c r="P296" s="157"/>
    </row>
    <row r="297" spans="1:16">
      <c r="A297" s="157"/>
      <c r="B297"/>
      <c r="C297"/>
      <c r="D297"/>
      <c r="E297"/>
      <c r="F297" s="261"/>
      <c r="G297" s="261"/>
      <c r="H297"/>
      <c r="I297" s="261"/>
      <c r="J297"/>
      <c r="K297"/>
      <c r="L297"/>
      <c r="M297"/>
      <c r="N297" s="157"/>
      <c r="O297" s="157"/>
      <c r="P297" s="157"/>
    </row>
    <row r="298" spans="1:16" ht="13.5" thickBot="1">
      <c r="A298" s="157"/>
      <c r="B298"/>
      <c r="C298" s="157" t="s">
        <v>852</v>
      </c>
      <c r="D298"/>
      <c r="E298"/>
      <c r="F298" s="288">
        <f>F280-F289</f>
        <v>0</v>
      </c>
      <c r="G298" s="261"/>
      <c r="H298" s="287">
        <f>+B280</f>
        <v>45838</v>
      </c>
      <c r="I298" s="124">
        <v>102093.26497222221</v>
      </c>
      <c r="J298" s="15"/>
      <c r="K298"/>
      <c r="L298"/>
      <c r="M298"/>
      <c r="N298" s="157"/>
      <c r="O298" s="157"/>
      <c r="P298" s="157"/>
    </row>
    <row r="299" spans="1:16" ht="13.5" thickBot="1">
      <c r="A299" s="157"/>
      <c r="B299"/>
      <c r="C299" s="157" t="s">
        <v>828</v>
      </c>
      <c r="D299"/>
      <c r="E299"/>
      <c r="F299" s="288">
        <f>F281-F290</f>
        <v>668.96857200000522</v>
      </c>
      <c r="G299" s="288"/>
      <c r="H299" s="287">
        <f>+B289</f>
        <v>45869</v>
      </c>
      <c r="I299" s="209">
        <f>I270</f>
        <v>97999.333605555556</v>
      </c>
      <c r="J299"/>
      <c r="K299"/>
      <c r="L299"/>
      <c r="M299"/>
      <c r="N299" s="157"/>
      <c r="O299" s="157"/>
      <c r="P299" s="157"/>
    </row>
    <row r="300" spans="1:16">
      <c r="A300" s="157"/>
      <c r="B300"/>
      <c r="C300" s="157" t="s">
        <v>550</v>
      </c>
      <c r="D300"/>
      <c r="F300" s="288">
        <f>(F282+F283+F284)-(F291+F292+F293)</f>
        <v>19580.435219999985</v>
      </c>
      <c r="G300" s="261"/>
      <c r="H300" s="157"/>
      <c r="I300" s="157"/>
      <c r="J300"/>
      <c r="K300"/>
      <c r="L300"/>
      <c r="M300"/>
      <c r="N300" s="157"/>
      <c r="O300" s="157"/>
      <c r="P300" s="157"/>
    </row>
    <row r="301" spans="1:16">
      <c r="A301" s="157"/>
      <c r="B301"/>
      <c r="C301" s="157" t="s">
        <v>1417</v>
      </c>
      <c r="D301"/>
      <c r="E301"/>
      <c r="F301" s="288">
        <f>F285-F294</f>
        <v>-2596.4866000000038</v>
      </c>
      <c r="G301" s="261"/>
      <c r="H301" s="157"/>
      <c r="I301" s="157"/>
      <c r="J301"/>
      <c r="K301"/>
      <c r="L301"/>
      <c r="M301"/>
      <c r="N301" s="157"/>
      <c r="O301" s="157"/>
      <c r="P301" s="157"/>
    </row>
    <row r="302" spans="1:16" ht="13.5" thickBot="1">
      <c r="A302" s="157"/>
      <c r="B302" s="105" t="s">
        <v>2789</v>
      </c>
      <c r="C302"/>
      <c r="D302"/>
      <c r="E302"/>
      <c r="F302" s="381">
        <f>SUM(F298:F301)</f>
        <v>17652.917191999986</v>
      </c>
      <c r="G302" s="10"/>
      <c r="H302" s="107" t="s">
        <v>811</v>
      </c>
      <c r="I302" s="108">
        <f>I299-I298</f>
        <v>-4093.9313666666567</v>
      </c>
      <c r="J302" s="157" t="s">
        <v>1424</v>
      </c>
      <c r="K302"/>
      <c r="L302"/>
      <c r="M302"/>
      <c r="N302" s="157"/>
      <c r="O302" s="157"/>
      <c r="P302" s="157"/>
    </row>
    <row r="303" spans="1:16" ht="13.5" thickTop="1">
      <c r="A303" s="157"/>
      <c r="B303"/>
      <c r="C303"/>
      <c r="D303"/>
      <c r="E303"/>
      <c r="F303"/>
      <c r="G303"/>
      <c r="H303"/>
      <c r="I303" s="15"/>
      <c r="J303"/>
      <c r="K303"/>
      <c r="L303"/>
      <c r="M303"/>
      <c r="N303" s="157"/>
      <c r="O303" s="157"/>
      <c r="P303" s="157"/>
    </row>
    <row r="304" spans="1:16">
      <c r="A304" s="157"/>
      <c r="B304" s="157"/>
      <c r="C304" s="157"/>
      <c r="D304" s="157"/>
      <c r="E304" s="157"/>
      <c r="F304" s="15"/>
      <c r="G304" s="157"/>
      <c r="H304" s="157"/>
      <c r="I304" s="15"/>
      <c r="J304"/>
      <c r="K304"/>
      <c r="L304"/>
      <c r="M304"/>
      <c r="N304" s="157"/>
      <c r="O304" s="157"/>
      <c r="P304" s="157"/>
    </row>
    <row r="305" spans="1:16">
      <c r="A305" s="157"/>
      <c r="B305" s="157" t="s">
        <v>1139</v>
      </c>
      <c r="C305" s="278">
        <f>D267-SUMIF(E73:E262,"",D73:D262)-SUMIF(E8:E68,"",D8:D68)</f>
        <v>107419.25095100008</v>
      </c>
      <c r="D305" s="157"/>
      <c r="E305" s="157"/>
      <c r="F305" s="157"/>
      <c r="G305" s="157"/>
      <c r="H305" s="157"/>
      <c r="I305" s="157"/>
      <c r="J305"/>
      <c r="K305"/>
      <c r="L305"/>
      <c r="M305"/>
      <c r="N305" s="157"/>
      <c r="O305" s="157"/>
      <c r="P305" s="157"/>
    </row>
    <row r="306" spans="1:16">
      <c r="B306" s="276" t="s">
        <v>2794</v>
      </c>
      <c r="C306" s="276" t="s">
        <v>2796</v>
      </c>
    </row>
    <row r="308" spans="1:16">
      <c r="A308" s="157"/>
      <c r="B308" s="157"/>
      <c r="C308" s="157"/>
      <c r="D308" s="157"/>
      <c r="E308" s="157"/>
      <c r="F308" s="157"/>
      <c r="G308" s="157"/>
      <c r="H308" s="157"/>
      <c r="I308" s="157"/>
      <c r="J308" s="157"/>
      <c r="K308" s="157"/>
      <c r="L308" s="157"/>
      <c r="M308" s="259"/>
      <c r="N308" s="157"/>
      <c r="O308" s="157"/>
      <c r="P308" s="157"/>
    </row>
    <row r="309" spans="1:16">
      <c r="A309" s="157"/>
      <c r="B309" s="157"/>
      <c r="C309" s="157"/>
      <c r="D309" s="275"/>
      <c r="E309" s="318"/>
      <c r="F309" s="157"/>
      <c r="G309" s="157"/>
      <c r="H309" s="319"/>
      <c r="I309" s="319"/>
      <c r="J309" s="319"/>
      <c r="K309" s="319"/>
      <c r="L309" s="157"/>
      <c r="M309" s="259"/>
      <c r="N309" s="157"/>
      <c r="O309" s="157"/>
      <c r="P309" s="157"/>
    </row>
    <row r="310" spans="1:16">
      <c r="B310" s="157"/>
      <c r="C310" s="157"/>
      <c r="D310" s="275"/>
      <c r="E310" s="318"/>
      <c r="F310" s="157"/>
      <c r="G310" s="157"/>
      <c r="H310" s="319"/>
      <c r="I310" s="319"/>
      <c r="J310" s="319"/>
      <c r="K310" s="319"/>
      <c r="L310" s="157"/>
      <c r="M310" s="259"/>
      <c r="N310" s="157"/>
      <c r="O310" s="157"/>
    </row>
    <row r="311" spans="1:16">
      <c r="B311" s="157"/>
      <c r="C311" s="157"/>
      <c r="D311" s="275"/>
      <c r="E311" s="318"/>
      <c r="F311" s="157"/>
      <c r="G311" s="157"/>
      <c r="H311" s="319"/>
      <c r="I311" s="319"/>
      <c r="J311" s="319"/>
      <c r="K311" s="319"/>
      <c r="L311" s="157"/>
      <c r="M311" s="259"/>
      <c r="N311" s="157"/>
      <c r="O311" s="157"/>
    </row>
    <row r="312" spans="1:16">
      <c r="B312" s="157"/>
      <c r="C312" s="157"/>
      <c r="D312" s="157"/>
      <c r="E312" s="157"/>
      <c r="F312" s="157"/>
      <c r="G312" s="157"/>
      <c r="H312" s="157"/>
      <c r="I312" s="319"/>
      <c r="J312" s="157"/>
      <c r="K312" s="319"/>
      <c r="L312" s="157"/>
      <c r="M312" s="259"/>
      <c r="N312" s="157"/>
      <c r="O312" s="157"/>
    </row>
  </sheetData>
  <autoFilter ref="H5:O6" xr:uid="{00000000-0001-0000-0400-000000000000}"/>
  <mergeCells count="4">
    <mergeCell ref="A2:E2"/>
    <mergeCell ref="A3:E3"/>
    <mergeCell ref="H296:I296"/>
    <mergeCell ref="A1:F1"/>
  </mergeCells>
  <phoneticPr fontId="10" type="noConversion"/>
  <pageMargins left="0.27" right="0.28999999999999998" top="0.5" bottom="0.5" header="0.5" footer="0.5"/>
  <pageSetup scale="14" orientation="landscape" horizontalDpi="4294967292"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4308-ABB9-431D-BC98-9A93FED4AB7C}">
  <sheetPr>
    <tabColor theme="0"/>
    <pageSetUpPr fitToPage="1"/>
  </sheetPr>
  <dimension ref="A1:L61"/>
  <sheetViews>
    <sheetView zoomScaleNormal="100" workbookViewId="0">
      <pane xSplit="2" ySplit="6" topLeftCell="C7" activePane="bottomRight" state="frozen"/>
      <selection pane="topRight" activeCell="C1" sqref="C1"/>
      <selection pane="bottomLeft" activeCell="A7" sqref="A7"/>
      <selection pane="bottomRight" activeCell="H43" sqref="H43"/>
    </sheetView>
  </sheetViews>
  <sheetFormatPr defaultColWidth="9.140625" defaultRowHeight="12.75"/>
  <cols>
    <col min="1" max="1" width="8.42578125" style="49" customWidth="1"/>
    <col min="2" max="2" width="53" style="49" bestFit="1" customWidth="1"/>
    <col min="3" max="3" width="14.5703125" style="49" bestFit="1" customWidth="1"/>
    <col min="4" max="4" width="16.28515625" style="49" customWidth="1"/>
    <col min="5" max="5" width="13.7109375" style="49" customWidth="1"/>
    <col min="6" max="6" width="17.28515625" style="49" customWidth="1"/>
    <col min="7" max="7" width="1.140625" style="49" customWidth="1"/>
    <col min="8" max="8" width="11.5703125" style="49" customWidth="1"/>
    <col min="9" max="9" width="16.28515625" style="49" customWidth="1"/>
    <col min="10" max="10" width="21.42578125" style="49" bestFit="1" customWidth="1"/>
    <col min="11" max="11" width="11.28515625" style="49" bestFit="1" customWidth="1"/>
    <col min="12" max="16384" width="9.140625" style="49"/>
  </cols>
  <sheetData>
    <row r="1" spans="1:11">
      <c r="A1" s="435" t="s">
        <v>1425</v>
      </c>
      <c r="B1" s="435"/>
      <c r="C1" s="435"/>
      <c r="D1" s="435"/>
      <c r="E1" s="435"/>
      <c r="F1" s="435"/>
      <c r="G1" s="6"/>
      <c r="H1" s="6"/>
      <c r="I1" s="6"/>
      <c r="J1"/>
      <c r="K1"/>
    </row>
    <row r="2" spans="1:11">
      <c r="A2" s="435" t="s">
        <v>1140</v>
      </c>
      <c r="B2" s="435"/>
      <c r="C2" s="435"/>
      <c r="D2" s="435"/>
      <c r="E2" s="435"/>
      <c r="F2" s="6"/>
      <c r="G2" s="6"/>
      <c r="H2" s="6"/>
      <c r="I2" s="6"/>
      <c r="J2"/>
      <c r="K2"/>
    </row>
    <row r="3" spans="1:11">
      <c r="A3" s="435" t="str">
        <f>'FL+AZ - RM'!A3</f>
        <v>As of July 31st 2025</v>
      </c>
      <c r="B3" s="435"/>
      <c r="C3" s="435"/>
      <c r="D3" s="435"/>
      <c r="E3" s="435"/>
      <c r="F3" s="6"/>
      <c r="G3" s="6"/>
      <c r="H3" s="6"/>
      <c r="I3" s="6"/>
      <c r="J3"/>
      <c r="K3"/>
    </row>
    <row r="5" spans="1:11">
      <c r="A5"/>
      <c r="B5"/>
      <c r="C5" s="5" t="s">
        <v>734</v>
      </c>
      <c r="D5" s="5" t="s">
        <v>1426</v>
      </c>
      <c r="E5" s="5" t="s">
        <v>818</v>
      </c>
      <c r="F5" s="5" t="s">
        <v>818</v>
      </c>
      <c r="G5" s="5"/>
      <c r="H5" s="5" t="s">
        <v>812</v>
      </c>
      <c r="I5" s="5" t="s">
        <v>812</v>
      </c>
      <c r="J5" s="5" t="s">
        <v>3</v>
      </c>
      <c r="K5"/>
    </row>
    <row r="6" spans="1:11" ht="13.5" thickBot="1">
      <c r="A6"/>
      <c r="B6"/>
      <c r="C6" s="7"/>
      <c r="D6" s="7" t="s">
        <v>1427</v>
      </c>
      <c r="E6" s="7" t="s">
        <v>821</v>
      </c>
      <c r="F6" s="7" t="s">
        <v>822</v>
      </c>
      <c r="G6" s="7"/>
      <c r="H6" s="7" t="s">
        <v>1142</v>
      </c>
      <c r="I6" s="7" t="s">
        <v>822</v>
      </c>
      <c r="J6" s="7" t="s">
        <v>1428</v>
      </c>
      <c r="K6" s="2" t="s">
        <v>825</v>
      </c>
    </row>
    <row r="7" spans="1:11" ht="13.5" customHeight="1">
      <c r="A7"/>
      <c r="B7"/>
      <c r="C7"/>
      <c r="D7"/>
      <c r="E7"/>
      <c r="F7"/>
      <c r="G7"/>
      <c r="H7"/>
      <c r="I7"/>
      <c r="J7"/>
      <c r="K7"/>
    </row>
    <row r="8" spans="1:11" ht="13.5" customHeight="1">
      <c r="A8" s="157" t="s">
        <v>1429</v>
      </c>
      <c r="B8" s="157" t="s">
        <v>1430</v>
      </c>
      <c r="C8" s="228">
        <f>IFERROR(GETPIVOTDATA("Sum of qty",PT!$A$17,"product",A8),0)</f>
        <v>0</v>
      </c>
      <c r="D8" s="357" t="str">
        <f>_xlfn.XLOOKUP(_xlfn.NUMBERVALUE(RIGHT(A8,4)),'TX DL&amp;OH FG'!A:A,'TX DL&amp;OH FG'!K:K)</f>
        <v>FL</v>
      </c>
      <c r="E8" s="120">
        <f>'FL WIP'!E233</f>
        <v>0.69981901303574467</v>
      </c>
      <c r="F8" s="282">
        <f>C8*E8</f>
        <v>0</v>
      </c>
      <c r="G8"/>
      <c r="H8" s="120">
        <v>0</v>
      </c>
      <c r="I8" s="282">
        <f>H8*C8</f>
        <v>0</v>
      </c>
      <c r="J8" s="157" t="s">
        <v>1431</v>
      </c>
      <c r="K8" s="275">
        <f>C8-IFERROR(VLOOKUP(A8,'[1]AZ WIP'!$A:$F,4,0),0)</f>
        <v>0</v>
      </c>
    </row>
    <row r="9" spans="1:11" ht="13.5" customHeight="1">
      <c r="A9" s="157" t="s">
        <v>1432</v>
      </c>
      <c r="B9" s="157" t="s">
        <v>1433</v>
      </c>
      <c r="C9" s="228">
        <f>IFERROR(GETPIVOTDATA("Sum of qty",PT!$A$17,"product",A9),0)</f>
        <v>0</v>
      </c>
      <c r="D9" s="357" t="str">
        <f>_xlfn.XLOOKUP(_xlfn.NUMBERVALUE(RIGHT(A9,4)),'TX DL&amp;OH FG'!A:A,'TX DL&amp;OH FG'!K:K)</f>
        <v>FL</v>
      </c>
      <c r="E9" s="120">
        <f>E8</f>
        <v>0.69981901303574467</v>
      </c>
      <c r="F9" s="282">
        <f>C9*E9</f>
        <v>0</v>
      </c>
      <c r="G9"/>
      <c r="H9" s="120">
        <v>0</v>
      </c>
      <c r="I9" s="282">
        <f>H9*C9</f>
        <v>0</v>
      </c>
      <c r="J9" s="157" t="s">
        <v>1431</v>
      </c>
      <c r="K9" s="275">
        <f>C9-IFERROR(VLOOKUP(A9,'[1]AZ WIP'!$A:$F,4,0),0)</f>
        <v>0</v>
      </c>
    </row>
    <row r="10" spans="1:11" ht="13.5" customHeight="1">
      <c r="A10" s="157" t="s">
        <v>2763</v>
      </c>
      <c r="B10" s="157" t="s">
        <v>2764</v>
      </c>
      <c r="C10" s="228">
        <f>IFERROR(GETPIVOTDATA("Sum of qty",PT!$A$17,"product",A10),0)</f>
        <v>1525</v>
      </c>
      <c r="D10" s="357"/>
      <c r="E10" s="120">
        <f>E9</f>
        <v>0.69981901303574467</v>
      </c>
      <c r="F10" s="282">
        <f>C10*E10</f>
        <v>1067.2239948795107</v>
      </c>
      <c r="G10"/>
      <c r="H10" s="120">
        <v>0</v>
      </c>
      <c r="I10" s="282">
        <f>H10*C10</f>
        <v>0</v>
      </c>
      <c r="J10" s="157" t="s">
        <v>1431</v>
      </c>
      <c r="K10" s="275">
        <f>C10-IFERROR(VLOOKUP(A10,'[1]AZ WIP'!$A:$F,4,0),0)</f>
        <v>1525</v>
      </c>
    </row>
    <row r="11" spans="1:11" ht="13.5" customHeight="1">
      <c r="A11" s="157" t="s">
        <v>1429</v>
      </c>
      <c r="B11" s="157" t="s">
        <v>1430</v>
      </c>
      <c r="C11" s="228">
        <f>IFERROR(GETPIVOTDATA("Sum of qty",PT!$A$17,"product",A11),0)</f>
        <v>0</v>
      </c>
      <c r="D11" s="357"/>
      <c r="E11" s="120">
        <f>E10</f>
        <v>0.69981901303574467</v>
      </c>
      <c r="F11" s="282">
        <f>C11*E11</f>
        <v>0</v>
      </c>
      <c r="G11"/>
      <c r="H11" s="120">
        <v>0</v>
      </c>
      <c r="I11" s="282">
        <f>H11*C11</f>
        <v>0</v>
      </c>
      <c r="J11" s="157" t="s">
        <v>1431</v>
      </c>
      <c r="K11" s="275">
        <f>C11-IFERROR(VLOOKUP(A11,'[1]AZ WIP'!$A:$F,4,0),0)</f>
        <v>0</v>
      </c>
    </row>
    <row r="12" spans="1:11" ht="13.5" customHeight="1">
      <c r="A12" s="157"/>
      <c r="B12"/>
      <c r="C12"/>
      <c r="D12"/>
      <c r="E12"/>
      <c r="F12"/>
      <c r="G12" s="282"/>
      <c r="H12" s="282"/>
      <c r="I12" s="282"/>
      <c r="J12" s="157"/>
      <c r="K12" s="157"/>
    </row>
    <row r="13" spans="1:11" ht="13.5" customHeight="1" thickBot="1">
      <c r="A13"/>
      <c r="B13"/>
      <c r="C13" s="284" t="s">
        <v>1133</v>
      </c>
      <c r="D13" s="284"/>
      <c r="E13" s="282"/>
      <c r="F13" s="282"/>
      <c r="G13" s="282"/>
      <c r="H13" s="284"/>
      <c r="I13" s="282"/>
      <c r="J13" s="157"/>
      <c r="K13" s="157"/>
    </row>
    <row r="14" spans="1:11" ht="13.5" thickBot="1">
      <c r="A14"/>
      <c r="B14" s="15" t="s">
        <v>1434</v>
      </c>
      <c r="C14" s="358">
        <f>SUM(C8:C10)</f>
        <v>1525</v>
      </c>
      <c r="D14" s="14"/>
      <c r="E14" s="98"/>
      <c r="F14" s="394">
        <f>SUM(F8:F10)</f>
        <v>1067.2239948795107</v>
      </c>
      <c r="G14" s="98"/>
      <c r="H14" s="98"/>
      <c r="I14" s="208">
        <f>SUM(I8:I10)</f>
        <v>0</v>
      </c>
      <c r="J14" s="157"/>
      <c r="K14" s="275">
        <f>SUM(K8:K10)</f>
        <v>1525</v>
      </c>
    </row>
    <row r="15" spans="1:11">
      <c r="A15"/>
      <c r="B15" s="157" t="s">
        <v>1435</v>
      </c>
      <c r="C15" s="121">
        <v>6989</v>
      </c>
      <c r="D15" s="284"/>
      <c r="E15"/>
      <c r="F15" s="121">
        <v>4891.0350821068196</v>
      </c>
      <c r="G15" s="282"/>
      <c r="H15" s="282"/>
      <c r="I15" s="121">
        <v>0</v>
      </c>
      <c r="J15" s="157"/>
      <c r="K15" s="157"/>
    </row>
    <row r="16" spans="1:11">
      <c r="A16"/>
      <c r="B16" s="359" t="s">
        <v>1436</v>
      </c>
      <c r="C16" s="99">
        <f>C14-C15</f>
        <v>-5464</v>
      </c>
      <c r="D16" s="284"/>
      <c r="E16"/>
      <c r="F16" s="99">
        <f>F14-F15</f>
        <v>-3823.8110872273091</v>
      </c>
      <c r="G16" s="282"/>
      <c r="H16" s="282"/>
      <c r="I16" s="99">
        <f>I14-I15</f>
        <v>0</v>
      </c>
      <c r="J16" s="157"/>
      <c r="K16" s="157"/>
    </row>
    <row r="17" spans="1:11">
      <c r="A17" s="157"/>
      <c r="B17"/>
      <c r="C17" s="284"/>
      <c r="D17" s="284"/>
      <c r="E17"/>
      <c r="F17" s="282"/>
      <c r="G17" s="282"/>
      <c r="H17" s="282"/>
      <c r="I17" s="282"/>
      <c r="J17" s="286" t="s">
        <v>550</v>
      </c>
      <c r="K17" s="157"/>
    </row>
    <row r="18" spans="1:11">
      <c r="A18" s="157"/>
      <c r="B18"/>
      <c r="C18"/>
      <c r="D18" s="284"/>
      <c r="E18"/>
      <c r="F18"/>
      <c r="G18"/>
      <c r="H18"/>
      <c r="I18"/>
      <c r="J18" s="286" t="s">
        <v>1207</v>
      </c>
      <c r="K18" s="157"/>
    </row>
    <row r="19" spans="1:11">
      <c r="A19" s="157"/>
      <c r="B19"/>
      <c r="C19"/>
      <c r="D19" s="14"/>
      <c r="E19"/>
      <c r="F19"/>
      <c r="G19" s="101"/>
      <c r="H19" s="101"/>
      <c r="I19"/>
      <c r="J19" s="101" t="s">
        <v>822</v>
      </c>
      <c r="K19" s="157"/>
    </row>
    <row r="20" spans="1:11">
      <c r="A20" s="157"/>
      <c r="B20"/>
      <c r="C20"/>
      <c r="D20"/>
      <c r="E20"/>
      <c r="F20"/>
      <c r="G20"/>
      <c r="H20"/>
      <c r="I20"/>
      <c r="J20" s="286"/>
      <c r="K20" s="157"/>
    </row>
    <row r="21" spans="1:11">
      <c r="A21" s="157"/>
      <c r="B21"/>
      <c r="C21" s="85" t="s">
        <v>1411</v>
      </c>
      <c r="D21" s="10"/>
      <c r="E21"/>
      <c r="F21"/>
      <c r="G21"/>
      <c r="H21"/>
      <c r="I21"/>
      <c r="J21"/>
      <c r="K21"/>
    </row>
    <row r="22" spans="1:11">
      <c r="A22" s="157"/>
      <c r="B22"/>
      <c r="C22" s="157" t="s">
        <v>852</v>
      </c>
      <c r="D22" s="337">
        <v>0</v>
      </c>
      <c r="E22" s="315"/>
      <c r="F22"/>
      <c r="G22"/>
      <c r="H22"/>
      <c r="I22"/>
      <c r="J22"/>
      <c r="K22"/>
    </row>
    <row r="23" spans="1:11">
      <c r="A23" s="157"/>
      <c r="B23"/>
      <c r="C23" s="157" t="s">
        <v>828</v>
      </c>
      <c r="D23" s="337">
        <v>0</v>
      </c>
      <c r="E23" s="315"/>
      <c r="F23"/>
      <c r="G23"/>
      <c r="H23"/>
      <c r="I23"/>
      <c r="J23"/>
      <c r="K23"/>
    </row>
    <row r="24" spans="1:11">
      <c r="A24" s="157"/>
      <c r="B24"/>
      <c r="C24" s="157" t="s">
        <v>550</v>
      </c>
      <c r="D24" s="337">
        <v>0</v>
      </c>
      <c r="E24" s="315"/>
      <c r="F24"/>
      <c r="G24"/>
      <c r="H24"/>
      <c r="I24" s="276"/>
      <c r="J24"/>
      <c r="K24"/>
    </row>
    <row r="25" spans="1:11">
      <c r="A25" s="157"/>
      <c r="B25"/>
      <c r="C25" s="157" t="s">
        <v>1198</v>
      </c>
      <c r="D25" s="123">
        <v>0</v>
      </c>
      <c r="E25" s="315"/>
      <c r="F25"/>
      <c r="G25"/>
      <c r="H25"/>
      <c r="I25"/>
      <c r="J25"/>
      <c r="K25"/>
    </row>
    <row r="26" spans="1:11">
      <c r="A26" s="157"/>
      <c r="B26"/>
      <c r="C26" s="157" t="s">
        <v>1415</v>
      </c>
      <c r="D26" s="123">
        <v>0</v>
      </c>
      <c r="E26" s="315"/>
      <c r="F26"/>
      <c r="G26"/>
      <c r="H26"/>
      <c r="I26"/>
      <c r="J26"/>
      <c r="K26"/>
    </row>
    <row r="27" spans="1:11">
      <c r="A27" s="157"/>
      <c r="B27"/>
      <c r="C27" s="157" t="s">
        <v>1417</v>
      </c>
      <c r="D27" s="123">
        <v>0</v>
      </c>
      <c r="E27" s="315"/>
      <c r="F27"/>
      <c r="G27"/>
      <c r="H27"/>
      <c r="I27"/>
      <c r="J27"/>
      <c r="K27"/>
    </row>
    <row r="28" spans="1:11">
      <c r="A28" s="157"/>
      <c r="B28"/>
      <c r="C28"/>
      <c r="D28" s="282"/>
      <c r="E28"/>
      <c r="F28"/>
      <c r="G28"/>
      <c r="H28"/>
      <c r="I28"/>
      <c r="J28"/>
      <c r="K28"/>
    </row>
    <row r="29" spans="1:11">
      <c r="A29" s="157"/>
      <c r="B29" s="287">
        <f>+'AZ WIP'!K211</f>
        <v>45838</v>
      </c>
      <c r="C29" s="157" t="s">
        <v>852</v>
      </c>
      <c r="D29" s="122">
        <v>0</v>
      </c>
      <c r="E29" s="122" t="s">
        <v>1418</v>
      </c>
      <c r="F29" s="122">
        <v>0</v>
      </c>
      <c r="G29" s="261"/>
      <c r="H29" s="261"/>
      <c r="I29" s="261"/>
      <c r="J29"/>
      <c r="K29" s="157"/>
    </row>
    <row r="30" spans="1:11">
      <c r="A30" s="157"/>
      <c r="B30" s="287">
        <f>+B29</f>
        <v>45838</v>
      </c>
      <c r="C30" s="157" t="s">
        <v>828</v>
      </c>
      <c r="D30" s="122">
        <v>5824</v>
      </c>
      <c r="E30" s="122" t="s">
        <v>1418</v>
      </c>
      <c r="F30" s="122">
        <v>0</v>
      </c>
      <c r="G30" s="261"/>
      <c r="H30" s="261"/>
      <c r="I30" s="261"/>
      <c r="J30"/>
      <c r="K30" s="157"/>
    </row>
    <row r="31" spans="1:11">
      <c r="A31" s="157"/>
      <c r="B31" s="287">
        <f>+B30</f>
        <v>45838</v>
      </c>
      <c r="C31" s="157" t="s">
        <v>550</v>
      </c>
      <c r="D31" s="121">
        <v>0</v>
      </c>
      <c r="E31" s="121" t="s">
        <v>1418</v>
      </c>
      <c r="F31" s="121">
        <v>0</v>
      </c>
      <c r="G31" s="261"/>
      <c r="H31" s="261"/>
      <c r="I31" s="261"/>
      <c r="J31"/>
      <c r="K31" s="157"/>
    </row>
    <row r="32" spans="1:11">
      <c r="A32" s="157"/>
      <c r="B32" s="287">
        <f>+B30</f>
        <v>45838</v>
      </c>
      <c r="C32" s="157" t="s">
        <v>1198</v>
      </c>
      <c r="D32" s="121">
        <v>0</v>
      </c>
      <c r="E32" s="121" t="s">
        <v>1418</v>
      </c>
      <c r="F32" s="121">
        <v>0</v>
      </c>
      <c r="G32" s="261"/>
      <c r="H32" s="261"/>
      <c r="I32" s="261"/>
      <c r="J32"/>
      <c r="K32" s="157"/>
    </row>
    <row r="33" spans="1:12">
      <c r="A33" s="157"/>
      <c r="B33" s="287">
        <f>+B31</f>
        <v>45838</v>
      </c>
      <c r="C33" s="157" t="s">
        <v>1415</v>
      </c>
      <c r="D33" s="121">
        <v>0</v>
      </c>
      <c r="E33" s="121" t="s">
        <v>1418</v>
      </c>
      <c r="F33" s="121">
        <v>0</v>
      </c>
      <c r="G33" s="261"/>
      <c r="H33" s="261"/>
      <c r="I33" s="261"/>
      <c r="J33"/>
      <c r="K33" s="157"/>
    </row>
    <row r="34" spans="1:12">
      <c r="A34" s="157"/>
      <c r="B34" s="287">
        <f>+B33</f>
        <v>45838</v>
      </c>
      <c r="C34" s="157" t="s">
        <v>1417</v>
      </c>
      <c r="D34" s="121">
        <v>0</v>
      </c>
      <c r="E34" s="121" t="s">
        <v>1418</v>
      </c>
      <c r="F34" s="121">
        <v>0</v>
      </c>
      <c r="G34" s="261"/>
      <c r="H34" s="261"/>
      <c r="I34" s="261"/>
      <c r="J34"/>
      <c r="K34" s="157"/>
    </row>
    <row r="35" spans="1:12">
      <c r="A35" s="157"/>
      <c r="B35"/>
      <c r="C35"/>
      <c r="D35" s="282"/>
      <c r="E35"/>
      <c r="F35" s="261"/>
      <c r="G35" s="261"/>
      <c r="H35"/>
      <c r="I35" s="8"/>
      <c r="J35"/>
      <c r="K35" s="157"/>
      <c r="L35" s="157"/>
    </row>
    <row r="36" spans="1:12" ht="13.5" thickBot="1">
      <c r="A36" s="157"/>
      <c r="B36"/>
      <c r="C36"/>
      <c r="D36" s="111">
        <f>SUMPRODUCT(D29:D34,D22:D27)</f>
        <v>0</v>
      </c>
      <c r="E36"/>
      <c r="F36" s="104">
        <f>SUM(F29:F34)</f>
        <v>0</v>
      </c>
      <c r="G36" s="106"/>
      <c r="H36" s="106"/>
      <c r="I36" s="106"/>
      <c r="J36"/>
      <c r="K36" s="157"/>
      <c r="L36" s="157"/>
    </row>
    <row r="37" spans="1:12">
      <c r="A37" s="157"/>
      <c r="B37"/>
      <c r="C37"/>
      <c r="D37" s="282"/>
      <c r="E37"/>
      <c r="F37" s="261"/>
      <c r="G37" s="261"/>
      <c r="H37" s="15" t="s">
        <v>1420</v>
      </c>
      <c r="I37"/>
      <c r="J37" s="157"/>
      <c r="K37" s="157"/>
      <c r="L37" s="157"/>
    </row>
    <row r="38" spans="1:12">
      <c r="A38" s="157"/>
      <c r="B38" s="287">
        <f>+'AZ WIP'!K210</f>
        <v>45869</v>
      </c>
      <c r="C38" s="157" t="s">
        <v>852</v>
      </c>
      <c r="D38" s="265">
        <f>SUMIF($J$8:$J$9,C38,$C$8:$C$9)+SUMIF($J$8:$J$9,"Citrus &amp; Bar Mixes",$C$8:$C$9)</f>
        <v>0</v>
      </c>
      <c r="E38" s="265" t="str">
        <f>" x "&amp;D22&amp;" ="</f>
        <v xml:space="preserve"> x 0 =</v>
      </c>
      <c r="F38" s="338">
        <f t="shared" ref="F38:F43" si="0">D38*D22</f>
        <v>0</v>
      </c>
      <c r="G38" s="261"/>
      <c r="H38" s="275">
        <f>D38-'[1]TX WIP'!$F$38</f>
        <v>0</v>
      </c>
      <c r="I38" s="15"/>
      <c r="J38" s="15"/>
      <c r="K38" s="157"/>
      <c r="L38" s="157"/>
    </row>
    <row r="39" spans="1:12">
      <c r="A39" s="157"/>
      <c r="B39" s="287">
        <f>+B38</f>
        <v>45869</v>
      </c>
      <c r="C39" s="157" t="s">
        <v>828</v>
      </c>
      <c r="D39" s="265">
        <f>SUMIF($J$8:$J$9,C39,$C$8:$C$9)+SUMIF($J$8:$J$9,"Lemonade",$C$8:$C$9)</f>
        <v>0</v>
      </c>
      <c r="E39" s="265" t="str">
        <f t="shared" ref="E39:E43" si="1">" x "&amp;D23&amp;" ="</f>
        <v xml:space="preserve"> x 0 =</v>
      </c>
      <c r="F39" s="338">
        <f t="shared" si="0"/>
        <v>0</v>
      </c>
      <c r="G39" s="261"/>
      <c r="H39" s="275">
        <f>D39-'[1]TX WIP'!$F$38</f>
        <v>0</v>
      </c>
      <c r="I39" s="157"/>
      <c r="J39" s="246"/>
      <c r="K39" s="157"/>
      <c r="L39" s="157"/>
    </row>
    <row r="40" spans="1:12">
      <c r="A40" s="157"/>
      <c r="B40" s="287">
        <f>+B39</f>
        <v>45869</v>
      </c>
      <c r="C40" s="157" t="s">
        <v>550</v>
      </c>
      <c r="D40" s="265">
        <f t="shared" ref="D40:D43" si="2">SUMIF($J$8:$J$9,C40,$C$8:$C$9)</f>
        <v>0</v>
      </c>
      <c r="E40" s="266" t="str">
        <f t="shared" si="1"/>
        <v xml:space="preserve"> x 0 =</v>
      </c>
      <c r="F40" s="338">
        <f>D40*D24</f>
        <v>0</v>
      </c>
      <c r="G40" s="261"/>
      <c r="H40" s="275">
        <f>D40-'[1]TX WIP'!$F$38</f>
        <v>0</v>
      </c>
      <c r="I40" s="157"/>
      <c r="J40" s="246"/>
      <c r="K40" s="157"/>
      <c r="L40" s="157"/>
    </row>
    <row r="41" spans="1:12">
      <c r="A41" s="157"/>
      <c r="B41" s="287">
        <f>+B39</f>
        <v>45869</v>
      </c>
      <c r="C41" s="157" t="s">
        <v>1198</v>
      </c>
      <c r="D41" s="265">
        <f t="shared" si="2"/>
        <v>0</v>
      </c>
      <c r="E41" s="266" t="str">
        <f t="shared" si="1"/>
        <v xml:space="preserve"> x 0 =</v>
      </c>
      <c r="F41" s="338">
        <f t="shared" si="0"/>
        <v>0</v>
      </c>
      <c r="G41" s="261"/>
      <c r="H41" s="275">
        <f>D41-'[1]TX WIP'!$F$38</f>
        <v>0</v>
      </c>
      <c r="I41" s="157"/>
      <c r="J41" s="246"/>
      <c r="K41" s="157"/>
      <c r="L41" s="157"/>
    </row>
    <row r="42" spans="1:12">
      <c r="A42" s="157"/>
      <c r="B42" s="287">
        <f>+B40</f>
        <v>45869</v>
      </c>
      <c r="C42" s="157" t="s">
        <v>1415</v>
      </c>
      <c r="D42" s="265">
        <f t="shared" si="2"/>
        <v>0</v>
      </c>
      <c r="E42" s="266" t="str">
        <f t="shared" si="1"/>
        <v xml:space="preserve"> x 0 =</v>
      </c>
      <c r="F42" s="338">
        <f t="shared" si="0"/>
        <v>0</v>
      </c>
      <c r="G42" s="261"/>
      <c r="H42" s="275">
        <f>D42-'[1]TX WIP'!$F$38</f>
        <v>0</v>
      </c>
      <c r="I42" s="157"/>
      <c r="J42" s="246"/>
      <c r="K42" s="157"/>
      <c r="L42" s="157"/>
    </row>
    <row r="43" spans="1:12" ht="13.5" thickBot="1">
      <c r="A43" s="157"/>
      <c r="B43" s="287">
        <f>+B42</f>
        <v>45869</v>
      </c>
      <c r="C43" s="157" t="s">
        <v>1417</v>
      </c>
      <c r="D43" s="265">
        <f t="shared" si="2"/>
        <v>0</v>
      </c>
      <c r="E43" s="266" t="str">
        <f t="shared" si="1"/>
        <v xml:space="preserve"> x 0 =</v>
      </c>
      <c r="F43" s="338">
        <f t="shared" si="0"/>
        <v>0</v>
      </c>
      <c r="G43" s="261"/>
      <c r="H43" s="275">
        <f>D43-'[1]TX WIP'!$F$38</f>
        <v>0</v>
      </c>
      <c r="I43" s="157"/>
      <c r="J43" s="157"/>
      <c r="K43" s="275"/>
      <c r="L43" s="157"/>
    </row>
    <row r="44" spans="1:12" ht="13.5" thickBot="1">
      <c r="A44" s="157"/>
      <c r="B44"/>
      <c r="C44" s="15"/>
      <c r="D44" s="14">
        <f>SUM(D38:D43)</f>
        <v>0</v>
      </c>
      <c r="E44"/>
      <c r="F44" s="209">
        <f>SUM(F38:F43)</f>
        <v>0</v>
      </c>
      <c r="G44" s="106"/>
      <c r="H44" s="157"/>
      <c r="I44" s="157"/>
      <c r="J44" s="157"/>
      <c r="K44" s="157"/>
      <c r="L44" s="157"/>
    </row>
    <row r="45" spans="1:12">
      <c r="A45" s="157"/>
      <c r="B45"/>
      <c r="C45" s="157" t="s">
        <v>1422</v>
      </c>
      <c r="D45" s="8">
        <f>D44-SUM(D29:D34)</f>
        <v>-5824</v>
      </c>
      <c r="E45"/>
      <c r="F45" s="54">
        <f>F44-F36</f>
        <v>0</v>
      </c>
      <c r="G45" s="261"/>
      <c r="H45" s="438" t="s">
        <v>1423</v>
      </c>
      <c r="I45" s="438"/>
      <c r="J45" s="157"/>
      <c r="K45" s="157"/>
      <c r="L45" s="157"/>
    </row>
    <row r="46" spans="1:12">
      <c r="A46" s="157"/>
      <c r="B46"/>
      <c r="C46"/>
      <c r="D46"/>
      <c r="E46"/>
      <c r="F46" s="261"/>
      <c r="G46" s="261"/>
      <c r="H46"/>
      <c r="I46" s="261"/>
      <c r="J46" s="157"/>
      <c r="K46" s="157"/>
      <c r="L46" s="157"/>
    </row>
    <row r="47" spans="1:12" ht="13.5" thickBot="1">
      <c r="A47" s="157"/>
      <c r="B47"/>
      <c r="C47" s="157" t="s">
        <v>852</v>
      </c>
      <c r="D47"/>
      <c r="E47"/>
      <c r="F47" s="288">
        <f>F29-F38</f>
        <v>0</v>
      </c>
      <c r="G47" s="261"/>
      <c r="H47" s="287">
        <f>+B29</f>
        <v>45838</v>
      </c>
      <c r="I47" s="124">
        <v>0</v>
      </c>
      <c r="J47" s="157"/>
      <c r="K47" s="157"/>
      <c r="L47" s="157"/>
    </row>
    <row r="48" spans="1:12" ht="13.5" thickBot="1">
      <c r="A48" s="157"/>
      <c r="B48"/>
      <c r="C48" s="157" t="s">
        <v>828</v>
      </c>
      <c r="D48"/>
      <c r="E48"/>
      <c r="F48" s="288">
        <f>F30-F39</f>
        <v>0</v>
      </c>
      <c r="G48" s="288"/>
      <c r="H48" s="287">
        <f>+B38</f>
        <v>45869</v>
      </c>
      <c r="I48" s="209">
        <f>I19</f>
        <v>0</v>
      </c>
      <c r="J48" s="157"/>
      <c r="K48" s="157"/>
      <c r="L48" s="157"/>
    </row>
    <row r="49" spans="1:12">
      <c r="A49" s="157"/>
      <c r="B49"/>
      <c r="C49" s="157" t="s">
        <v>550</v>
      </c>
      <c r="D49"/>
      <c r="E49"/>
      <c r="F49" s="288">
        <f>(F31+F32+F33)-(F40+F41+F42)</f>
        <v>0</v>
      </c>
      <c r="G49" s="261"/>
      <c r="H49" s="157"/>
      <c r="I49" s="157"/>
      <c r="J49" s="157"/>
      <c r="K49" s="157"/>
      <c r="L49" s="157"/>
    </row>
    <row r="50" spans="1:12">
      <c r="A50" s="157"/>
      <c r="B50"/>
      <c r="C50" s="157" t="s">
        <v>1417</v>
      </c>
      <c r="D50"/>
      <c r="E50"/>
      <c r="F50" s="288">
        <f>F34-F43</f>
        <v>0</v>
      </c>
      <c r="G50" s="261"/>
      <c r="H50" s="157"/>
      <c r="I50" s="157"/>
      <c r="J50" s="157"/>
      <c r="K50" s="157"/>
      <c r="L50" s="157"/>
    </row>
    <row r="51" spans="1:12" ht="13.5" thickBot="1">
      <c r="A51" s="157"/>
      <c r="B51" s="105" t="s">
        <v>811</v>
      </c>
      <c r="C51"/>
      <c r="D51"/>
      <c r="E51"/>
      <c r="F51" s="23">
        <f>F36-F44</f>
        <v>0</v>
      </c>
      <c r="G51" s="10"/>
      <c r="H51" s="107" t="s">
        <v>811</v>
      </c>
      <c r="I51" s="108">
        <f>I48-I47</f>
        <v>0</v>
      </c>
      <c r="J51" s="157"/>
      <c r="K51" s="157"/>
      <c r="L51" s="157"/>
    </row>
    <row r="52" spans="1:12" ht="13.5" thickTop="1">
      <c r="A52" s="157"/>
      <c r="B52"/>
      <c r="C52"/>
      <c r="D52"/>
      <c r="E52"/>
      <c r="F52"/>
      <c r="G52"/>
      <c r="H52"/>
      <c r="I52" s="15"/>
      <c r="J52" s="157"/>
      <c r="K52" s="157"/>
      <c r="L52" s="157"/>
    </row>
    <row r="53" spans="1:12">
      <c r="A53" s="157"/>
      <c r="B53" s="157"/>
      <c r="C53" s="157"/>
      <c r="D53" s="157"/>
      <c r="E53" s="157"/>
      <c r="F53" s="15"/>
      <c r="G53" s="157"/>
      <c r="H53" s="157"/>
      <c r="I53" s="15"/>
      <c r="J53" s="157"/>
      <c r="K53" s="157"/>
      <c r="L53" s="157"/>
    </row>
    <row r="54" spans="1:12">
      <c r="A54" s="157"/>
      <c r="B54" s="157" t="s">
        <v>1139</v>
      </c>
      <c r="C54" s="278" t="e">
        <f>D16-SUMIF(#REF!,"",#REF!)-SUMIF(E8:E9,"",D8:D9)</f>
        <v>#REF!</v>
      </c>
      <c r="D54" s="157"/>
      <c r="E54" s="157"/>
      <c r="F54" s="157"/>
      <c r="G54" s="157"/>
      <c r="H54" s="157"/>
      <c r="I54" s="157"/>
      <c r="J54" s="157"/>
      <c r="K54" s="157"/>
      <c r="L54" s="157"/>
    </row>
    <row r="57" spans="1:12">
      <c r="A57" s="157"/>
      <c r="B57" s="157"/>
      <c r="C57" s="157"/>
      <c r="D57" s="157"/>
      <c r="E57" s="157"/>
      <c r="F57" s="157"/>
      <c r="G57" s="157"/>
      <c r="H57" s="157"/>
      <c r="I57" s="157"/>
      <c r="J57" s="157"/>
      <c r="K57" s="157"/>
      <c r="L57" s="157"/>
    </row>
    <row r="58" spans="1:12">
      <c r="A58" s="157"/>
      <c r="B58" s="157"/>
      <c r="C58" s="157"/>
      <c r="D58" s="275"/>
      <c r="E58" s="318"/>
      <c r="F58" s="157"/>
      <c r="G58" s="157"/>
      <c r="H58" s="319"/>
      <c r="I58" s="319"/>
      <c r="J58" s="157"/>
      <c r="K58" s="157"/>
      <c r="L58" s="157"/>
    </row>
    <row r="59" spans="1:12">
      <c r="A59" s="157"/>
      <c r="B59" s="157"/>
      <c r="C59" s="157"/>
      <c r="D59" s="275"/>
      <c r="E59" s="318"/>
      <c r="F59" s="157"/>
      <c r="G59" s="157"/>
      <c r="H59" s="319"/>
      <c r="I59" s="319"/>
      <c r="J59" s="157"/>
      <c r="K59" s="157"/>
      <c r="L59" s="157"/>
    </row>
    <row r="60" spans="1:12">
      <c r="A60" s="157"/>
      <c r="B60" s="157"/>
      <c r="C60" s="157"/>
      <c r="D60" s="275"/>
      <c r="E60" s="318"/>
      <c r="F60" s="157"/>
      <c r="G60" s="157"/>
      <c r="H60" s="319"/>
      <c r="I60" s="319"/>
      <c r="J60" s="157"/>
      <c r="K60" s="157"/>
      <c r="L60" s="157"/>
    </row>
    <row r="61" spans="1:12">
      <c r="A61" s="157"/>
      <c r="B61" s="157"/>
      <c r="C61" s="157"/>
      <c r="D61" s="157"/>
      <c r="E61" s="157"/>
      <c r="F61" s="157"/>
      <c r="G61" s="157"/>
      <c r="H61" s="157"/>
      <c r="I61" s="319"/>
      <c r="J61" s="157"/>
      <c r="K61" s="157"/>
      <c r="L61" s="157"/>
    </row>
  </sheetData>
  <mergeCells count="4">
    <mergeCell ref="A1:F1"/>
    <mergeCell ref="A2:E2"/>
    <mergeCell ref="A3:E3"/>
    <mergeCell ref="H45:I45"/>
  </mergeCells>
  <pageMargins left="0.27" right="0.28999999999999998" top="0.5" bottom="0.5" header="0.5" footer="0.5"/>
  <pageSetup scale="78" orientation="landscape" horizontalDpi="4294967292"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theme="0"/>
    <pageSetUpPr fitToPage="1"/>
  </sheetPr>
  <dimension ref="A1:M410"/>
  <sheetViews>
    <sheetView zoomScaleNormal="100" workbookViewId="0">
      <pane xSplit="5" ySplit="6" topLeftCell="F378" activePane="bottomRight" state="frozen"/>
      <selection pane="topRight" activeCell="F1" sqref="F1"/>
      <selection pane="bottomLeft" activeCell="A7" sqref="A7"/>
      <selection pane="bottomRight" activeCell="J172" sqref="J172"/>
    </sheetView>
  </sheetViews>
  <sheetFormatPr defaultColWidth="9.140625" defaultRowHeight="12.75"/>
  <cols>
    <col min="1" max="1" width="8.85546875" bestFit="1" customWidth="1"/>
    <col min="2" max="2" width="54.7109375" bestFit="1" customWidth="1"/>
    <col min="3" max="3" width="15.5703125" style="18" bestFit="1" customWidth="1"/>
    <col min="4" max="4" width="14" style="41" bestFit="1" customWidth="1"/>
    <col min="5" max="5" width="17.28515625" bestFit="1" customWidth="1"/>
    <col min="6" max="6" width="22.42578125" style="1" customWidth="1"/>
    <col min="7" max="7" width="26.28515625" bestFit="1" customWidth="1"/>
    <col min="8" max="8" width="18" bestFit="1" customWidth="1"/>
    <col min="9" max="10" width="15.5703125" style="240" bestFit="1" customWidth="1"/>
    <col min="11" max="12" width="10.140625" bestFit="1" customWidth="1"/>
  </cols>
  <sheetData>
    <row r="1" spans="1:12">
      <c r="A1" s="435" t="s">
        <v>815</v>
      </c>
      <c r="B1" s="435"/>
      <c r="C1" s="435"/>
      <c r="D1" s="435"/>
      <c r="E1" s="435"/>
      <c r="F1" s="435"/>
    </row>
    <row r="2" spans="1:12">
      <c r="A2" s="435" t="s">
        <v>1437</v>
      </c>
      <c r="B2" s="435"/>
      <c r="C2" s="435"/>
      <c r="D2" s="435"/>
      <c r="E2" s="435"/>
      <c r="F2" s="435"/>
    </row>
    <row r="3" spans="1:12">
      <c r="A3" s="435" t="str">
        <f>'FL+AZ - RM'!A3</f>
        <v>As of July 31st 2025</v>
      </c>
      <c r="B3" s="435"/>
      <c r="C3" s="435"/>
      <c r="D3" s="435"/>
      <c r="E3" s="435"/>
      <c r="F3" s="435"/>
    </row>
    <row r="5" spans="1:12">
      <c r="A5" s="5" t="s">
        <v>1438</v>
      </c>
      <c r="B5" s="5"/>
      <c r="C5" s="74"/>
      <c r="D5" s="39" t="s">
        <v>1439</v>
      </c>
      <c r="E5" s="5" t="s">
        <v>822</v>
      </c>
      <c r="F5" s="5" t="s">
        <v>822</v>
      </c>
    </row>
    <row r="6" spans="1:12" ht="26.25" thickBot="1">
      <c r="A6" s="7" t="s">
        <v>1440</v>
      </c>
      <c r="B6" s="7" t="s">
        <v>4</v>
      </c>
      <c r="C6" s="75" t="s">
        <v>1441</v>
      </c>
      <c r="D6" s="40" t="s">
        <v>1442</v>
      </c>
      <c r="E6" s="7" t="s">
        <v>817</v>
      </c>
      <c r="F6" s="7" t="s">
        <v>1443</v>
      </c>
      <c r="G6" s="19" t="s">
        <v>2797</v>
      </c>
      <c r="H6" s="19" t="s">
        <v>1445</v>
      </c>
      <c r="I6" s="342" t="s">
        <v>1446</v>
      </c>
      <c r="J6" s="325" t="s">
        <v>1447</v>
      </c>
      <c r="K6" s="19"/>
      <c r="L6" s="19"/>
    </row>
    <row r="7" spans="1:12">
      <c r="A7" s="4">
        <v>34</v>
      </c>
      <c r="B7" t="s">
        <v>1448</v>
      </c>
      <c r="C7" s="229">
        <f>IFERROR(GETPIVOTDATA("Sum of qty",PT!$A$17,"product",A7,"FL/AZ","AZ"),0)</f>
        <v>0</v>
      </c>
      <c r="D7" s="125">
        <v>1.5</v>
      </c>
      <c r="E7" s="18">
        <f>C7*D7</f>
        <v>0</v>
      </c>
      <c r="F7" s="2">
        <f>E7</f>
        <v>0</v>
      </c>
      <c r="G7" s="1">
        <f>IFERROR(VLOOKUP(ROUND(A7,0),'[2]Alameda Capitalization'!$A:$M,13,0),0)</f>
        <v>0</v>
      </c>
      <c r="H7" s="2">
        <f>G7*C7</f>
        <v>0</v>
      </c>
      <c r="I7" s="326">
        <f>C7-IFERROR(VLOOKUP(A7,'[1]AZ DL&amp;OH FG'!$A:$F,3,0),0)</f>
        <v>0</v>
      </c>
      <c r="J7" s="326">
        <f>I7*D7</f>
        <v>0</v>
      </c>
      <c r="K7" s="2"/>
      <c r="L7" s="2"/>
    </row>
    <row r="8" spans="1:12">
      <c r="A8" s="4">
        <v>40</v>
      </c>
      <c r="B8" t="s">
        <v>1449</v>
      </c>
      <c r="C8" s="229">
        <f>IFERROR(GETPIVOTDATA("Sum of qty",PT!$A$17,"product",A8,"FL/AZ","AZ"),0)</f>
        <v>0</v>
      </c>
      <c r="D8" s="125">
        <v>1.5</v>
      </c>
      <c r="E8" s="18">
        <f t="shared" ref="E8:E109" si="0">C8*D8</f>
        <v>0</v>
      </c>
      <c r="G8" s="1">
        <f>IFERROR(VLOOKUP(ROUND(A8,0),'[2]Alameda Capitalization'!$A:$M,13,0),0)</f>
        <v>0</v>
      </c>
      <c r="H8" s="2">
        <f t="shared" ref="H8:H78" si="1">G8*C8</f>
        <v>0</v>
      </c>
      <c r="I8" s="326">
        <f>C8-IFERROR(VLOOKUP(A8,'[1]AZ DL&amp;OH FG'!$A:$F,3,0),0)</f>
        <v>0</v>
      </c>
      <c r="J8" s="326">
        <f t="shared" ref="J8:J73" si="2">I8*D8</f>
        <v>0</v>
      </c>
      <c r="K8" s="2"/>
      <c r="L8" s="2"/>
    </row>
    <row r="9" spans="1:12">
      <c r="A9" s="4">
        <v>50</v>
      </c>
      <c r="B9" t="s">
        <v>1450</v>
      </c>
      <c r="C9" s="229">
        <f>IFERROR(GETPIVOTDATA("Sum of qty",PT!$A$17,"product",A9,"FL/AZ","AZ"),0)</f>
        <v>0</v>
      </c>
      <c r="D9" s="125">
        <v>4</v>
      </c>
      <c r="E9" s="18">
        <f t="shared" si="0"/>
        <v>0</v>
      </c>
      <c r="G9" s="1">
        <f>IFERROR(VLOOKUP(ROUND(A9,0),'[2]Alameda Capitalization'!$A:$M,13,0),0)</f>
        <v>0</v>
      </c>
      <c r="H9" s="2">
        <f t="shared" si="1"/>
        <v>0</v>
      </c>
      <c r="I9" s="326">
        <f>C9-IFERROR(VLOOKUP(A9,'[1]AZ DL&amp;OH FG'!$A:$F,3,0),0)</f>
        <v>0</v>
      </c>
      <c r="J9" s="326">
        <f t="shared" si="2"/>
        <v>0</v>
      </c>
      <c r="K9" s="2"/>
      <c r="L9" s="2"/>
    </row>
    <row r="10" spans="1:12">
      <c r="A10" s="4">
        <v>51</v>
      </c>
      <c r="B10" t="s">
        <v>1451</v>
      </c>
      <c r="C10" s="229">
        <f>IFERROR(GETPIVOTDATA("Sum of qty",PT!$A$17,"product",A10,"FL/AZ","AZ"),0)</f>
        <v>0</v>
      </c>
      <c r="D10" s="125">
        <v>4</v>
      </c>
      <c r="E10" s="18">
        <f t="shared" si="0"/>
        <v>0</v>
      </c>
      <c r="G10" s="1">
        <f>IFERROR(VLOOKUP(ROUND(A10,0),'[2]Alameda Capitalization'!$A:$M,13,0),0)</f>
        <v>0</v>
      </c>
      <c r="H10" s="2">
        <f t="shared" si="1"/>
        <v>0</v>
      </c>
      <c r="I10" s="326">
        <f>C10-IFERROR(VLOOKUP(A10,'[1]AZ DL&amp;OH FG'!$A:$F,3,0),0)</f>
        <v>0</v>
      </c>
      <c r="J10" s="326">
        <f t="shared" si="2"/>
        <v>0</v>
      </c>
      <c r="K10" s="2"/>
      <c r="L10" s="2"/>
    </row>
    <row r="11" spans="1:12">
      <c r="A11" s="4">
        <v>60</v>
      </c>
      <c r="B11" t="s">
        <v>1452</v>
      </c>
      <c r="C11" s="229">
        <f>IFERROR(GETPIVOTDATA("Sum of qty",PT!$A$17,"product",A11,"FL/AZ","AZ"),0)</f>
        <v>0</v>
      </c>
      <c r="D11" s="125">
        <v>1.5</v>
      </c>
      <c r="E11" s="18">
        <f t="shared" si="0"/>
        <v>0</v>
      </c>
      <c r="G11" s="1">
        <f>IFERROR(VLOOKUP(ROUND(A11,0),'[2]Alameda Capitalization'!$A:$M,13,0),0)</f>
        <v>0</v>
      </c>
      <c r="H11" s="2">
        <f t="shared" si="1"/>
        <v>0</v>
      </c>
      <c r="I11" s="326">
        <f>C11-IFERROR(VLOOKUP(A11,'[1]AZ DL&amp;OH FG'!$A:$F,3,0),0)</f>
        <v>0</v>
      </c>
      <c r="J11" s="326">
        <f t="shared" si="2"/>
        <v>0</v>
      </c>
      <c r="K11" s="2"/>
      <c r="L11" s="2"/>
    </row>
    <row r="12" spans="1:12">
      <c r="A12" s="4">
        <v>70</v>
      </c>
      <c r="B12" t="s">
        <v>1453</v>
      </c>
      <c r="C12" s="229">
        <f>IFERROR(GETPIVOTDATA("Sum of qty",PT!$A$17,"product",A12,"FL/AZ","AZ"),0)</f>
        <v>0</v>
      </c>
      <c r="D12" s="125">
        <v>1.5</v>
      </c>
      <c r="E12" s="18">
        <f t="shared" si="0"/>
        <v>0</v>
      </c>
      <c r="G12" s="1">
        <f>IFERROR(VLOOKUP(ROUND(A12,0),'[2]Alameda Capitalization'!$A:$M,13,0),0)</f>
        <v>0</v>
      </c>
      <c r="H12" s="2">
        <f t="shared" si="1"/>
        <v>0</v>
      </c>
      <c r="I12" s="326">
        <f>C12-IFERROR(VLOOKUP(A12,'[1]AZ DL&amp;OH FG'!$A:$F,3,0),0)</f>
        <v>0</v>
      </c>
      <c r="J12" s="326">
        <f t="shared" si="2"/>
        <v>0</v>
      </c>
      <c r="K12" s="2"/>
      <c r="L12" s="2"/>
    </row>
    <row r="13" spans="1:12">
      <c r="A13" s="4">
        <v>90</v>
      </c>
      <c r="B13" t="s">
        <v>1454</v>
      </c>
      <c r="C13" s="229">
        <f>IFERROR(GETPIVOTDATA("Sum of qty",PT!$A$17,"product",A13,"FL/AZ","AZ"),0)</f>
        <v>0</v>
      </c>
      <c r="D13" s="125">
        <v>1.5</v>
      </c>
      <c r="E13" s="18">
        <f t="shared" si="0"/>
        <v>0</v>
      </c>
      <c r="G13" s="1">
        <f>IFERROR(VLOOKUP(ROUND(A13,0),'[2]Alameda Capitalization'!$A:$M,13,0),0)</f>
        <v>0</v>
      </c>
      <c r="H13" s="2">
        <f t="shared" si="1"/>
        <v>0</v>
      </c>
      <c r="I13" s="326">
        <f>C13-IFERROR(VLOOKUP(A13,'[1]AZ DL&amp;OH FG'!$A:$F,3,0),0)</f>
        <v>0</v>
      </c>
      <c r="J13" s="326">
        <f t="shared" si="2"/>
        <v>0</v>
      </c>
      <c r="K13" s="2"/>
      <c r="L13" s="2"/>
    </row>
    <row r="14" spans="1:12">
      <c r="A14" s="4">
        <v>95</v>
      </c>
      <c r="B14" t="s">
        <v>1455</v>
      </c>
      <c r="C14" s="229">
        <f>IFERROR(GETPIVOTDATA("Sum of qty",PT!$A$17,"product",A14,"FL/AZ","AZ"),0)</f>
        <v>0</v>
      </c>
      <c r="D14" s="125">
        <v>4</v>
      </c>
      <c r="E14" s="18">
        <f t="shared" si="0"/>
        <v>0</v>
      </c>
      <c r="G14" s="1">
        <f>IFERROR(VLOOKUP(ROUND(A14,0),'[2]Alameda Capitalization'!$A:$M,13,0),0)</f>
        <v>0</v>
      </c>
      <c r="H14" s="2">
        <f t="shared" si="1"/>
        <v>0</v>
      </c>
      <c r="I14" s="326">
        <f>C14-IFERROR(VLOOKUP(A14,'[1]AZ DL&amp;OH FG'!$A:$F,3,0),0)</f>
        <v>0</v>
      </c>
      <c r="J14" s="326">
        <f t="shared" si="2"/>
        <v>0</v>
      </c>
      <c r="K14" s="2"/>
      <c r="L14" s="2"/>
    </row>
    <row r="15" spans="1:12">
      <c r="A15" s="4">
        <v>148</v>
      </c>
      <c r="B15" t="s">
        <v>1456</v>
      </c>
      <c r="C15" s="229">
        <f>IFERROR(GETPIVOTDATA("Sum of qty",PT!$A$17,"product",A15,"FL/AZ","AZ"),0)</f>
        <v>0</v>
      </c>
      <c r="D15" s="125">
        <v>1.5</v>
      </c>
      <c r="E15" s="18">
        <f t="shared" si="0"/>
        <v>0</v>
      </c>
      <c r="G15" s="1">
        <f>IFERROR(VLOOKUP(ROUND(A15,0),'[2]Alameda Capitalization'!$A:$M,13,0),0)</f>
        <v>0</v>
      </c>
      <c r="H15" s="2">
        <f t="shared" si="1"/>
        <v>0</v>
      </c>
      <c r="I15" s="326">
        <f>C15-IFERROR(VLOOKUP(A15,'[1]AZ DL&amp;OH FG'!$A:$F,3,0),0)</f>
        <v>0</v>
      </c>
      <c r="J15" s="326">
        <f t="shared" si="2"/>
        <v>0</v>
      </c>
      <c r="K15" s="2"/>
      <c r="L15" s="2"/>
    </row>
    <row r="16" spans="1:12">
      <c r="A16" s="4">
        <v>178</v>
      </c>
      <c r="B16" t="s">
        <v>1457</v>
      </c>
      <c r="C16" s="229">
        <f>IFERROR(GETPIVOTDATA("Sum of qty",PT!$A$17,"product",A16,"FL/AZ","AZ"),0)</f>
        <v>0</v>
      </c>
      <c r="D16" s="125">
        <v>1.5</v>
      </c>
      <c r="E16" s="18">
        <f t="shared" si="0"/>
        <v>0</v>
      </c>
      <c r="G16" s="1">
        <f>IFERROR(VLOOKUP(ROUND(A16,0),'[2]Alameda Capitalization'!$A:$M,13,0),0)</f>
        <v>0</v>
      </c>
      <c r="H16" s="2">
        <f t="shared" si="1"/>
        <v>0</v>
      </c>
      <c r="I16" s="326">
        <f>C16-IFERROR(VLOOKUP(A16,'[1]AZ DL&amp;OH FG'!$A:$F,3,0),0)</f>
        <v>0</v>
      </c>
      <c r="J16" s="326">
        <f t="shared" si="2"/>
        <v>0</v>
      </c>
      <c r="K16" s="2"/>
      <c r="L16" s="2"/>
    </row>
    <row r="17" spans="1:12">
      <c r="A17" s="4">
        <v>194</v>
      </c>
      <c r="B17" t="s">
        <v>1458</v>
      </c>
      <c r="C17" s="229">
        <f>IFERROR(GETPIVOTDATA("Sum of qty",PT!$A$17,"product",A17,"FL/AZ","AZ"),0)</f>
        <v>0</v>
      </c>
      <c r="D17" s="125">
        <v>1.5</v>
      </c>
      <c r="E17" s="18">
        <f t="shared" si="0"/>
        <v>0</v>
      </c>
      <c r="G17" s="1">
        <f>IFERROR(VLOOKUP(ROUND(A17,0),'[2]Alameda Capitalization'!$A:$M,13,0),0)</f>
        <v>0</v>
      </c>
      <c r="H17" s="2">
        <f t="shared" si="1"/>
        <v>0</v>
      </c>
      <c r="I17" s="326">
        <f>C17-IFERROR(VLOOKUP(A17,'[1]AZ DL&amp;OH FG'!$A:$F,3,0),0)</f>
        <v>0</v>
      </c>
      <c r="J17" s="326">
        <f t="shared" si="2"/>
        <v>0</v>
      </c>
      <c r="K17" s="2"/>
      <c r="L17" s="2"/>
    </row>
    <row r="18" spans="1:12">
      <c r="A18" s="4">
        <v>197</v>
      </c>
      <c r="B18" t="s">
        <v>413</v>
      </c>
      <c r="C18" s="229">
        <f>IFERROR(GETPIVOTDATA("Sum of qty",PT!$A$17,"product",A18,"FL/AZ","AZ"),0)</f>
        <v>156</v>
      </c>
      <c r="D18" s="125">
        <v>1.5</v>
      </c>
      <c r="E18" s="18">
        <f t="shared" si="0"/>
        <v>234</v>
      </c>
      <c r="G18" s="1">
        <f>IFERROR(VLOOKUP(ROUND(A18,0),'[2]Alameda Capitalization'!$A:$M,13,0),0)</f>
        <v>0.21739687858802001</v>
      </c>
      <c r="H18" s="2">
        <f>G18*C18</f>
        <v>33.913913059731122</v>
      </c>
      <c r="I18" s="326">
        <f>C18-IFERROR(VLOOKUP(A18,'[1]AZ DL&amp;OH FG'!$A:$F,3,0),0)</f>
        <v>1</v>
      </c>
      <c r="J18" s="326">
        <f t="shared" si="2"/>
        <v>1.5</v>
      </c>
      <c r="K18" s="2"/>
      <c r="L18" s="2"/>
    </row>
    <row r="19" spans="1:12">
      <c r="A19" s="4">
        <v>198</v>
      </c>
      <c r="B19" t="s">
        <v>511</v>
      </c>
      <c r="C19" s="229">
        <f>IFERROR(GETPIVOTDATA("Sum of qty",PT!$A$17,"product",A19,"FL/AZ","AZ"),0)</f>
        <v>116</v>
      </c>
      <c r="D19" s="125">
        <v>1.5</v>
      </c>
      <c r="E19" s="18">
        <f t="shared" ref="E19" si="3">C19*D19</f>
        <v>174</v>
      </c>
      <c r="G19" s="1">
        <f>IFERROR(VLOOKUP(ROUND(A19,0),'[2]Alameda Capitalization'!$A:$M,13,0),0)</f>
        <v>0.21739687858802001</v>
      </c>
      <c r="H19" s="2">
        <f t="shared" ref="H19" si="4">G19*C19</f>
        <v>25.218037916210321</v>
      </c>
      <c r="I19" s="326">
        <f>C19-IFERROR(VLOOKUP(A19,'[1]AZ DL&amp;OH FG'!$A:$F,3,0),0)</f>
        <v>-12</v>
      </c>
      <c r="J19" s="326">
        <f t="shared" ref="J19" si="5">I19*D19</f>
        <v>-18</v>
      </c>
      <c r="K19" s="2"/>
      <c r="L19" s="2"/>
    </row>
    <row r="20" spans="1:12">
      <c r="A20" s="4">
        <v>199</v>
      </c>
      <c r="B20" t="s">
        <v>1459</v>
      </c>
      <c r="C20" s="229">
        <f>IFERROR(GETPIVOTDATA("Sum of qty",PT!$A$17,"product",A20,"FL/AZ","AZ"),0)</f>
        <v>0</v>
      </c>
      <c r="D20" s="125">
        <v>1.5</v>
      </c>
      <c r="E20" s="18">
        <f t="shared" si="0"/>
        <v>0</v>
      </c>
      <c r="G20" s="1">
        <f>IFERROR(VLOOKUP(ROUND(A20,0),'[2]Alameda Capitalization'!$A:$M,13,0),0)</f>
        <v>0</v>
      </c>
      <c r="H20" s="2">
        <f t="shared" si="1"/>
        <v>0</v>
      </c>
      <c r="I20" s="326">
        <f>C20-IFERROR(VLOOKUP(A20,'[1]AZ DL&amp;OH FG'!$A:$F,3,0),0)</f>
        <v>0</v>
      </c>
      <c r="J20" s="326">
        <f t="shared" si="2"/>
        <v>0</v>
      </c>
      <c r="K20" s="2"/>
      <c r="L20" s="2"/>
    </row>
    <row r="21" spans="1:12">
      <c r="A21" s="163">
        <v>1070</v>
      </c>
      <c r="B21" t="s">
        <v>1460</v>
      </c>
      <c r="C21" s="229">
        <f>IFERROR(GETPIVOTDATA("Sum of qty",PT!$A$17,"product",A21,"FL/AZ","AZ"),0)</f>
        <v>0</v>
      </c>
      <c r="D21" s="125">
        <v>2.88</v>
      </c>
      <c r="E21" s="18">
        <f>C21*D21</f>
        <v>0</v>
      </c>
      <c r="G21" s="1">
        <f>IFERROR(VLOOKUP(ROUND(A21,0),'[2]Alameda Capitalization'!$A:$M,13,0),0)</f>
        <v>0</v>
      </c>
      <c r="H21" s="2">
        <f t="shared" ref="H21" si="6">G21*C21</f>
        <v>0</v>
      </c>
      <c r="I21" s="326">
        <f>C21-IFERROR(VLOOKUP(A21,'[1]AZ DL&amp;OH FG'!$A:$F,3,0),0)</f>
        <v>0</v>
      </c>
      <c r="J21" s="326">
        <f t="shared" si="2"/>
        <v>0</v>
      </c>
      <c r="K21" s="2"/>
      <c r="L21" s="2"/>
    </row>
    <row r="22" spans="1:12">
      <c r="A22" s="163">
        <v>1142</v>
      </c>
      <c r="B22" t="s">
        <v>1461</v>
      </c>
      <c r="C22" s="229">
        <f>IFERROR(GETPIVOTDATA("Sum of qty",PT!$A$17,"product",A22,"FL/AZ","AZ"),0)</f>
        <v>0</v>
      </c>
      <c r="D22" s="125">
        <v>2.88</v>
      </c>
      <c r="E22" s="18">
        <f>C22*D22</f>
        <v>0</v>
      </c>
      <c r="G22" s="1">
        <f>IFERROR(VLOOKUP(ROUND(A22,0),'[2]Alameda Capitalization'!$A:$M,13,0),0)</f>
        <v>0</v>
      </c>
      <c r="H22" s="2">
        <f t="shared" ref="H22" si="7">G22*C22</f>
        <v>0</v>
      </c>
      <c r="I22" s="326">
        <f>C22-IFERROR(VLOOKUP(A22,'[1]AZ DL&amp;OH FG'!$A:$F,3,0),0)</f>
        <v>0</v>
      </c>
      <c r="J22" s="326">
        <f t="shared" si="2"/>
        <v>0</v>
      </c>
      <c r="K22" s="2"/>
      <c r="L22" s="2"/>
    </row>
    <row r="23" spans="1:12">
      <c r="A23" s="163">
        <v>1115</v>
      </c>
      <c r="B23" t="s">
        <v>1462</v>
      </c>
      <c r="C23" s="229">
        <f>IFERROR(GETPIVOTDATA("Sum of qty",PT!$A$17,"product",A23,"FL/AZ","AZ"),0)</f>
        <v>0</v>
      </c>
      <c r="D23" s="125">
        <v>1.5</v>
      </c>
      <c r="E23" s="18">
        <f t="shared" ref="E23" si="8">C23*D23</f>
        <v>0</v>
      </c>
      <c r="G23" s="1">
        <f>IFERROR(VLOOKUP(ROUND(A23,0),'[2]Alameda Capitalization'!$A:$M,13,0),0)</f>
        <v>0</v>
      </c>
      <c r="H23" s="2">
        <f t="shared" si="1"/>
        <v>0</v>
      </c>
      <c r="I23" s="326">
        <f>C23-IFERROR(VLOOKUP(A23,'[1]AZ DL&amp;OH FG'!$A:$F,3,0),0)</f>
        <v>0</v>
      </c>
      <c r="J23" s="326">
        <f t="shared" si="2"/>
        <v>0</v>
      </c>
      <c r="K23" s="2"/>
      <c r="L23" s="2"/>
    </row>
    <row r="24" spans="1:12">
      <c r="A24" s="4">
        <v>1201</v>
      </c>
      <c r="B24" t="s">
        <v>1463</v>
      </c>
      <c r="C24" s="229">
        <f>IFERROR(GETPIVOTDATA("Sum of qty",PT!$A$17,"product",A24,"FL/AZ","AZ"),0)</f>
        <v>0</v>
      </c>
      <c r="D24" s="125">
        <v>0.17125000000000001</v>
      </c>
      <c r="E24" s="18">
        <f t="shared" si="0"/>
        <v>0</v>
      </c>
      <c r="G24" s="1">
        <f>IFERROR(VLOOKUP(ROUND(A24,0),'[2]Alameda Capitalization'!$A:$M,13,0),0)</f>
        <v>0</v>
      </c>
      <c r="H24" s="2">
        <f t="shared" si="1"/>
        <v>0</v>
      </c>
      <c r="I24" s="326">
        <f>C24-IFERROR(VLOOKUP(A24,'[1]AZ DL&amp;OH FG'!$A:$F,3,0),0)</f>
        <v>0</v>
      </c>
      <c r="J24" s="326">
        <f t="shared" si="2"/>
        <v>0</v>
      </c>
      <c r="K24" s="2"/>
      <c r="L24" s="2"/>
    </row>
    <row r="25" spans="1:12">
      <c r="A25" s="4">
        <v>1204</v>
      </c>
      <c r="B25" t="s">
        <v>1464</v>
      </c>
      <c r="C25" s="229">
        <f>IFERROR(GETPIVOTDATA("Sum of qty",PT!$A$17,"product",A25,"FL/AZ","AZ"),0)</f>
        <v>0</v>
      </c>
      <c r="D25" s="125">
        <v>0.17125000000000001</v>
      </c>
      <c r="E25" s="18">
        <f t="shared" si="0"/>
        <v>0</v>
      </c>
      <c r="G25" s="1">
        <f>IFERROR(VLOOKUP(ROUND(A25,0),'[2]Alameda Capitalization'!$A:$M,13,0),0)</f>
        <v>0</v>
      </c>
      <c r="H25" s="2">
        <f t="shared" si="1"/>
        <v>0</v>
      </c>
      <c r="I25" s="326">
        <f>C25-IFERROR(VLOOKUP(A25,'[1]AZ DL&amp;OH FG'!$A:$F,3,0),0)</f>
        <v>0</v>
      </c>
      <c r="J25" s="326">
        <f t="shared" si="2"/>
        <v>0</v>
      </c>
      <c r="K25" s="2"/>
      <c r="L25" s="2"/>
    </row>
    <row r="26" spans="1:12">
      <c r="A26" s="4">
        <v>1205</v>
      </c>
      <c r="B26" t="s">
        <v>1465</v>
      </c>
      <c r="C26" s="229">
        <f>IFERROR(GETPIVOTDATA("Sum of qty",PT!$A$17,"product",A26,"FL/AZ","AZ"),0)</f>
        <v>0</v>
      </c>
      <c r="D26" s="125">
        <v>0.17125000000000001</v>
      </c>
      <c r="E26" s="18">
        <f t="shared" si="0"/>
        <v>0</v>
      </c>
      <c r="G26" s="1">
        <f>IFERROR(VLOOKUP(ROUND(A26,0),'[2]Alameda Capitalization'!$A:$M,13,0),0)</f>
        <v>0</v>
      </c>
      <c r="H26" s="2">
        <f t="shared" si="1"/>
        <v>0</v>
      </c>
      <c r="I26" s="326">
        <f>C26-IFERROR(VLOOKUP(A26,'[1]AZ DL&amp;OH FG'!$A:$F,3,0),0)</f>
        <v>0</v>
      </c>
      <c r="J26" s="326">
        <f t="shared" si="2"/>
        <v>0</v>
      </c>
      <c r="K26" s="2"/>
      <c r="L26" s="2"/>
    </row>
    <row r="27" spans="1:12">
      <c r="A27" s="4">
        <v>1206</v>
      </c>
      <c r="B27" t="s">
        <v>1466</v>
      </c>
      <c r="C27" s="229">
        <f>IFERROR(GETPIVOTDATA("Sum of qty",PT!$A$17,"product",A27,"FL/AZ","AZ"),0)</f>
        <v>0</v>
      </c>
      <c r="D27" s="125">
        <v>0.17125000000000001</v>
      </c>
      <c r="E27" s="18">
        <f t="shared" si="0"/>
        <v>0</v>
      </c>
      <c r="G27" s="1">
        <f>IFERROR(VLOOKUP(ROUND(A27,0),'[2]Alameda Capitalization'!$A:$M,13,0),0)</f>
        <v>0</v>
      </c>
      <c r="H27" s="2">
        <f t="shared" si="1"/>
        <v>0</v>
      </c>
      <c r="I27" s="326">
        <f>C27-IFERROR(VLOOKUP(A27,'[1]AZ DL&amp;OH FG'!$A:$F,3,0),0)</f>
        <v>0</v>
      </c>
      <c r="J27" s="326">
        <f t="shared" si="2"/>
        <v>0</v>
      </c>
      <c r="K27" s="2"/>
      <c r="L27" s="2"/>
    </row>
    <row r="28" spans="1:12">
      <c r="A28" s="244">
        <v>1300</v>
      </c>
      <c r="B28" t="s">
        <v>1467</v>
      </c>
      <c r="C28" s="229">
        <f>IFERROR(GETPIVOTDATA("Sum of qty",PT!$A$17,"product",A28,"FL/AZ","AZ"),0)</f>
        <v>0</v>
      </c>
      <c r="D28" s="125">
        <v>48</v>
      </c>
      <c r="E28" s="18">
        <f t="shared" ref="E28:E31" si="9">C28*D28</f>
        <v>0</v>
      </c>
      <c r="G28" s="1">
        <f>IFERROR(VLOOKUP(ROUND(A28,0),'[2]Alameda Capitalization'!$A:$M,13,0),0)</f>
        <v>0</v>
      </c>
      <c r="H28" s="2">
        <f t="shared" si="1"/>
        <v>0</v>
      </c>
      <c r="I28" s="326">
        <f>C28-IFERROR(VLOOKUP(A28,'[1]AZ DL&amp;OH FG'!$A:$F,3,0),0)</f>
        <v>0</v>
      </c>
      <c r="J28" s="326">
        <f t="shared" si="2"/>
        <v>0</v>
      </c>
      <c r="K28" s="2"/>
      <c r="L28" s="2"/>
    </row>
    <row r="29" spans="1:12">
      <c r="A29" s="244">
        <v>1301</v>
      </c>
      <c r="B29" t="s">
        <v>1468</v>
      </c>
      <c r="C29" s="229">
        <f>IFERROR(GETPIVOTDATA("Sum of qty",PT!$A$17,"product",A29,"FL/AZ","AZ"),0)</f>
        <v>0</v>
      </c>
      <c r="D29" s="125">
        <v>48</v>
      </c>
      <c r="E29" s="18">
        <f t="shared" si="9"/>
        <v>0</v>
      </c>
      <c r="G29" s="1">
        <f>IFERROR(VLOOKUP(ROUND(A29,0),'[2]Alameda Capitalization'!$A:$M,13,0),0)</f>
        <v>0</v>
      </c>
      <c r="H29" s="2">
        <f t="shared" si="1"/>
        <v>0</v>
      </c>
      <c r="I29" s="326">
        <f>C29-IFERROR(VLOOKUP(A29,'[1]AZ DL&amp;OH FG'!$A:$F,3,0),0)</f>
        <v>0</v>
      </c>
      <c r="J29" s="326">
        <f t="shared" si="2"/>
        <v>0</v>
      </c>
      <c r="K29" s="2"/>
      <c r="L29" s="2"/>
    </row>
    <row r="30" spans="1:12">
      <c r="A30" s="244">
        <v>1302</v>
      </c>
      <c r="B30" t="s">
        <v>1469</v>
      </c>
      <c r="C30" s="229">
        <f>IFERROR(GETPIVOTDATA("Sum of qty",PT!$A$17,"product",A30,"FL/AZ","AZ"),0)</f>
        <v>0</v>
      </c>
      <c r="D30" s="125">
        <v>48</v>
      </c>
      <c r="E30" s="18">
        <f t="shared" si="9"/>
        <v>0</v>
      </c>
      <c r="G30" s="1">
        <f>IFERROR(VLOOKUP(ROUND(A30,0),'[2]Alameda Capitalization'!$A:$M,13,0),0)</f>
        <v>0</v>
      </c>
      <c r="H30" s="2">
        <f t="shared" si="1"/>
        <v>0</v>
      </c>
      <c r="I30" s="326">
        <f>C30-IFERROR(VLOOKUP(A30,'[1]AZ DL&amp;OH FG'!$A:$F,3,0),0)</f>
        <v>0</v>
      </c>
      <c r="J30" s="326">
        <f t="shared" si="2"/>
        <v>0</v>
      </c>
      <c r="K30" s="2"/>
      <c r="L30" s="2"/>
    </row>
    <row r="31" spans="1:12">
      <c r="A31" s="244">
        <v>1390</v>
      </c>
      <c r="B31" t="s">
        <v>287</v>
      </c>
      <c r="C31" s="229">
        <f>IFERROR(GETPIVOTDATA("Sum of qty",PT!$A$17,"product",A31,"FL/AZ","AZ"),0)</f>
        <v>0</v>
      </c>
      <c r="D31" s="125">
        <v>48</v>
      </c>
      <c r="E31" s="18">
        <f t="shared" si="9"/>
        <v>0</v>
      </c>
      <c r="G31" s="1">
        <f>IFERROR(VLOOKUP(ROUND(A31,0),'[2]Alameda Capitalization'!$A:$M,13,0),0)</f>
        <v>33.913913059731122</v>
      </c>
      <c r="H31" s="2">
        <f t="shared" si="1"/>
        <v>0</v>
      </c>
      <c r="I31" s="326">
        <f>C31-IFERROR(VLOOKUP(A31,'[1]AZ DL&amp;OH FG'!$A:$F,3,0),0)</f>
        <v>0</v>
      </c>
      <c r="J31" s="326">
        <f t="shared" si="2"/>
        <v>0</v>
      </c>
      <c r="K31" s="2"/>
      <c r="L31" s="2"/>
    </row>
    <row r="32" spans="1:12">
      <c r="A32" s="163">
        <v>1391</v>
      </c>
      <c r="B32" t="s">
        <v>477</v>
      </c>
      <c r="C32" s="229">
        <f>IFERROR(GETPIVOTDATA("Sum of qty",PT!$A$17,"product",A32,"FL/AZ","AZ"),0)</f>
        <v>0</v>
      </c>
      <c r="D32" s="125">
        <v>48</v>
      </c>
      <c r="E32" s="18">
        <f t="shared" ref="E32" si="10">C32*D32</f>
        <v>0</v>
      </c>
      <c r="G32" s="1">
        <f>IFERROR(VLOOKUP(ROUND(A32,0),'[2]Alameda Capitalization'!$A:$M,13,0),0)</f>
        <v>33.913913059731122</v>
      </c>
      <c r="H32" s="2">
        <f t="shared" ref="H32" si="11">G32*C32</f>
        <v>0</v>
      </c>
      <c r="I32" s="326">
        <f>C32-IFERROR(VLOOKUP(A32,'[1]AZ DL&amp;OH FG'!$A:$F,3,0),0)</f>
        <v>0</v>
      </c>
      <c r="J32" s="326">
        <f t="shared" si="2"/>
        <v>0</v>
      </c>
      <c r="K32" s="2"/>
      <c r="L32" s="2"/>
    </row>
    <row r="33" spans="1:12" s="245" customFormat="1">
      <c r="A33" s="4">
        <v>1701</v>
      </c>
      <c r="B33" s="245" t="s">
        <v>164</v>
      </c>
      <c r="C33" s="229">
        <f>IFERROR(GETPIVOTDATA("Sum of qty",PT!$A$17,"product",A33,"FL/AZ","AZ"),0)</f>
        <v>1589</v>
      </c>
      <c r="D33" s="125">
        <v>1.5</v>
      </c>
      <c r="E33" s="18">
        <f t="shared" ref="E33" si="12">C33*D33</f>
        <v>2383.5</v>
      </c>
      <c r="F33" s="281">
        <f>E33</f>
        <v>2383.5</v>
      </c>
      <c r="G33" s="1">
        <f>IFERROR(VLOOKUP(ROUND(A33,0),'[2]Alameda Capitalization'!$A:$M,13,0),0)</f>
        <v>0.34783500574083204</v>
      </c>
      <c r="H33" s="2">
        <f>G33*C33</f>
        <v>552.70982412218211</v>
      </c>
      <c r="I33" s="326">
        <f>C33-IFERROR(VLOOKUP(A33,'[1]AZ DL&amp;OH FG'!$A:$F,3,0),0)</f>
        <v>-1574</v>
      </c>
      <c r="J33" s="326">
        <f t="shared" si="2"/>
        <v>-2361</v>
      </c>
      <c r="K33" s="2"/>
      <c r="L33" s="2"/>
    </row>
    <row r="34" spans="1:12">
      <c r="A34" s="4">
        <v>1901</v>
      </c>
      <c r="B34" t="s">
        <v>1470</v>
      </c>
      <c r="C34" s="229">
        <f>IFERROR(GETPIVOTDATA("Sum of qty",PT!$A$17,"product",A34,"FL/AZ","AZ"),0)</f>
        <v>0</v>
      </c>
      <c r="D34" s="125">
        <v>2.88</v>
      </c>
      <c r="E34" s="18">
        <f t="shared" si="0"/>
        <v>0</v>
      </c>
      <c r="F34" s="2">
        <f>E34</f>
        <v>0</v>
      </c>
      <c r="G34" s="1">
        <f>IFERROR(VLOOKUP(ROUND(A34,0),'[2]Alameda Capitalization'!$A:$M,13,0),0)</f>
        <v>0</v>
      </c>
      <c r="H34" s="2">
        <f t="shared" si="1"/>
        <v>0</v>
      </c>
      <c r="I34" s="326">
        <f>C34-IFERROR(VLOOKUP(A34,'[1]AZ DL&amp;OH FG'!$A:$F,3,0),0)</f>
        <v>0</v>
      </c>
      <c r="J34" s="326">
        <f t="shared" si="2"/>
        <v>0</v>
      </c>
      <c r="K34" s="2"/>
      <c r="L34" s="2"/>
    </row>
    <row r="35" spans="1:12">
      <c r="A35" s="4">
        <v>1903</v>
      </c>
      <c r="B35" t="s">
        <v>1471</v>
      </c>
      <c r="C35" s="229">
        <f>IFERROR(GETPIVOTDATA("Sum of qty",PT!$A$17,"product",A35,"FL/AZ","AZ"),0)</f>
        <v>0</v>
      </c>
      <c r="D35" s="125">
        <v>2.88</v>
      </c>
      <c r="E35" s="18">
        <f t="shared" si="0"/>
        <v>0</v>
      </c>
      <c r="G35" s="1">
        <f>IFERROR(VLOOKUP(ROUND(A35,0),'[2]Alameda Capitalization'!$A:$M,13,0),0)</f>
        <v>0</v>
      </c>
      <c r="H35" s="2">
        <f t="shared" si="1"/>
        <v>0</v>
      </c>
      <c r="I35" s="326">
        <f>C35-IFERROR(VLOOKUP(A35,'[1]AZ DL&amp;OH FG'!$A:$F,3,0),0)</f>
        <v>0</v>
      </c>
      <c r="J35" s="326">
        <f t="shared" si="2"/>
        <v>0</v>
      </c>
      <c r="K35" s="2"/>
      <c r="L35" s="2"/>
    </row>
    <row r="36" spans="1:12">
      <c r="A36" s="4">
        <v>1904</v>
      </c>
      <c r="B36" t="s">
        <v>1472</v>
      </c>
      <c r="C36" s="229">
        <f>IFERROR(GETPIVOTDATA("Sum of qty",PT!$A$17,"product",A36,"FL/AZ","AZ"),0)</f>
        <v>0</v>
      </c>
      <c r="D36" s="125">
        <v>2.88</v>
      </c>
      <c r="E36" s="18">
        <f t="shared" si="0"/>
        <v>0</v>
      </c>
      <c r="G36" s="1">
        <f>IFERROR(VLOOKUP(ROUND(A36,0),'[2]Alameda Capitalization'!$A:$M,13,0),0)</f>
        <v>0</v>
      </c>
      <c r="H36" s="2">
        <f t="shared" si="1"/>
        <v>0</v>
      </c>
      <c r="I36" s="326">
        <f>C36-IFERROR(VLOOKUP(A36,'[1]AZ DL&amp;OH FG'!$A:$F,3,0),0)</f>
        <v>0</v>
      </c>
      <c r="J36" s="326">
        <f t="shared" si="2"/>
        <v>0</v>
      </c>
      <c r="K36" s="2"/>
      <c r="L36" s="2"/>
    </row>
    <row r="37" spans="1:12">
      <c r="A37" s="4">
        <v>1905</v>
      </c>
      <c r="B37" t="s">
        <v>1473</v>
      </c>
      <c r="C37" s="229">
        <f>IFERROR(GETPIVOTDATA("Sum of qty",PT!$A$17,"product",A37,"FL/AZ","AZ"),0)</f>
        <v>0</v>
      </c>
      <c r="D37" s="125">
        <v>2.88</v>
      </c>
      <c r="E37" s="18">
        <f t="shared" si="0"/>
        <v>0</v>
      </c>
      <c r="G37" s="1">
        <f>IFERROR(VLOOKUP(ROUND(A37,0),'[2]Alameda Capitalization'!$A:$M,13,0),0)</f>
        <v>0</v>
      </c>
      <c r="H37" s="2">
        <f t="shared" si="1"/>
        <v>0</v>
      </c>
      <c r="I37" s="326">
        <f>C37-IFERROR(VLOOKUP(A37,'[1]AZ DL&amp;OH FG'!$A:$F,3,0),0)</f>
        <v>0</v>
      </c>
      <c r="J37" s="326">
        <f t="shared" si="2"/>
        <v>0</v>
      </c>
      <c r="K37" s="2"/>
      <c r="L37" s="2"/>
    </row>
    <row r="38" spans="1:12">
      <c r="A38" s="4">
        <v>1907</v>
      </c>
      <c r="B38" t="s">
        <v>1474</v>
      </c>
      <c r="C38" s="229">
        <f>IFERROR(GETPIVOTDATA("Sum of qty",PT!$A$17,"product",A38,"FL/AZ","AZ"),0)</f>
        <v>0</v>
      </c>
      <c r="D38" s="125">
        <v>3</v>
      </c>
      <c r="E38" s="18">
        <f t="shared" si="0"/>
        <v>0</v>
      </c>
      <c r="G38" s="1">
        <f>IFERROR(VLOOKUP(ROUND(A38,0),'[2]Alameda Capitalization'!$A:$M,13,0),0)</f>
        <v>0</v>
      </c>
      <c r="H38" s="2">
        <f t="shared" si="1"/>
        <v>0</v>
      </c>
      <c r="I38" s="326">
        <f>C38-IFERROR(VLOOKUP(A38,'[1]AZ DL&amp;OH FG'!$A:$F,3,0),0)</f>
        <v>0</v>
      </c>
      <c r="J38" s="326">
        <f t="shared" si="2"/>
        <v>0</v>
      </c>
      <c r="K38" s="2"/>
      <c r="L38" s="2"/>
    </row>
    <row r="39" spans="1:12">
      <c r="A39" s="4">
        <v>1909</v>
      </c>
      <c r="B39" t="s">
        <v>1475</v>
      </c>
      <c r="C39" s="229">
        <f>IFERROR(GETPIVOTDATA("Sum of qty",PT!$A$17,"product",A39,"FL/AZ","AZ"),0)</f>
        <v>0</v>
      </c>
      <c r="D39" s="125">
        <v>3</v>
      </c>
      <c r="E39" s="18">
        <f t="shared" si="0"/>
        <v>0</v>
      </c>
      <c r="G39" s="1">
        <f>IFERROR(VLOOKUP(ROUND(A39,0),'[2]Alameda Capitalization'!$A:$M,13,0),0)</f>
        <v>0</v>
      </c>
      <c r="H39" s="2">
        <f t="shared" si="1"/>
        <v>0</v>
      </c>
      <c r="I39" s="326">
        <f>C39-IFERROR(VLOOKUP(A39,'[1]AZ DL&amp;OH FG'!$A:$F,3,0),0)</f>
        <v>0</v>
      </c>
      <c r="J39" s="326">
        <f t="shared" si="2"/>
        <v>0</v>
      </c>
      <c r="K39" s="2"/>
      <c r="L39" s="2"/>
    </row>
    <row r="40" spans="1:12">
      <c r="A40" s="4">
        <v>1910</v>
      </c>
      <c r="B40" t="s">
        <v>1476</v>
      </c>
      <c r="C40" s="229">
        <f>IFERROR(GETPIVOTDATA("Sum of qty",PT!$A$17,"product",A40,"FL/AZ","AZ"),0)</f>
        <v>0</v>
      </c>
      <c r="D40" s="125">
        <v>2.88</v>
      </c>
      <c r="E40" s="18">
        <f t="shared" si="0"/>
        <v>0</v>
      </c>
      <c r="F40" s="2">
        <f>E40</f>
        <v>0</v>
      </c>
      <c r="G40" s="1">
        <f>IFERROR(VLOOKUP(ROUND(A40,0),'[2]Alameda Capitalization'!$A:$M,13,0),0)</f>
        <v>0</v>
      </c>
      <c r="H40" s="2">
        <f t="shared" si="1"/>
        <v>0</v>
      </c>
      <c r="I40" s="326">
        <f>C40-IFERROR(VLOOKUP(A40,'[1]AZ DL&amp;OH FG'!$A:$F,3,0),0)</f>
        <v>0</v>
      </c>
      <c r="J40" s="326">
        <f t="shared" si="2"/>
        <v>0</v>
      </c>
      <c r="K40" s="2"/>
      <c r="L40" s="2"/>
    </row>
    <row r="41" spans="1:12">
      <c r="A41" s="4">
        <v>1911</v>
      </c>
      <c r="B41" t="s">
        <v>1477</v>
      </c>
      <c r="C41" s="229">
        <f>IFERROR(GETPIVOTDATA("Sum of qty",PT!$A$17,"product",A41,"FL/AZ","AZ"),0)</f>
        <v>0</v>
      </c>
      <c r="D41" s="125">
        <v>3</v>
      </c>
      <c r="E41" s="18">
        <f t="shared" si="0"/>
        <v>0</v>
      </c>
      <c r="F41" s="2">
        <f>E41</f>
        <v>0</v>
      </c>
      <c r="G41" s="1">
        <f>IFERROR(VLOOKUP(ROUND(A41,0),'[2]Alameda Capitalization'!$A:$M,13,0),0)</f>
        <v>0</v>
      </c>
      <c r="H41" s="2">
        <f t="shared" si="1"/>
        <v>0</v>
      </c>
      <c r="I41" s="326">
        <f>C41-IFERROR(VLOOKUP(A41,'[1]AZ DL&amp;OH FG'!$A:$F,3,0),0)</f>
        <v>0</v>
      </c>
      <c r="J41" s="326">
        <f t="shared" si="2"/>
        <v>0</v>
      </c>
      <c r="K41" s="2"/>
      <c r="L41" s="2"/>
    </row>
    <row r="42" spans="1:12">
      <c r="A42" s="4">
        <v>1912</v>
      </c>
      <c r="B42" t="s">
        <v>1478</v>
      </c>
      <c r="C42" s="229">
        <f>IFERROR(GETPIVOTDATA("Sum of qty",PT!$A$17,"product",A42,"FL/AZ","AZ"),0)</f>
        <v>0</v>
      </c>
      <c r="D42" s="125">
        <v>4</v>
      </c>
      <c r="E42" s="18">
        <f t="shared" si="0"/>
        <v>0</v>
      </c>
      <c r="F42" s="2">
        <f>E42</f>
        <v>0</v>
      </c>
      <c r="G42" s="1">
        <f>IFERROR(VLOOKUP(ROUND(A42,0),'[2]Alameda Capitalization'!$A:$M,13,0),0)</f>
        <v>0</v>
      </c>
      <c r="H42" s="2">
        <f t="shared" si="1"/>
        <v>0</v>
      </c>
      <c r="I42" s="326">
        <f>C42-IFERROR(VLOOKUP(A42,'[1]AZ DL&amp;OH FG'!$A:$F,3,0),0)</f>
        <v>0</v>
      </c>
      <c r="J42" s="326">
        <f t="shared" si="2"/>
        <v>0</v>
      </c>
      <c r="K42" s="2"/>
      <c r="L42" s="2"/>
    </row>
    <row r="43" spans="1:12">
      <c r="A43" s="4">
        <v>1914</v>
      </c>
      <c r="B43" t="s">
        <v>1479</v>
      </c>
      <c r="C43" s="229">
        <f>IFERROR(GETPIVOTDATA("Sum of qty",PT!$A$17,"product",A43,"FL/AZ","AZ"),0)</f>
        <v>0</v>
      </c>
      <c r="D43" s="125">
        <v>1.4410000000000001</v>
      </c>
      <c r="E43" s="18">
        <f t="shared" si="0"/>
        <v>0</v>
      </c>
      <c r="F43" s="2">
        <f>E43</f>
        <v>0</v>
      </c>
      <c r="G43" s="1">
        <f>IFERROR(VLOOKUP(ROUND(A43,0),'[2]Alameda Capitalization'!$A:$M,13,0),0)</f>
        <v>0</v>
      </c>
      <c r="H43" s="2">
        <f t="shared" si="1"/>
        <v>0</v>
      </c>
      <c r="I43" s="326">
        <f>C43-IFERROR(VLOOKUP(A43,'[1]AZ DL&amp;OH FG'!$A:$F,3,0),0)</f>
        <v>0</v>
      </c>
      <c r="J43" s="326">
        <f t="shared" si="2"/>
        <v>0</v>
      </c>
      <c r="K43" s="2"/>
      <c r="L43" s="2"/>
    </row>
    <row r="44" spans="1:12">
      <c r="A44" s="4">
        <v>1953</v>
      </c>
      <c r="B44" t="s">
        <v>1480</v>
      </c>
      <c r="C44" s="229">
        <f>IFERROR(GETPIVOTDATA("Sum of qty",PT!$A$17,"product",A44,"FL/AZ","AZ"),0)</f>
        <v>0</v>
      </c>
      <c r="D44" s="125">
        <f>60.5*6/128</f>
        <v>2.8359375</v>
      </c>
      <c r="E44" s="18">
        <f>C44*D44</f>
        <v>0</v>
      </c>
      <c r="F44" s="2">
        <f>E44</f>
        <v>0</v>
      </c>
      <c r="G44" s="1">
        <f>IFERROR(VLOOKUP(ROUND(A44,0),'[2]Alameda Capitalization'!$A:$M,13,0),0)</f>
        <v>0.34783500574083204</v>
      </c>
      <c r="H44" s="2">
        <f t="shared" si="1"/>
        <v>0</v>
      </c>
      <c r="I44" s="326">
        <f>C44-IFERROR(VLOOKUP(A44,'[1]AZ DL&amp;OH FG'!$A:$F,3,0),0)</f>
        <v>0</v>
      </c>
      <c r="J44" s="326">
        <f t="shared" si="2"/>
        <v>0</v>
      </c>
      <c r="K44" s="2"/>
      <c r="L44" s="2"/>
    </row>
    <row r="45" spans="1:12">
      <c r="A45" s="4">
        <v>2375</v>
      </c>
      <c r="B45" t="s">
        <v>1481</v>
      </c>
      <c r="C45" s="229">
        <f>IFERROR(GETPIVOTDATA("Sum of qty",PT!$A$17,"product",A45,"FL/AZ","AZ"),0)</f>
        <v>0</v>
      </c>
      <c r="D45" s="125">
        <v>0</v>
      </c>
      <c r="E45" s="18">
        <f t="shared" si="0"/>
        <v>0</v>
      </c>
      <c r="G45" s="1">
        <f>IFERROR(VLOOKUP(ROUND(A45,0),'[2]Alameda Capitalization'!$A:$M,13,0),0)</f>
        <v>0</v>
      </c>
      <c r="H45" s="2">
        <f t="shared" si="1"/>
        <v>0</v>
      </c>
      <c r="I45" s="326">
        <f>C45-IFERROR(VLOOKUP(A45,'[1]AZ DL&amp;OH FG'!$A:$F,3,0),0)</f>
        <v>0</v>
      </c>
      <c r="J45" s="326">
        <f t="shared" si="2"/>
        <v>0</v>
      </c>
      <c r="K45" s="2"/>
      <c r="L45" s="2"/>
    </row>
    <row r="46" spans="1:12">
      <c r="A46" s="4">
        <v>2401</v>
      </c>
      <c r="B46" t="s">
        <v>1482</v>
      </c>
      <c r="C46" s="229">
        <f>IFERROR(GETPIVOTDATA("Sum of qty",PT!$A$17,"product",A46,"FL/AZ","AZ"),0)</f>
        <v>0</v>
      </c>
      <c r="D46" s="125">
        <v>1.5</v>
      </c>
      <c r="E46" s="18">
        <f t="shared" si="0"/>
        <v>0</v>
      </c>
      <c r="G46" s="1">
        <f>IFERROR(VLOOKUP(ROUND(A46,0),'[2]Alameda Capitalization'!$A:$M,13,0),0)</f>
        <v>0</v>
      </c>
      <c r="H46" s="2">
        <f t="shared" si="1"/>
        <v>0</v>
      </c>
      <c r="I46" s="326">
        <f>C46-IFERROR(VLOOKUP(A46,'[1]AZ DL&amp;OH FG'!$A:$F,3,0),0)</f>
        <v>0</v>
      </c>
      <c r="J46" s="326">
        <f t="shared" si="2"/>
        <v>0</v>
      </c>
      <c r="K46" s="2"/>
      <c r="L46" s="2"/>
    </row>
    <row r="47" spans="1:12">
      <c r="A47" s="4">
        <v>2402</v>
      </c>
      <c r="B47" t="s">
        <v>1483</v>
      </c>
      <c r="C47" s="229">
        <f>IFERROR(GETPIVOTDATA("Sum of qty",PT!$A$17,"product",A47,"FL/AZ","AZ"),0)</f>
        <v>0</v>
      </c>
      <c r="D47" s="125">
        <v>1.5</v>
      </c>
      <c r="E47" s="18">
        <f t="shared" si="0"/>
        <v>0</v>
      </c>
      <c r="G47" s="1">
        <f>IFERROR(VLOOKUP(ROUND(A47,0),'[2]Alameda Capitalization'!$A:$M,13,0),0)</f>
        <v>0</v>
      </c>
      <c r="H47" s="2">
        <f t="shared" si="1"/>
        <v>0</v>
      </c>
      <c r="I47" s="326">
        <f>C47-IFERROR(VLOOKUP(A47,'[1]AZ DL&amp;OH FG'!$A:$F,3,0),0)</f>
        <v>0</v>
      </c>
      <c r="J47" s="326">
        <f t="shared" si="2"/>
        <v>0</v>
      </c>
      <c r="K47" s="2"/>
      <c r="L47" s="2"/>
    </row>
    <row r="48" spans="1:12">
      <c r="A48" s="159">
        <v>2510</v>
      </c>
      <c r="B48" t="s">
        <v>1484</v>
      </c>
      <c r="C48" s="229">
        <f>IFERROR(GETPIVOTDATA("Sum of qty",PT!$A$17,"product",A48,"FL/AZ","AZ"),0)</f>
        <v>0</v>
      </c>
      <c r="D48" s="125">
        <v>6</v>
      </c>
      <c r="E48" s="18">
        <f t="shared" si="0"/>
        <v>0</v>
      </c>
      <c r="G48" s="1">
        <f>IFERROR(VLOOKUP(ROUND(A48,0),'[2]Alameda Capitalization'!$A:$M,13,0),0)</f>
        <v>0</v>
      </c>
      <c r="H48" s="2">
        <f t="shared" si="1"/>
        <v>0</v>
      </c>
      <c r="I48" s="326">
        <f>C48-IFERROR(VLOOKUP(A48,'[1]AZ DL&amp;OH FG'!$A:$F,3,0),0)</f>
        <v>0</v>
      </c>
      <c r="J48" s="326">
        <f t="shared" si="2"/>
        <v>0</v>
      </c>
      <c r="K48" s="2"/>
      <c r="L48" s="2"/>
    </row>
    <row r="49" spans="1:12">
      <c r="A49" s="163">
        <v>2520</v>
      </c>
      <c r="B49" t="s">
        <v>324</v>
      </c>
      <c r="C49" s="229">
        <f>IFERROR(GETPIVOTDATA("Sum of qty",PT!$A$17,"product",A49,"FL/AZ","AZ"),0)</f>
        <v>45</v>
      </c>
      <c r="D49" s="125">
        <v>6</v>
      </c>
      <c r="E49" s="18">
        <f t="shared" si="0"/>
        <v>270</v>
      </c>
      <c r="F49" s="1">
        <f>E49</f>
        <v>270</v>
      </c>
      <c r="G49" s="1">
        <f>IFERROR(VLOOKUP(ROUND(A49,0),'[2]Alameda Capitalization'!$A:$M,13,0),0)</f>
        <v>0.43479375717604002</v>
      </c>
      <c r="H49" s="2"/>
      <c r="I49" s="326">
        <f>C49-IFERROR(VLOOKUP(A49,'[1]AZ DL&amp;OH FG'!$A:$F,3,0),0)</f>
        <v>0</v>
      </c>
      <c r="J49" s="326">
        <f t="shared" si="2"/>
        <v>0</v>
      </c>
      <c r="K49" s="2"/>
      <c r="L49" s="2"/>
    </row>
    <row r="50" spans="1:12">
      <c r="A50" s="159">
        <v>2700</v>
      </c>
      <c r="B50" t="s">
        <v>1485</v>
      </c>
      <c r="C50" s="229">
        <f>IFERROR(GETPIVOTDATA("Sum of qty",PT!$A$17,"product",A50,"FL/AZ","AZ"),0)</f>
        <v>0</v>
      </c>
      <c r="D50" s="125">
        <v>44</v>
      </c>
      <c r="E50" s="18">
        <f t="shared" si="0"/>
        <v>0</v>
      </c>
      <c r="G50" s="1">
        <f>IFERROR(VLOOKUP(ROUND(A50,0),'[2]Alameda Capitalization'!$A:$M,13,0),0)</f>
        <v>0</v>
      </c>
      <c r="H50" s="2">
        <f t="shared" si="1"/>
        <v>0</v>
      </c>
      <c r="I50" s="326">
        <f>C50-IFERROR(VLOOKUP(A50,'[1]AZ DL&amp;OH FG'!$A:$F,3,0),0)</f>
        <v>0</v>
      </c>
      <c r="J50" s="326">
        <f t="shared" si="2"/>
        <v>0</v>
      </c>
      <c r="K50" s="2"/>
      <c r="L50" s="2"/>
    </row>
    <row r="51" spans="1:12">
      <c r="A51" s="4">
        <v>2711</v>
      </c>
      <c r="B51" t="s">
        <v>1486</v>
      </c>
      <c r="C51" s="229">
        <f>IFERROR(GETPIVOTDATA("Sum of qty",PT!$A$17,"product",A51,"FL/AZ","AZ"),0)</f>
        <v>0</v>
      </c>
      <c r="D51" s="125">
        <v>1.4410000000000001</v>
      </c>
      <c r="E51" s="18">
        <f t="shared" si="0"/>
        <v>0</v>
      </c>
      <c r="F51" s="2">
        <f t="shared" ref="F51:F69" si="13">E51</f>
        <v>0</v>
      </c>
      <c r="G51" s="1">
        <f>IFERROR(VLOOKUP(ROUND(A51,0),'[2]Alameda Capitalization'!$A:$M,13,0),0)</f>
        <v>0</v>
      </c>
      <c r="H51" s="2">
        <f t="shared" si="1"/>
        <v>0</v>
      </c>
      <c r="I51" s="326">
        <f>C51-IFERROR(VLOOKUP(A51,'[1]AZ DL&amp;OH FG'!$A:$F,3,0),0)</f>
        <v>0</v>
      </c>
      <c r="J51" s="326">
        <f t="shared" si="2"/>
        <v>0</v>
      </c>
      <c r="K51" s="2"/>
      <c r="L51" s="2"/>
    </row>
    <row r="52" spans="1:12">
      <c r="A52" s="4">
        <v>2712</v>
      </c>
      <c r="B52" t="s">
        <v>1487</v>
      </c>
      <c r="C52" s="229">
        <f>IFERROR(GETPIVOTDATA("Sum of qty",PT!$A$17,"product",A52,"FL/AZ","AZ"),0)</f>
        <v>0</v>
      </c>
      <c r="D52" s="125">
        <v>1.4410000000000001</v>
      </c>
      <c r="E52" s="18">
        <f t="shared" si="0"/>
        <v>0</v>
      </c>
      <c r="F52" s="2">
        <f t="shared" si="13"/>
        <v>0</v>
      </c>
      <c r="G52" s="1">
        <f>IFERROR(VLOOKUP(ROUND(A52,0),'[2]Alameda Capitalization'!$A:$M,13,0),0)</f>
        <v>0</v>
      </c>
      <c r="H52" s="2">
        <f t="shared" si="1"/>
        <v>0</v>
      </c>
      <c r="I52" s="326">
        <f>C52-IFERROR(VLOOKUP(A52,'[1]AZ DL&amp;OH FG'!$A:$F,3,0),0)</f>
        <v>0</v>
      </c>
      <c r="J52" s="326">
        <f t="shared" si="2"/>
        <v>0</v>
      </c>
      <c r="K52" s="2"/>
      <c r="L52" s="2"/>
    </row>
    <row r="53" spans="1:12">
      <c r="A53" s="4">
        <v>2722</v>
      </c>
      <c r="B53" t="s">
        <v>1488</v>
      </c>
      <c r="C53" s="229">
        <f>IFERROR(GETPIVOTDATA("Sum of qty",PT!$A$17,"product",A53,"FL/AZ","AZ"),0)</f>
        <v>0</v>
      </c>
      <c r="D53" s="125">
        <v>3</v>
      </c>
      <c r="E53" s="18">
        <f t="shared" si="0"/>
        <v>0</v>
      </c>
      <c r="F53" s="2">
        <f t="shared" si="13"/>
        <v>0</v>
      </c>
      <c r="G53" s="1">
        <f>IFERROR(VLOOKUP(ROUND(A53,0),'[2]Alameda Capitalization'!$A:$M,13,0),0)</f>
        <v>0</v>
      </c>
      <c r="H53" s="2">
        <f t="shared" si="1"/>
        <v>0</v>
      </c>
      <c r="I53" s="326">
        <f>C53-IFERROR(VLOOKUP(A53,'[1]AZ DL&amp;OH FG'!$A:$F,3,0),0)</f>
        <v>0</v>
      </c>
      <c r="J53" s="326">
        <f t="shared" si="2"/>
        <v>0</v>
      </c>
      <c r="K53" s="2"/>
      <c r="L53" s="2"/>
    </row>
    <row r="54" spans="1:12">
      <c r="A54" s="4">
        <v>2724</v>
      </c>
      <c r="B54" t="s">
        <v>1489</v>
      </c>
      <c r="C54" s="229">
        <f>IFERROR(GETPIVOTDATA("Sum of qty",PT!$A$17,"product",A54,"FL/AZ","AZ"),0)</f>
        <v>0</v>
      </c>
      <c r="D54" s="125">
        <v>3</v>
      </c>
      <c r="E54" s="18">
        <f t="shared" si="0"/>
        <v>0</v>
      </c>
      <c r="F54" s="2">
        <f t="shared" si="13"/>
        <v>0</v>
      </c>
      <c r="G54" s="1">
        <f>IFERROR(VLOOKUP(ROUND(A54,0),'[2]Alameda Capitalization'!$A:$M,13,0),0)</f>
        <v>0</v>
      </c>
      <c r="H54" s="2">
        <f t="shared" si="1"/>
        <v>0</v>
      </c>
      <c r="I54" s="326">
        <f>C54-IFERROR(VLOOKUP(A54,'[1]AZ DL&amp;OH FG'!$A:$F,3,0),0)</f>
        <v>0</v>
      </c>
      <c r="J54" s="326">
        <f t="shared" si="2"/>
        <v>0</v>
      </c>
      <c r="K54" s="2"/>
      <c r="L54" s="2"/>
    </row>
    <row r="55" spans="1:12">
      <c r="A55" s="4">
        <v>2725</v>
      </c>
      <c r="B55" t="s">
        <v>1490</v>
      </c>
      <c r="C55" s="229">
        <f>IFERROR(GETPIVOTDATA("Sum of qty",PT!$A$17,"product",A55,"FL/AZ","AZ"),0)</f>
        <v>0</v>
      </c>
      <c r="D55" s="125">
        <v>3</v>
      </c>
      <c r="E55" s="18">
        <f t="shared" si="0"/>
        <v>0</v>
      </c>
      <c r="F55" s="2">
        <f t="shared" si="13"/>
        <v>0</v>
      </c>
      <c r="G55" s="1">
        <f>IFERROR(VLOOKUP(ROUND(A55,0),'[2]Alameda Capitalization'!$A:$M,13,0),0)</f>
        <v>0</v>
      </c>
      <c r="H55" s="2">
        <f t="shared" si="1"/>
        <v>0</v>
      </c>
      <c r="I55" s="326">
        <f>C55-IFERROR(VLOOKUP(A55,'[1]AZ DL&amp;OH FG'!$A:$F,3,0),0)</f>
        <v>0</v>
      </c>
      <c r="J55" s="326">
        <f t="shared" si="2"/>
        <v>0</v>
      </c>
      <c r="K55" s="2"/>
      <c r="L55" s="2"/>
    </row>
    <row r="56" spans="1:12">
      <c r="A56" s="4">
        <v>2726</v>
      </c>
      <c r="B56" t="s">
        <v>1491</v>
      </c>
      <c r="C56" s="229">
        <f>IFERROR(GETPIVOTDATA("Sum of qty",PT!$A$17,"product",A56,"FL/AZ","AZ"),0)</f>
        <v>0</v>
      </c>
      <c r="D56" s="125">
        <v>3</v>
      </c>
      <c r="E56" s="18">
        <f t="shared" si="0"/>
        <v>0</v>
      </c>
      <c r="F56" s="2">
        <f t="shared" si="13"/>
        <v>0</v>
      </c>
      <c r="G56" s="1">
        <f>IFERROR(VLOOKUP(ROUND(A56,0),'[2]Alameda Capitalization'!$A:$M,13,0),0)</f>
        <v>0</v>
      </c>
      <c r="H56" s="2">
        <f t="shared" si="1"/>
        <v>0</v>
      </c>
      <c r="I56" s="326">
        <f>C56-IFERROR(VLOOKUP(A56,'[1]AZ DL&amp;OH FG'!$A:$F,3,0),0)</f>
        <v>0</v>
      </c>
      <c r="J56" s="326">
        <f t="shared" si="2"/>
        <v>0</v>
      </c>
      <c r="K56" s="2"/>
      <c r="L56" s="2"/>
    </row>
    <row r="57" spans="1:12">
      <c r="A57" s="4">
        <v>2727</v>
      </c>
      <c r="B57" t="s">
        <v>1492</v>
      </c>
      <c r="C57" s="229">
        <f>IFERROR(GETPIVOTDATA("Sum of qty",PT!$A$17,"product",A57,"FL/AZ","AZ"),0)</f>
        <v>0</v>
      </c>
      <c r="D57" s="125">
        <v>3</v>
      </c>
      <c r="E57" s="18">
        <f t="shared" si="0"/>
        <v>0</v>
      </c>
      <c r="F57" s="2">
        <f t="shared" si="13"/>
        <v>0</v>
      </c>
      <c r="G57" s="1">
        <f>IFERROR(VLOOKUP(ROUND(A57,0),'[2]Alameda Capitalization'!$A:$M,13,0),0)</f>
        <v>0</v>
      </c>
      <c r="H57" s="2">
        <f t="shared" si="1"/>
        <v>0</v>
      </c>
      <c r="I57" s="326">
        <f>C57-IFERROR(VLOOKUP(A57,'[1]AZ DL&amp;OH FG'!$A:$F,3,0),0)</f>
        <v>0</v>
      </c>
      <c r="J57" s="326">
        <f t="shared" si="2"/>
        <v>0</v>
      </c>
      <c r="K57" s="2"/>
      <c r="L57" s="2"/>
    </row>
    <row r="58" spans="1:12">
      <c r="A58" s="4">
        <v>2731</v>
      </c>
      <c r="B58" t="s">
        <v>1493</v>
      </c>
      <c r="C58" s="229">
        <f>IFERROR(GETPIVOTDATA("Sum of qty",PT!$A$17,"product",A58,"FL/AZ","AZ"),0)</f>
        <v>0</v>
      </c>
      <c r="D58" s="125">
        <v>1.4410000000000001</v>
      </c>
      <c r="E58" s="18">
        <f t="shared" si="0"/>
        <v>0</v>
      </c>
      <c r="F58" s="2">
        <f t="shared" si="13"/>
        <v>0</v>
      </c>
      <c r="G58" s="1">
        <f>IFERROR(VLOOKUP(ROUND(A58,0),'[2]Alameda Capitalization'!$A:$M,13,0),0)</f>
        <v>0</v>
      </c>
      <c r="H58" s="2">
        <f t="shared" si="1"/>
        <v>0</v>
      </c>
      <c r="I58" s="326">
        <f>C58-IFERROR(VLOOKUP(A58,'[1]AZ DL&amp;OH FG'!$A:$F,3,0),0)</f>
        <v>0</v>
      </c>
      <c r="J58" s="326">
        <f t="shared" si="2"/>
        <v>0</v>
      </c>
      <c r="K58" s="2"/>
      <c r="L58" s="2"/>
    </row>
    <row r="59" spans="1:12">
      <c r="A59" s="4">
        <v>2734</v>
      </c>
      <c r="B59" t="s">
        <v>1489</v>
      </c>
      <c r="C59" s="229">
        <f>IFERROR(GETPIVOTDATA("Sum of qty",PT!$A$17,"product",A59,"FL/AZ","AZ"),0)</f>
        <v>0</v>
      </c>
      <c r="D59" s="125">
        <v>1.4410000000000001</v>
      </c>
      <c r="E59" s="18">
        <f t="shared" si="0"/>
        <v>0</v>
      </c>
      <c r="F59" s="2">
        <f t="shared" si="13"/>
        <v>0</v>
      </c>
      <c r="G59" s="1">
        <f>IFERROR(VLOOKUP(ROUND(A59,0),'[2]Alameda Capitalization'!$A:$M,13,0),0)</f>
        <v>0</v>
      </c>
      <c r="H59" s="2">
        <f t="shared" si="1"/>
        <v>0</v>
      </c>
      <c r="I59" s="326">
        <f>C59-IFERROR(VLOOKUP(A59,'[1]AZ DL&amp;OH FG'!$A:$F,3,0),0)</f>
        <v>0</v>
      </c>
      <c r="J59" s="326">
        <f t="shared" si="2"/>
        <v>0</v>
      </c>
      <c r="K59" s="2"/>
      <c r="L59" s="2"/>
    </row>
    <row r="60" spans="1:12">
      <c r="A60" s="4">
        <v>2736</v>
      </c>
      <c r="B60" t="s">
        <v>1491</v>
      </c>
      <c r="C60" s="229">
        <f>IFERROR(GETPIVOTDATA("Sum of qty",PT!$A$17,"product",A60,"FL/AZ","AZ"),0)</f>
        <v>0</v>
      </c>
      <c r="D60" s="125">
        <v>1.4410000000000001</v>
      </c>
      <c r="E60" s="18">
        <f t="shared" si="0"/>
        <v>0</v>
      </c>
      <c r="F60" s="2">
        <f t="shared" si="13"/>
        <v>0</v>
      </c>
      <c r="G60" s="1">
        <f>IFERROR(VLOOKUP(ROUND(A60,0),'[2]Alameda Capitalization'!$A:$M,13,0),0)</f>
        <v>0</v>
      </c>
      <c r="H60" s="2">
        <f t="shared" si="1"/>
        <v>0</v>
      </c>
      <c r="I60" s="326">
        <f>C60-IFERROR(VLOOKUP(A60,'[1]AZ DL&amp;OH FG'!$A:$F,3,0),0)</f>
        <v>0</v>
      </c>
      <c r="J60" s="326">
        <f t="shared" si="2"/>
        <v>0</v>
      </c>
      <c r="K60" s="2"/>
      <c r="L60" s="2"/>
    </row>
    <row r="61" spans="1:12">
      <c r="A61" s="4">
        <v>2737</v>
      </c>
      <c r="B61" t="s">
        <v>1494</v>
      </c>
      <c r="C61" s="229">
        <f>IFERROR(GETPIVOTDATA("Sum of qty",PT!$A$17,"product",A61,"FL/AZ","AZ"),0)</f>
        <v>0</v>
      </c>
      <c r="D61" s="125">
        <v>1.4410000000000001</v>
      </c>
      <c r="E61" s="18">
        <f t="shared" si="0"/>
        <v>0</v>
      </c>
      <c r="F61" s="2">
        <f t="shared" si="13"/>
        <v>0</v>
      </c>
      <c r="G61" s="1">
        <f>IFERROR(VLOOKUP(ROUND(A61,0),'[2]Alameda Capitalization'!$A:$M,13,0),0)</f>
        <v>0</v>
      </c>
      <c r="H61" s="2">
        <f t="shared" si="1"/>
        <v>0</v>
      </c>
      <c r="I61" s="326">
        <f>C61-IFERROR(VLOOKUP(A61,'[1]AZ DL&amp;OH FG'!$A:$F,3,0),0)</f>
        <v>0</v>
      </c>
      <c r="J61" s="326">
        <f t="shared" si="2"/>
        <v>0</v>
      </c>
      <c r="K61" s="2"/>
      <c r="L61" s="2"/>
    </row>
    <row r="62" spans="1:12">
      <c r="A62" s="4">
        <v>2738</v>
      </c>
      <c r="B62" t="s">
        <v>1495</v>
      </c>
      <c r="C62" s="229">
        <f>IFERROR(GETPIVOTDATA("Sum of qty",PT!$A$17,"product",A62,"FL/AZ","AZ"),0)</f>
        <v>0</v>
      </c>
      <c r="D62" s="125">
        <v>1.4410000000000001</v>
      </c>
      <c r="E62" s="18">
        <f t="shared" si="0"/>
        <v>0</v>
      </c>
      <c r="F62" s="2">
        <f t="shared" si="13"/>
        <v>0</v>
      </c>
      <c r="G62" s="1">
        <f>IFERROR(VLOOKUP(ROUND(A62,0),'[2]Alameda Capitalization'!$A:$M,13,0),0)</f>
        <v>0</v>
      </c>
      <c r="H62" s="2">
        <f t="shared" si="1"/>
        <v>0</v>
      </c>
      <c r="I62" s="326">
        <f>C62-IFERROR(VLOOKUP(A62,'[1]AZ DL&amp;OH FG'!$A:$F,3,0),0)</f>
        <v>0</v>
      </c>
      <c r="J62" s="326">
        <f t="shared" si="2"/>
        <v>0</v>
      </c>
      <c r="K62" s="2"/>
      <c r="L62" s="2"/>
    </row>
    <row r="63" spans="1:12">
      <c r="A63" s="4">
        <v>2739</v>
      </c>
      <c r="B63" t="s">
        <v>1496</v>
      </c>
      <c r="C63" s="229">
        <f>IFERROR(GETPIVOTDATA("Sum of qty",PT!$A$17,"product",A63,"FL/AZ","AZ"),0)</f>
        <v>0</v>
      </c>
      <c r="D63" s="125">
        <v>1.4410000000000001</v>
      </c>
      <c r="E63" s="18">
        <f t="shared" si="0"/>
        <v>0</v>
      </c>
      <c r="F63" s="2">
        <f t="shared" si="13"/>
        <v>0</v>
      </c>
      <c r="G63" s="1">
        <f>IFERROR(VLOOKUP(ROUND(A63,0),'[2]Alameda Capitalization'!$A:$M,13,0),0)</f>
        <v>0</v>
      </c>
      <c r="H63" s="2">
        <f t="shared" si="1"/>
        <v>0</v>
      </c>
      <c r="I63" s="326">
        <f>C63-IFERROR(VLOOKUP(A63,'[1]AZ DL&amp;OH FG'!$A:$F,3,0),0)</f>
        <v>0</v>
      </c>
      <c r="J63" s="326">
        <f t="shared" si="2"/>
        <v>0</v>
      </c>
      <c r="K63" s="2"/>
      <c r="L63" s="2"/>
    </row>
    <row r="64" spans="1:12">
      <c r="A64" s="4">
        <v>2740</v>
      </c>
      <c r="B64" t="s">
        <v>1497</v>
      </c>
      <c r="C64" s="229">
        <f>IFERROR(GETPIVOTDATA("Sum of qty",PT!$A$17,"product",A64,"FL/AZ","AZ"),0)</f>
        <v>0</v>
      </c>
      <c r="D64" s="125">
        <v>1.4410000000000001</v>
      </c>
      <c r="E64" s="18">
        <f t="shared" si="0"/>
        <v>0</v>
      </c>
      <c r="F64" s="2">
        <f t="shared" si="13"/>
        <v>0</v>
      </c>
      <c r="G64" s="1">
        <f>IFERROR(VLOOKUP(ROUND(A64,0),'[2]Alameda Capitalization'!$A:$M,13,0),0)</f>
        <v>0</v>
      </c>
      <c r="H64" s="2">
        <f t="shared" si="1"/>
        <v>0</v>
      </c>
      <c r="I64" s="326">
        <f>C64-IFERROR(VLOOKUP(A64,'[1]AZ DL&amp;OH FG'!$A:$F,3,0),0)</f>
        <v>0</v>
      </c>
      <c r="J64" s="326">
        <f t="shared" si="2"/>
        <v>0</v>
      </c>
      <c r="K64" s="2"/>
      <c r="L64" s="2"/>
    </row>
    <row r="65" spans="1:12">
      <c r="A65" s="4">
        <v>2741</v>
      </c>
      <c r="B65" t="s">
        <v>1498</v>
      </c>
      <c r="C65" s="229">
        <f>IFERROR(GETPIVOTDATA("Sum of qty",PT!$A$17,"product",A65,"FL/AZ","AZ"),0)</f>
        <v>0</v>
      </c>
      <c r="D65" s="125">
        <v>1.4410000000000001</v>
      </c>
      <c r="E65" s="18">
        <f t="shared" si="0"/>
        <v>0</v>
      </c>
      <c r="F65" s="2">
        <f t="shared" si="13"/>
        <v>0</v>
      </c>
      <c r="G65" s="1">
        <f>IFERROR(VLOOKUP(ROUND(A65,0),'[2]Alameda Capitalization'!$A:$M,13,0),0)</f>
        <v>0</v>
      </c>
      <c r="H65" s="2">
        <f t="shared" si="1"/>
        <v>0</v>
      </c>
      <c r="I65" s="326">
        <f>C65-IFERROR(VLOOKUP(A65,'[1]AZ DL&amp;OH FG'!$A:$F,3,0),0)</f>
        <v>0</v>
      </c>
      <c r="J65" s="326">
        <f t="shared" si="2"/>
        <v>0</v>
      </c>
      <c r="K65" s="2"/>
      <c r="L65" s="2"/>
    </row>
    <row r="66" spans="1:12">
      <c r="A66" s="4">
        <v>2742</v>
      </c>
      <c r="B66" t="s">
        <v>1499</v>
      </c>
      <c r="C66" s="229">
        <f>IFERROR(GETPIVOTDATA("Sum of qty",PT!$A$17,"product",A66,"FL/AZ","AZ"),0)</f>
        <v>0</v>
      </c>
      <c r="D66" s="125">
        <v>1.4410000000000001</v>
      </c>
      <c r="E66" s="18">
        <f t="shared" si="0"/>
        <v>0</v>
      </c>
      <c r="F66" s="2">
        <f t="shared" si="13"/>
        <v>0</v>
      </c>
      <c r="G66" s="1">
        <f>IFERROR(VLOOKUP(ROUND(A66,0),'[2]Alameda Capitalization'!$A:$M,13,0),0)</f>
        <v>0</v>
      </c>
      <c r="H66" s="2">
        <f t="shared" si="1"/>
        <v>0</v>
      </c>
      <c r="I66" s="326">
        <f>C66-IFERROR(VLOOKUP(A66,'[1]AZ DL&amp;OH FG'!$A:$F,3,0),0)</f>
        <v>0</v>
      </c>
      <c r="J66" s="326">
        <f t="shared" si="2"/>
        <v>0</v>
      </c>
      <c r="K66" s="2"/>
      <c r="L66" s="2"/>
    </row>
    <row r="67" spans="1:12">
      <c r="A67" s="4">
        <v>2743</v>
      </c>
      <c r="B67" t="s">
        <v>1500</v>
      </c>
      <c r="C67" s="229">
        <f>IFERROR(GETPIVOTDATA("Sum of qty",PT!$A$17,"product",A67,"FL/AZ","AZ"),0)</f>
        <v>0</v>
      </c>
      <c r="D67" s="125">
        <v>1.4410000000000001</v>
      </c>
      <c r="E67" s="18">
        <f t="shared" si="0"/>
        <v>0</v>
      </c>
      <c r="F67" s="2">
        <f t="shared" si="13"/>
        <v>0</v>
      </c>
      <c r="G67" s="1">
        <f>IFERROR(VLOOKUP(ROUND(A67,0),'[2]Alameda Capitalization'!$A:$M,13,0),0)</f>
        <v>0</v>
      </c>
      <c r="H67" s="2">
        <f t="shared" si="1"/>
        <v>0</v>
      </c>
      <c r="I67" s="326">
        <f>C67-IFERROR(VLOOKUP(A67,'[1]AZ DL&amp;OH FG'!$A:$F,3,0),0)</f>
        <v>0</v>
      </c>
      <c r="J67" s="326">
        <f t="shared" si="2"/>
        <v>0</v>
      </c>
      <c r="K67" s="2"/>
      <c r="L67" s="2"/>
    </row>
    <row r="68" spans="1:12">
      <c r="A68" s="4">
        <v>2744</v>
      </c>
      <c r="B68" t="s">
        <v>1494</v>
      </c>
      <c r="C68" s="229">
        <f>IFERROR(GETPIVOTDATA("Sum of qty",PT!$A$17,"product",A68,"FL/AZ","AZ"),0)</f>
        <v>0</v>
      </c>
      <c r="D68" s="125">
        <v>1.4410000000000001</v>
      </c>
      <c r="E68" s="18">
        <f t="shared" si="0"/>
        <v>0</v>
      </c>
      <c r="F68" s="2">
        <f t="shared" si="13"/>
        <v>0</v>
      </c>
      <c r="G68" s="1">
        <f>IFERROR(VLOOKUP(ROUND(A68,0),'[2]Alameda Capitalization'!$A:$M,13,0),0)</f>
        <v>0</v>
      </c>
      <c r="H68" s="2">
        <f t="shared" si="1"/>
        <v>0</v>
      </c>
      <c r="I68" s="326">
        <f>C68-IFERROR(VLOOKUP(A68,'[1]AZ DL&amp;OH FG'!$A:$F,3,0),0)</f>
        <v>0</v>
      </c>
      <c r="J68" s="326">
        <f t="shared" si="2"/>
        <v>0</v>
      </c>
      <c r="K68" s="2"/>
      <c r="L68" s="2"/>
    </row>
    <row r="69" spans="1:12">
      <c r="A69" s="4">
        <v>2745</v>
      </c>
      <c r="B69" t="s">
        <v>1501</v>
      </c>
      <c r="C69" s="229">
        <f>IFERROR(GETPIVOTDATA("Sum of qty",PT!$A$17,"product",A69,"FL/AZ","AZ"),0)</f>
        <v>0</v>
      </c>
      <c r="D69" s="125">
        <v>1.4410000000000001</v>
      </c>
      <c r="E69" s="18">
        <f t="shared" si="0"/>
        <v>0</v>
      </c>
      <c r="F69" s="2">
        <f t="shared" si="13"/>
        <v>0</v>
      </c>
      <c r="G69" s="1">
        <f>IFERROR(VLOOKUP(ROUND(A69,0),'[2]Alameda Capitalization'!$A:$M,13,0),0)</f>
        <v>0</v>
      </c>
      <c r="H69" s="2">
        <f t="shared" si="1"/>
        <v>0</v>
      </c>
      <c r="I69" s="326">
        <f>C69-IFERROR(VLOOKUP(A69,'[1]AZ DL&amp;OH FG'!$A:$F,3,0),0)</f>
        <v>0</v>
      </c>
      <c r="J69" s="326">
        <f t="shared" si="2"/>
        <v>0</v>
      </c>
      <c r="K69" s="2"/>
      <c r="L69" s="2"/>
    </row>
    <row r="70" spans="1:12">
      <c r="A70" s="4">
        <v>2750</v>
      </c>
      <c r="B70" t="s">
        <v>1502</v>
      </c>
      <c r="C70" s="229">
        <f>IFERROR(GETPIVOTDATA("Sum of qty",PT!$A$17,"product",A70,"FL/AZ","AZ"),0)</f>
        <v>0</v>
      </c>
      <c r="D70" s="125">
        <v>1.4410000000000001</v>
      </c>
      <c r="E70" s="18">
        <f>C70*D70</f>
        <v>0</v>
      </c>
      <c r="F70" s="2">
        <f>E70</f>
        <v>0</v>
      </c>
      <c r="G70" s="1">
        <f>IFERROR(VLOOKUP(ROUND(A70,0),'[2]Alameda Capitalization'!$A:$M,13,0),0)</f>
        <v>0</v>
      </c>
      <c r="H70" s="2">
        <f t="shared" si="1"/>
        <v>0</v>
      </c>
      <c r="I70" s="326">
        <f>C70-IFERROR(VLOOKUP(A70,'[1]AZ DL&amp;OH FG'!$A:$F,3,0),0)</f>
        <v>0</v>
      </c>
      <c r="J70" s="326">
        <f t="shared" si="2"/>
        <v>0</v>
      </c>
      <c r="K70" s="2"/>
      <c r="L70" s="2"/>
    </row>
    <row r="71" spans="1:12">
      <c r="A71" s="4">
        <v>2752</v>
      </c>
      <c r="B71" t="s">
        <v>1503</v>
      </c>
      <c r="C71" s="229">
        <f>IFERROR(GETPIVOTDATA("Sum of qty",PT!$A$17,"product",A71,"FL/AZ","AZ"),0)</f>
        <v>844</v>
      </c>
      <c r="D71" s="125">
        <f>60.5*6/128</f>
        <v>2.8359375</v>
      </c>
      <c r="E71" s="18">
        <f t="shared" ref="E71:E85" si="14">C71*D71</f>
        <v>2393.53125</v>
      </c>
      <c r="F71" s="2">
        <f>E71</f>
        <v>2393.53125</v>
      </c>
      <c r="G71" s="1">
        <f>IFERROR(VLOOKUP(ROUND(A71,0),'[2]Alameda Capitalization'!$A:$M,13,0),0)</f>
        <v>0.34783500574083204</v>
      </c>
      <c r="H71" s="2">
        <f t="shared" si="1"/>
        <v>293.57274484526226</v>
      </c>
      <c r="I71" s="326">
        <f>C71-IFERROR(VLOOKUP(A71,'[1]AZ DL&amp;OH FG'!$A:$F,3,0),0)</f>
        <v>-300</v>
      </c>
      <c r="J71" s="326">
        <f t="shared" si="2"/>
        <v>-850.78125</v>
      </c>
      <c r="K71" s="2"/>
      <c r="L71" s="2"/>
    </row>
    <row r="72" spans="1:12">
      <c r="A72" s="4">
        <v>2753</v>
      </c>
      <c r="B72" t="s">
        <v>1504</v>
      </c>
      <c r="C72" s="229">
        <f>IFERROR(GETPIVOTDATA("Sum of qty",PT!$A$17,"product",A72,"FL/AZ","AZ"),0)</f>
        <v>900</v>
      </c>
      <c r="D72" s="125">
        <f>60.5*6/128</f>
        <v>2.8359375</v>
      </c>
      <c r="E72" s="18">
        <f t="shared" si="14"/>
        <v>2552.34375</v>
      </c>
      <c r="F72" s="2">
        <f>E72</f>
        <v>2552.34375</v>
      </c>
      <c r="G72" s="1">
        <f>IFERROR(VLOOKUP(ROUND(A72,0),'[2]Alameda Capitalization'!$A:$M,13,0),0)</f>
        <v>0.34783500574083204</v>
      </c>
      <c r="H72" s="2">
        <f t="shared" si="1"/>
        <v>313.05150516674883</v>
      </c>
      <c r="I72" s="326">
        <f>C72-IFERROR(VLOOKUP(A72,'[1]AZ DL&amp;OH FG'!$A:$F,3,0),0)</f>
        <v>-187</v>
      </c>
      <c r="J72" s="326">
        <f t="shared" si="2"/>
        <v>-530.3203125</v>
      </c>
      <c r="K72" s="2"/>
      <c r="L72" s="2"/>
    </row>
    <row r="73" spans="1:12">
      <c r="A73" s="4">
        <v>2762</v>
      </c>
      <c r="B73" t="s">
        <v>388</v>
      </c>
      <c r="C73" s="229">
        <f>IFERROR(GETPIVOTDATA("Sum of qty",PT!$A$17,"product",A73,"FL/AZ","AZ"),0)</f>
        <v>0</v>
      </c>
      <c r="D73" s="125">
        <f>60.5*6/128</f>
        <v>2.8359375</v>
      </c>
      <c r="E73" s="18">
        <f>C73*D73</f>
        <v>0</v>
      </c>
      <c r="F73" s="2">
        <f>E73</f>
        <v>0</v>
      </c>
      <c r="G73" s="1">
        <f>IFERROR(VLOOKUP(ROUND(A73,0),'[2]Alameda Capitalization'!$A:$M,13,0),0)</f>
        <v>0.34783500574083204</v>
      </c>
      <c r="H73" s="2">
        <f t="shared" si="1"/>
        <v>0</v>
      </c>
      <c r="I73" s="326">
        <f>C73-IFERROR(VLOOKUP(A73,'[1]AZ DL&amp;OH FG'!$A:$F,3,0),0)</f>
        <v>0</v>
      </c>
      <c r="J73" s="326">
        <f t="shared" si="2"/>
        <v>0</v>
      </c>
      <c r="K73" s="2"/>
      <c r="L73" s="2"/>
    </row>
    <row r="74" spans="1:12">
      <c r="A74" s="4">
        <v>2764</v>
      </c>
      <c r="B74" t="s">
        <v>1505</v>
      </c>
      <c r="C74" s="229">
        <f>IFERROR(GETPIVOTDATA("Sum of qty",PT!$A$17,"product",A74,"FL/AZ","AZ"),0)</f>
        <v>0</v>
      </c>
      <c r="D74" s="125">
        <f>60.5*6/128</f>
        <v>2.8359375</v>
      </c>
      <c r="E74" s="18">
        <f>C74*D74</f>
        <v>0</v>
      </c>
      <c r="F74" s="2">
        <f>E74</f>
        <v>0</v>
      </c>
      <c r="G74" s="1">
        <f>IFERROR(VLOOKUP(ROUND(A74,0),'[2]Alameda Capitalization'!$A:$M,13,0),0)</f>
        <v>0</v>
      </c>
      <c r="H74" s="2">
        <f t="shared" si="1"/>
        <v>0</v>
      </c>
      <c r="I74" s="326">
        <f>C74-IFERROR(VLOOKUP(A74,'[1]AZ DL&amp;OH FG'!$A:$F,3,0),0)</f>
        <v>0</v>
      </c>
      <c r="J74" s="326">
        <f t="shared" ref="J74:J146" si="15">I74*D74</f>
        <v>0</v>
      </c>
      <c r="K74" s="2"/>
      <c r="L74" s="2"/>
    </row>
    <row r="75" spans="1:12">
      <c r="A75" s="4">
        <v>3034</v>
      </c>
      <c r="B75" t="s">
        <v>1506</v>
      </c>
      <c r="C75" s="229">
        <f>IFERROR(GETPIVOTDATA("Sum of qty",PT!$A$17,"product",A75,"FL/AZ","AZ"),0)</f>
        <v>0</v>
      </c>
      <c r="D75" s="125">
        <f>12*12/128</f>
        <v>1.125</v>
      </c>
      <c r="E75" s="18">
        <f t="shared" si="14"/>
        <v>0</v>
      </c>
      <c r="F75" s="2"/>
      <c r="G75" s="1">
        <f>IFERROR(VLOOKUP(ROUND(A75,0),'[2]Alameda Capitalization'!$A:$M,13,0),0)</f>
        <v>0</v>
      </c>
      <c r="H75" s="2">
        <f t="shared" si="1"/>
        <v>0</v>
      </c>
      <c r="I75" s="326">
        <f>C75-IFERROR(VLOOKUP(A75,'[1]AZ DL&amp;OH FG'!$A:$F,3,0),0)</f>
        <v>0</v>
      </c>
      <c r="J75" s="326">
        <f t="shared" si="15"/>
        <v>0</v>
      </c>
      <c r="K75" s="2"/>
      <c r="L75" s="2"/>
    </row>
    <row r="76" spans="1:12">
      <c r="A76" s="4">
        <v>3035</v>
      </c>
      <c r="B76" t="s">
        <v>1507</v>
      </c>
      <c r="C76" s="229">
        <f>IFERROR(GETPIVOTDATA("Sum of qty",PT!$A$17,"product",A76,"FL/AZ","AZ"),0)</f>
        <v>0</v>
      </c>
      <c r="D76" s="125">
        <f>12*12/128</f>
        <v>1.125</v>
      </c>
      <c r="E76" s="18">
        <f>C76*D76</f>
        <v>0</v>
      </c>
      <c r="F76" s="2"/>
      <c r="G76" s="1">
        <f>IFERROR(VLOOKUP(ROUND(A76,0),'[2]Alameda Capitalization'!$A:$M,13,0),0)</f>
        <v>0</v>
      </c>
      <c r="H76" s="2">
        <f t="shared" si="1"/>
        <v>0</v>
      </c>
      <c r="I76" s="326">
        <f>C76-IFERROR(VLOOKUP(A76,'[1]AZ DL&amp;OH FG'!$A:$F,3,0),0)</f>
        <v>0</v>
      </c>
      <c r="J76" s="326">
        <f t="shared" si="15"/>
        <v>0</v>
      </c>
      <c r="K76" s="2"/>
      <c r="L76" s="2"/>
    </row>
    <row r="77" spans="1:12">
      <c r="A77" s="4">
        <v>3093</v>
      </c>
      <c r="B77" t="s">
        <v>1508</v>
      </c>
      <c r="C77" s="229">
        <f>IFERROR(GETPIVOTDATA("Sum of qty",PT!$A$17,"product",A77,"FL/AZ","AZ"),0)</f>
        <v>0</v>
      </c>
      <c r="D77" s="125">
        <v>1.5</v>
      </c>
      <c r="E77" s="18">
        <f t="shared" si="14"/>
        <v>0</v>
      </c>
      <c r="F77" s="2"/>
      <c r="G77" s="1">
        <f>IFERROR(VLOOKUP(ROUND(A77,0),'[2]Alameda Capitalization'!$A:$M,13,0),0)</f>
        <v>0</v>
      </c>
      <c r="H77" s="2">
        <f t="shared" si="1"/>
        <v>0</v>
      </c>
      <c r="I77" s="326">
        <f>C77-IFERROR(VLOOKUP(A77,'[1]AZ DL&amp;OH FG'!$A:$F,3,0),0)</f>
        <v>0</v>
      </c>
      <c r="J77" s="326">
        <f t="shared" si="15"/>
        <v>0</v>
      </c>
      <c r="K77" s="2"/>
      <c r="L77" s="2"/>
    </row>
    <row r="78" spans="1:12">
      <c r="A78" s="4">
        <v>3094</v>
      </c>
      <c r="B78" t="s">
        <v>1509</v>
      </c>
      <c r="C78" s="229">
        <f>IFERROR(GETPIVOTDATA("Sum of qty",PT!$A$17,"product",A78,"FL/AZ","AZ"),0)</f>
        <v>0</v>
      </c>
      <c r="D78" s="125">
        <v>1.5</v>
      </c>
      <c r="E78" s="18">
        <f t="shared" si="14"/>
        <v>0</v>
      </c>
      <c r="F78" s="2"/>
      <c r="G78" s="1">
        <f>IFERROR(VLOOKUP(ROUND(A78,0),'[2]Alameda Capitalization'!$A:$M,13,0),0)</f>
        <v>0</v>
      </c>
      <c r="H78" s="2">
        <f t="shared" si="1"/>
        <v>0</v>
      </c>
      <c r="I78" s="326">
        <f>C78-IFERROR(VLOOKUP(A78,'[1]AZ DL&amp;OH FG'!$A:$F,3,0),0)</f>
        <v>0</v>
      </c>
      <c r="J78" s="326">
        <f t="shared" si="15"/>
        <v>0</v>
      </c>
      <c r="K78" s="2"/>
      <c r="L78" s="2"/>
    </row>
    <row r="79" spans="1:12">
      <c r="A79" s="4">
        <v>3134</v>
      </c>
      <c r="B79" t="s">
        <v>1510</v>
      </c>
      <c r="C79" s="229">
        <f>IFERROR(GETPIVOTDATA("Sum of qty",PT!$A$17,"product",A79,"FL/AZ","AZ"),0)</f>
        <v>0</v>
      </c>
      <c r="D79" s="125">
        <f>12*12/128</f>
        <v>1.125</v>
      </c>
      <c r="E79" s="18">
        <f t="shared" si="14"/>
        <v>0</v>
      </c>
      <c r="F79" s="2"/>
      <c r="G79" s="1">
        <f>IFERROR(VLOOKUP(ROUND(A79,0),'[2]Alameda Capitalization'!$A:$M,13,0),0)</f>
        <v>0</v>
      </c>
      <c r="H79" s="2">
        <f t="shared" ref="H79:H152" si="16">G79*C79</f>
        <v>0</v>
      </c>
      <c r="I79" s="326">
        <f>C79-IFERROR(VLOOKUP(A79,'[1]AZ DL&amp;OH FG'!$A:$F,3,0),0)</f>
        <v>0</v>
      </c>
      <c r="J79" s="326">
        <f t="shared" si="15"/>
        <v>0</v>
      </c>
      <c r="K79" s="2"/>
      <c r="L79" s="2"/>
    </row>
    <row r="80" spans="1:12">
      <c r="A80" s="4">
        <v>3193</v>
      </c>
      <c r="B80" t="s">
        <v>1511</v>
      </c>
      <c r="C80" s="229">
        <f>IFERROR(GETPIVOTDATA("Sum of qty",PT!$A$17,"product",A80,"FL/AZ","AZ"),0)</f>
        <v>0</v>
      </c>
      <c r="D80" s="125">
        <v>1.5</v>
      </c>
      <c r="E80" s="18">
        <f t="shared" si="14"/>
        <v>0</v>
      </c>
      <c r="F80" s="2"/>
      <c r="G80" s="1">
        <f>IFERROR(VLOOKUP(ROUND(A80,0),'[2]Alameda Capitalization'!$A:$M,13,0),0)</f>
        <v>0</v>
      </c>
      <c r="H80" s="2">
        <f t="shared" si="16"/>
        <v>0</v>
      </c>
      <c r="I80" s="326">
        <f>C80-IFERROR(VLOOKUP(A80,'[1]AZ DL&amp;OH FG'!$A:$F,3,0),0)</f>
        <v>0</v>
      </c>
      <c r="J80" s="326">
        <f t="shared" si="15"/>
        <v>0</v>
      </c>
      <c r="K80" s="2"/>
      <c r="L80" s="2"/>
    </row>
    <row r="81" spans="1:12">
      <c r="A81" s="163">
        <v>3202</v>
      </c>
      <c r="B81" t="s">
        <v>1512</v>
      </c>
      <c r="C81" s="229">
        <f>IFERROR(GETPIVOTDATA("Sum of qty",PT!$A$17,"product",A81,"FL/AZ","AZ"),0)</f>
        <v>0</v>
      </c>
      <c r="D81" s="125">
        <v>4</v>
      </c>
      <c r="E81" s="18">
        <f t="shared" ref="E81" si="17">C81*D81</f>
        <v>0</v>
      </c>
      <c r="F81" s="2"/>
      <c r="G81" s="1">
        <f>IFERROR(VLOOKUP(ROUND(A81,0),'[2]Alameda Capitalization'!$A:$M,13,0),0)</f>
        <v>0</v>
      </c>
      <c r="H81" s="2">
        <f t="shared" si="16"/>
        <v>0</v>
      </c>
      <c r="I81" s="326">
        <f>C81-IFERROR(VLOOKUP(A81,'[1]AZ DL&amp;OH FG'!$A:$F,3,0),0)</f>
        <v>0</v>
      </c>
      <c r="J81" s="326">
        <f t="shared" si="15"/>
        <v>0</v>
      </c>
      <c r="K81" s="2"/>
      <c r="L81" s="2"/>
    </row>
    <row r="82" spans="1:12">
      <c r="A82" s="163" t="s">
        <v>1513</v>
      </c>
      <c r="B82" t="s">
        <v>1514</v>
      </c>
      <c r="C82" s="229">
        <f>IFERROR(GETPIVOTDATA("Sum of qty",PT!$A$17,"product",A82,"FL/AZ","AZ"),0)</f>
        <v>0</v>
      </c>
      <c r="D82" s="125">
        <v>4</v>
      </c>
      <c r="E82" s="18">
        <f t="shared" ref="E82" si="18">C82*D82</f>
        <v>0</v>
      </c>
      <c r="F82" s="2">
        <f>E82</f>
        <v>0</v>
      </c>
      <c r="G82" s="1">
        <f>IFERROR(VLOOKUP(ROUND(A82,0),'[2]Alameda Capitalization'!$A:$M,13,0),0)</f>
        <v>0</v>
      </c>
      <c r="H82" s="2">
        <f t="shared" si="16"/>
        <v>0</v>
      </c>
      <c r="I82" s="326">
        <f>C82-IFERROR(VLOOKUP(A82,'[1]AZ DL&amp;OH FG'!$A:$F,3,0),0)</f>
        <v>0</v>
      </c>
      <c r="J82" s="326">
        <f t="shared" si="15"/>
        <v>0</v>
      </c>
      <c r="K82" s="2"/>
      <c r="L82" s="2"/>
    </row>
    <row r="83" spans="1:12">
      <c r="A83" s="163" t="s">
        <v>1515</v>
      </c>
      <c r="B83" t="s">
        <v>1516</v>
      </c>
      <c r="C83" s="229">
        <f>IFERROR(GETPIVOTDATA("Sum of qty",PT!$A$17,"product",A83,"FL/AZ","AZ"),0)</f>
        <v>0</v>
      </c>
      <c r="D83" s="125">
        <f>30.5/128*6</f>
        <v>1.4296875</v>
      </c>
      <c r="E83" s="18">
        <f t="shared" ref="E83" si="19">C83*D83</f>
        <v>0</v>
      </c>
      <c r="F83" s="2">
        <f>E83</f>
        <v>0</v>
      </c>
      <c r="G83" s="1">
        <f>IFERROR(VLOOKUP(ROUND(A83,0),'[2]Alameda Capitalization'!$A:$M,13,0),0)</f>
        <v>0</v>
      </c>
      <c r="H83" s="2">
        <f t="shared" si="16"/>
        <v>0</v>
      </c>
      <c r="I83" s="326">
        <f>C83-IFERROR(VLOOKUP(A83,'[1]AZ DL&amp;OH FG'!$A:$F,3,0),0)</f>
        <v>0</v>
      </c>
      <c r="J83" s="326">
        <f t="shared" si="15"/>
        <v>0</v>
      </c>
      <c r="K83" s="2"/>
      <c r="L83" s="2"/>
    </row>
    <row r="84" spans="1:12">
      <c r="A84" s="4">
        <v>3234</v>
      </c>
      <c r="B84" t="s">
        <v>1517</v>
      </c>
      <c r="C84" s="229">
        <f>IFERROR(GETPIVOTDATA("Sum of qty",PT!$A$17,"product",A84,"FL/AZ","AZ"),0)</f>
        <v>0</v>
      </c>
      <c r="D84" s="125">
        <f>12*12/128</f>
        <v>1.125</v>
      </c>
      <c r="E84" s="18">
        <f t="shared" si="14"/>
        <v>0</v>
      </c>
      <c r="F84" s="2"/>
      <c r="G84" s="1">
        <f>IFERROR(VLOOKUP(ROUND(A84,0),'[2]Alameda Capitalization'!$A:$M,13,0),0)</f>
        <v>0</v>
      </c>
      <c r="H84" s="2">
        <f t="shared" si="16"/>
        <v>0</v>
      </c>
      <c r="I84" s="326">
        <f>C84-IFERROR(VLOOKUP(A84,'[1]AZ DL&amp;OH FG'!$A:$F,3,0),0)</f>
        <v>0</v>
      </c>
      <c r="J84" s="326">
        <f t="shared" si="15"/>
        <v>0</v>
      </c>
      <c r="K84" s="2"/>
      <c r="L84" s="2"/>
    </row>
    <row r="85" spans="1:12">
      <c r="A85" s="4">
        <v>3293</v>
      </c>
      <c r="B85" t="s">
        <v>1518</v>
      </c>
      <c r="C85" s="229">
        <f>IFERROR(GETPIVOTDATA("Sum of qty",PT!$A$17,"product",A85,"FL/AZ","AZ"),0)</f>
        <v>0</v>
      </c>
      <c r="D85" s="125">
        <v>1.5</v>
      </c>
      <c r="E85" s="18">
        <f t="shared" si="14"/>
        <v>0</v>
      </c>
      <c r="F85" s="2"/>
      <c r="G85" s="1">
        <f>IFERROR(VLOOKUP(ROUND(A85,0),'[2]Alameda Capitalization'!$A:$M,13,0),0)</f>
        <v>0</v>
      </c>
      <c r="H85" s="2">
        <f t="shared" si="16"/>
        <v>0</v>
      </c>
      <c r="I85" s="326">
        <f>C85-IFERROR(VLOOKUP(A85,'[1]AZ DL&amp;OH FG'!$A:$F,3,0),0)</f>
        <v>0</v>
      </c>
      <c r="J85" s="326">
        <f t="shared" si="15"/>
        <v>0</v>
      </c>
      <c r="K85" s="2"/>
      <c r="L85" s="2"/>
    </row>
    <row r="86" spans="1:12">
      <c r="A86" s="4">
        <v>3410</v>
      </c>
      <c r="B86" t="s">
        <v>1519</v>
      </c>
      <c r="C86" s="229">
        <f>IFERROR(GETPIVOTDATA("Sum of qty",PT!$A$17,"product",A86,"FL/AZ","AZ"),0)</f>
        <v>0</v>
      </c>
      <c r="D86" s="125">
        <v>3</v>
      </c>
      <c r="E86" s="18">
        <f t="shared" si="0"/>
        <v>0</v>
      </c>
      <c r="F86" s="2"/>
      <c r="G86" s="1">
        <f>IFERROR(VLOOKUP(ROUND(A86,0),'[2]Alameda Capitalization'!$A:$M,13,0),0)</f>
        <v>0</v>
      </c>
      <c r="H86" s="2">
        <f t="shared" si="16"/>
        <v>0</v>
      </c>
      <c r="I86" s="326">
        <f>C86-IFERROR(VLOOKUP(A86,'[1]AZ DL&amp;OH FG'!$A:$F,3,0),0)</f>
        <v>0</v>
      </c>
      <c r="J86" s="326">
        <f t="shared" si="15"/>
        <v>0</v>
      </c>
      <c r="K86" s="2"/>
      <c r="L86" s="2"/>
    </row>
    <row r="87" spans="1:12">
      <c r="A87" s="4">
        <v>3412</v>
      </c>
      <c r="B87" t="s">
        <v>1520</v>
      </c>
      <c r="C87" s="229">
        <f>IFERROR(GETPIVOTDATA("Sum of qty",PT!$A$17,"product",A87,"FL/AZ","AZ"),0)</f>
        <v>0</v>
      </c>
      <c r="D87" s="125">
        <v>1.5</v>
      </c>
      <c r="E87" s="18">
        <f t="shared" si="0"/>
        <v>0</v>
      </c>
      <c r="F87" s="2"/>
      <c r="G87" s="1">
        <f>IFERROR(VLOOKUP(ROUND(A87,0),'[2]Alameda Capitalization'!$A:$M,13,0),0)</f>
        <v>0</v>
      </c>
      <c r="H87" s="2">
        <f t="shared" si="16"/>
        <v>0</v>
      </c>
      <c r="I87" s="326">
        <f>C87-IFERROR(VLOOKUP(A87,'[1]AZ DL&amp;OH FG'!$A:$F,3,0),0)</f>
        <v>0</v>
      </c>
      <c r="J87" s="326">
        <f t="shared" si="15"/>
        <v>0</v>
      </c>
      <c r="K87" s="2"/>
      <c r="L87" s="2"/>
    </row>
    <row r="88" spans="1:12">
      <c r="A88" s="4">
        <v>3423</v>
      </c>
      <c r="B88" t="s">
        <v>1521</v>
      </c>
      <c r="C88" s="229">
        <f>IFERROR(GETPIVOTDATA("Sum of qty",PT!$A$17,"product",A88,"FL/AZ","AZ"),0)</f>
        <v>0</v>
      </c>
      <c r="D88" s="125">
        <v>1</v>
      </c>
      <c r="E88" s="18">
        <f t="shared" si="0"/>
        <v>0</v>
      </c>
      <c r="F88" s="2"/>
      <c r="G88" s="1">
        <f>IFERROR(VLOOKUP(ROUND(A88,0),'[2]Alameda Capitalization'!$A:$M,13,0),0)</f>
        <v>0</v>
      </c>
      <c r="H88" s="2">
        <f t="shared" si="16"/>
        <v>0</v>
      </c>
      <c r="I88" s="326">
        <f>C88-IFERROR(VLOOKUP(A88,'[1]AZ DL&amp;OH FG'!$A:$F,3,0),0)</f>
        <v>0</v>
      </c>
      <c r="J88" s="326">
        <f t="shared" si="15"/>
        <v>0</v>
      </c>
      <c r="K88" s="2"/>
      <c r="L88" s="2"/>
    </row>
    <row r="89" spans="1:12">
      <c r="A89" s="244">
        <v>3470</v>
      </c>
      <c r="B89" t="s">
        <v>1522</v>
      </c>
      <c r="C89" s="229">
        <f>IFERROR(GETPIVOTDATA("Sum of qty",PT!$A$17,"product",A89,"FL/AZ","AZ"),0)</f>
        <v>0</v>
      </c>
      <c r="D89" s="125">
        <v>3</v>
      </c>
      <c r="E89" s="18">
        <f t="shared" ref="E89" si="20">C89*D89</f>
        <v>0</v>
      </c>
      <c r="F89" s="2">
        <f>E89</f>
        <v>0</v>
      </c>
      <c r="G89" s="1">
        <f>IFERROR(VLOOKUP(ROUND(A89,0),'[2]Alameda Capitalization'!$A:$M,13,0),0)</f>
        <v>0</v>
      </c>
      <c r="H89" s="2">
        <f t="shared" si="16"/>
        <v>0</v>
      </c>
      <c r="I89" s="326">
        <f>C89-IFERROR(VLOOKUP(A89,'[1]AZ DL&amp;OH FG'!$A:$F,3,0),0)</f>
        <v>0</v>
      </c>
      <c r="J89" s="326">
        <f t="shared" si="15"/>
        <v>0</v>
      </c>
      <c r="K89" s="2"/>
      <c r="L89" s="2"/>
    </row>
    <row r="90" spans="1:12">
      <c r="A90" s="4">
        <v>3762</v>
      </c>
      <c r="B90" t="s">
        <v>1523</v>
      </c>
      <c r="C90" s="229">
        <f>IFERROR(GETPIVOTDATA("Sum of qty",PT!$A$17,"product",A90,"FL/AZ","AZ"),0)</f>
        <v>0</v>
      </c>
      <c r="D90" s="125">
        <f>12*16/128</f>
        <v>1.5</v>
      </c>
      <c r="E90" s="18">
        <f t="shared" si="0"/>
        <v>0</v>
      </c>
      <c r="F90" s="2"/>
      <c r="G90" s="1">
        <f>IFERROR(VLOOKUP(ROUND(A90,0),'[2]Alameda Capitalization'!$A:$M,13,0),0)</f>
        <v>0</v>
      </c>
      <c r="H90" s="2">
        <f t="shared" si="16"/>
        <v>0</v>
      </c>
      <c r="I90" s="326">
        <f>C90-IFERROR(VLOOKUP(A90,'[1]AZ DL&amp;OH FG'!$A:$F,3,0),0)</f>
        <v>0</v>
      </c>
      <c r="J90" s="326">
        <f t="shared" si="15"/>
        <v>0</v>
      </c>
      <c r="K90" s="2"/>
      <c r="L90" s="2"/>
    </row>
    <row r="91" spans="1:12">
      <c r="A91" s="399">
        <v>3390</v>
      </c>
      <c r="B91" s="400" t="s">
        <v>2811</v>
      </c>
      <c r="C91" s="229">
        <f>IFERROR(GETPIVOTDATA("Sum of qty",PT!$A$17,"product",A91,"FL/AZ","AZ"),0)</f>
        <v>0</v>
      </c>
      <c r="D91" s="125">
        <v>3</v>
      </c>
      <c r="E91" s="18">
        <f t="shared" si="0"/>
        <v>0</v>
      </c>
      <c r="F91" s="2"/>
      <c r="G91" s="401">
        <f>G336</f>
        <v>8.6958751435207995E-2</v>
      </c>
      <c r="H91" s="2">
        <f t="shared" si="16"/>
        <v>0</v>
      </c>
      <c r="I91" s="326">
        <f>C91-IFERROR(VLOOKUP(A91,'[1]AZ DL&amp;OH FG'!$A:$F,3,0),0)</f>
        <v>0</v>
      </c>
      <c r="J91" s="326">
        <f t="shared" ref="J91:J92" si="21">I91*D91</f>
        <v>0</v>
      </c>
      <c r="K91" s="2"/>
      <c r="L91" s="2"/>
    </row>
    <row r="92" spans="1:12">
      <c r="A92" s="399">
        <v>3391</v>
      </c>
      <c r="B92" s="400" t="s">
        <v>2812</v>
      </c>
      <c r="C92" s="229">
        <f>IFERROR(GETPIVOTDATA("Sum of qty",PT!$A$17,"product",A92,"FL/AZ","AZ"),0)</f>
        <v>0</v>
      </c>
      <c r="D92" s="125">
        <v>3</v>
      </c>
      <c r="E92" s="18">
        <f t="shared" si="0"/>
        <v>0</v>
      </c>
      <c r="F92" s="2"/>
      <c r="G92" s="401">
        <f>G91</f>
        <v>8.6958751435207995E-2</v>
      </c>
      <c r="H92" s="2">
        <f t="shared" si="16"/>
        <v>0</v>
      </c>
      <c r="I92" s="326">
        <f>C92-IFERROR(VLOOKUP(A92,'[1]AZ DL&amp;OH FG'!$A:$F,3,0),0)</f>
        <v>0</v>
      </c>
      <c r="J92" s="326">
        <f t="shared" si="21"/>
        <v>0</v>
      </c>
      <c r="K92" s="2"/>
      <c r="L92" s="2"/>
    </row>
    <row r="93" spans="1:12">
      <c r="A93" s="4">
        <v>4040</v>
      </c>
      <c r="B93" t="s">
        <v>1524</v>
      </c>
      <c r="C93" s="229">
        <f>IFERROR(GETPIVOTDATA("Sum of qty",PT!$A$17,"product",A93,"FL/AZ","AZ"),0)</f>
        <v>0</v>
      </c>
      <c r="D93" s="125">
        <v>1</v>
      </c>
      <c r="E93" s="18">
        <f t="shared" si="0"/>
        <v>0</v>
      </c>
      <c r="F93" s="2"/>
      <c r="G93" s="1">
        <f>IFERROR(VLOOKUP(ROUND(A93,0),'[2]Alameda Capitalization'!$A:$M,13,0),0)</f>
        <v>0</v>
      </c>
      <c r="H93" s="2">
        <f t="shared" si="16"/>
        <v>0</v>
      </c>
      <c r="I93" s="326">
        <f>C93-IFERROR(VLOOKUP(A93,'[1]AZ DL&amp;OH FG'!$A:$F,3,0),0)</f>
        <v>0</v>
      </c>
      <c r="J93" s="326">
        <f t="shared" si="15"/>
        <v>0</v>
      </c>
      <c r="K93" s="2"/>
      <c r="L93" s="2"/>
    </row>
    <row r="94" spans="1:12">
      <c r="A94" s="4">
        <v>4106</v>
      </c>
      <c r="B94" t="s">
        <v>2827</v>
      </c>
      <c r="C94" s="229">
        <f>IFERROR(GETPIVOTDATA("Sum of qty",PT!$A$17,"product",A94,"FL/AZ","AZ"),0)</f>
        <v>665</v>
      </c>
      <c r="D94" s="125">
        <v>1.125</v>
      </c>
      <c r="E94" s="18">
        <f t="shared" ref="E94:E97" si="22">C94*D94</f>
        <v>748.125</v>
      </c>
      <c r="F94" s="2"/>
      <c r="G94" s="401">
        <v>0.22</v>
      </c>
      <c r="H94" s="2">
        <f t="shared" si="16"/>
        <v>146.30000000000001</v>
      </c>
      <c r="I94" s="326">
        <f>C94-IFERROR(VLOOKUP(A94,'[1]AZ DL&amp;OH FG'!$A:$F,3,0),0)</f>
        <v>-163</v>
      </c>
      <c r="J94" s="326">
        <f t="shared" si="15"/>
        <v>-183.375</v>
      </c>
      <c r="K94" s="2"/>
      <c r="L94" s="2"/>
    </row>
    <row r="95" spans="1:12">
      <c r="A95" s="4">
        <v>4116</v>
      </c>
      <c r="B95" t="s">
        <v>2828</v>
      </c>
      <c r="C95" s="229">
        <f>IFERROR(GETPIVOTDATA("Sum of qty",PT!$A$17,"product",A95,"FL/AZ","AZ"),0)</f>
        <v>75</v>
      </c>
      <c r="D95" s="125">
        <v>1.125</v>
      </c>
      <c r="E95" s="18">
        <f t="shared" si="22"/>
        <v>84.375</v>
      </c>
      <c r="F95" s="2"/>
      <c r="G95" s="401">
        <v>0.22</v>
      </c>
      <c r="H95" s="2">
        <f t="shared" si="16"/>
        <v>16.5</v>
      </c>
      <c r="I95" s="326">
        <f>C95-IFERROR(VLOOKUP(A95,'[1]AZ DL&amp;OH FG'!$A:$F,3,0),0)</f>
        <v>-133</v>
      </c>
      <c r="J95" s="326">
        <f t="shared" si="15"/>
        <v>-149.625</v>
      </c>
      <c r="K95" s="2"/>
      <c r="L95" s="2"/>
    </row>
    <row r="96" spans="1:12">
      <c r="A96" s="4">
        <v>4136</v>
      </c>
      <c r="B96" t="s">
        <v>2829</v>
      </c>
      <c r="C96" s="229">
        <f>IFERROR(GETPIVOTDATA("Sum of qty",PT!$A$17,"product",A96,"FL/AZ","AZ"),0)</f>
        <v>120</v>
      </c>
      <c r="D96" s="125">
        <v>1.125</v>
      </c>
      <c r="E96" s="18">
        <f t="shared" si="22"/>
        <v>135</v>
      </c>
      <c r="F96" s="2"/>
      <c r="G96" s="401">
        <v>0.22</v>
      </c>
      <c r="H96" s="2">
        <f t="shared" si="16"/>
        <v>26.4</v>
      </c>
      <c r="I96" s="326">
        <f>C96-IFERROR(VLOOKUP(A96,'[1]AZ DL&amp;OH FG'!$A:$F,3,0),0)</f>
        <v>-111</v>
      </c>
      <c r="J96" s="326">
        <f t="shared" si="15"/>
        <v>-124.875</v>
      </c>
      <c r="K96" s="2"/>
      <c r="L96" s="2"/>
    </row>
    <row r="97" spans="1:12">
      <c r="A97" s="4">
        <v>4138</v>
      </c>
      <c r="B97" t="s">
        <v>2830</v>
      </c>
      <c r="C97" s="229">
        <f>IFERROR(GETPIVOTDATA("Sum of qty",PT!$A$17,"product",A97,"FL/AZ","AZ"),0)</f>
        <v>299</v>
      </c>
      <c r="D97" s="125">
        <v>1.125</v>
      </c>
      <c r="E97" s="18">
        <f t="shared" si="22"/>
        <v>336.375</v>
      </c>
      <c r="F97" s="2"/>
      <c r="G97" s="401">
        <v>0.22</v>
      </c>
      <c r="H97" s="2">
        <f t="shared" si="16"/>
        <v>65.78</v>
      </c>
      <c r="I97" s="326">
        <f>C97-IFERROR(VLOOKUP(A97,'[1]AZ DL&amp;OH FG'!$A:$F,3,0),0)</f>
        <v>80</v>
      </c>
      <c r="J97" s="326">
        <f>I97*D97</f>
        <v>90</v>
      </c>
      <c r="K97" s="2"/>
      <c r="L97" s="2"/>
    </row>
    <row r="98" spans="1:12">
      <c r="A98" s="4">
        <v>4202</v>
      </c>
      <c r="B98" t="s">
        <v>1525</v>
      </c>
      <c r="C98" s="229">
        <f>IFERROR(GETPIVOTDATA("Sum of qty",PT!$A$17,"product",A98,"FL/AZ","AZ"),0)</f>
        <v>411</v>
      </c>
      <c r="D98" s="125">
        <v>2.8828</v>
      </c>
      <c r="E98" s="18">
        <f t="shared" si="0"/>
        <v>1184.8308</v>
      </c>
      <c r="F98" s="2">
        <f t="shared" ref="F98:F103" si="23">E98</f>
        <v>1184.8308</v>
      </c>
      <c r="G98" s="1">
        <f>IFERROR(VLOOKUP(ROUND(A98,0),'[2]Alameda Capitalization'!$A:$M,13,0),0)</f>
        <v>0.43479375717604002</v>
      </c>
      <c r="H98" s="2">
        <f t="shared" si="16"/>
        <v>178.70023419935245</v>
      </c>
      <c r="I98" s="326">
        <f>C98-IFERROR(VLOOKUP(A98,'[1]AZ DL&amp;OH FG'!$A:$F,3,0),0)</f>
        <v>195</v>
      </c>
      <c r="J98" s="326">
        <f t="shared" si="15"/>
        <v>562.14599999999996</v>
      </c>
      <c r="K98" s="2"/>
      <c r="L98" s="2"/>
    </row>
    <row r="99" spans="1:12" ht="12.75" customHeight="1">
      <c r="A99" s="4">
        <v>4205</v>
      </c>
      <c r="B99" t="s">
        <v>1526</v>
      </c>
      <c r="C99" s="229">
        <f>IFERROR(GETPIVOTDATA("Sum of qty",PT!$A$17,"product",A99,"FL/AZ","AZ"),0)</f>
        <v>0</v>
      </c>
      <c r="D99" s="125">
        <v>3.8437000000000001</v>
      </c>
      <c r="E99" s="18">
        <f t="shared" si="0"/>
        <v>0</v>
      </c>
      <c r="F99" s="2">
        <f t="shared" si="23"/>
        <v>0</v>
      </c>
      <c r="G99" s="1">
        <f>IFERROR(VLOOKUP(ROUND(A99,0),'[2]Alameda Capitalization'!$A:$M,13,0),0)</f>
        <v>0</v>
      </c>
      <c r="H99" s="2">
        <f t="shared" si="16"/>
        <v>0</v>
      </c>
      <c r="I99" s="326">
        <f>C99-IFERROR(VLOOKUP(A99,'[1]AZ DL&amp;OH FG'!$A:$F,3,0),0)</f>
        <v>0</v>
      </c>
      <c r="J99" s="326">
        <f t="shared" si="15"/>
        <v>0</v>
      </c>
      <c r="K99" s="2"/>
      <c r="L99" s="2"/>
    </row>
    <row r="100" spans="1:12">
      <c r="A100" s="4">
        <v>4206</v>
      </c>
      <c r="B100" t="s">
        <v>1527</v>
      </c>
      <c r="C100" s="229">
        <f>IFERROR(GETPIVOTDATA("Sum of qty",PT!$A$17,"product",A100,"FL/AZ","AZ"),0)</f>
        <v>0</v>
      </c>
      <c r="D100" s="125">
        <v>3.8437000000000001</v>
      </c>
      <c r="E100" s="18">
        <f t="shared" si="0"/>
        <v>0</v>
      </c>
      <c r="F100" s="2">
        <f t="shared" si="23"/>
        <v>0</v>
      </c>
      <c r="G100" s="1">
        <f>IFERROR(VLOOKUP(ROUND(A100,0),'[2]Alameda Capitalization'!$A:$M,13,0),0)</f>
        <v>0</v>
      </c>
      <c r="H100" s="2">
        <f t="shared" si="16"/>
        <v>0</v>
      </c>
      <c r="I100" s="326">
        <f>C100-IFERROR(VLOOKUP(A100,'[1]AZ DL&amp;OH FG'!$A:$F,3,0),0)</f>
        <v>0</v>
      </c>
      <c r="J100" s="326">
        <f t="shared" si="15"/>
        <v>0</v>
      </c>
      <c r="K100" s="2"/>
      <c r="L100" s="2"/>
    </row>
    <row r="101" spans="1:12">
      <c r="A101" s="4">
        <v>4225</v>
      </c>
      <c r="B101" t="s">
        <v>1528</v>
      </c>
      <c r="C101" s="229">
        <f>IFERROR(GETPIVOTDATA("Sum of qty",PT!$A$17,"product",A101,"FL/AZ","AZ"),0)</f>
        <v>245</v>
      </c>
      <c r="D101" s="125">
        <v>1.4297</v>
      </c>
      <c r="E101" s="18">
        <f t="shared" si="0"/>
        <v>350.2765</v>
      </c>
      <c r="F101" s="2">
        <f t="shared" si="23"/>
        <v>350.2765</v>
      </c>
      <c r="G101" s="1">
        <f>IFERROR(VLOOKUP(ROUND(A101,0),'[2]Alameda Capitalization'!$A:$M,13,0),0)</f>
        <v>0.21739687858802001</v>
      </c>
      <c r="H101" s="2">
        <f t="shared" si="16"/>
        <v>53.262235254064905</v>
      </c>
      <c r="I101" s="326">
        <f>C101-IFERROR(VLOOKUP(A101,'[1]AZ DL&amp;OH FG'!$A:$F,3,0),0)</f>
        <v>-135</v>
      </c>
      <c r="J101" s="326">
        <f t="shared" si="15"/>
        <v>-193.0095</v>
      </c>
      <c r="K101" s="2"/>
      <c r="L101" s="2"/>
    </row>
    <row r="102" spans="1:12">
      <c r="A102" s="4">
        <v>4227</v>
      </c>
      <c r="B102" t="s">
        <v>1529</v>
      </c>
      <c r="C102" s="229">
        <f>IFERROR(GETPIVOTDATA("Sum of qty",PT!$A$17,"product",A102,"FL/AZ","AZ"),0)</f>
        <v>0</v>
      </c>
      <c r="D102" s="125">
        <v>3.8125</v>
      </c>
      <c r="E102" s="18">
        <f t="shared" si="0"/>
        <v>0</v>
      </c>
      <c r="F102" s="2">
        <f t="shared" si="23"/>
        <v>0</v>
      </c>
      <c r="G102" s="1">
        <f>IFERROR(VLOOKUP(ROUND(A102,0),'[2]Alameda Capitalization'!$A:$M,13,0),0)</f>
        <v>0</v>
      </c>
      <c r="H102" s="2">
        <f t="shared" si="16"/>
        <v>0</v>
      </c>
      <c r="I102" s="326">
        <f>C102-IFERROR(VLOOKUP(A102,'[1]AZ DL&amp;OH FG'!$A:$F,3,0),0)</f>
        <v>0</v>
      </c>
      <c r="J102" s="326">
        <f t="shared" si="15"/>
        <v>0</v>
      </c>
      <c r="K102" s="2"/>
      <c r="L102" s="2"/>
    </row>
    <row r="103" spans="1:12">
      <c r="A103" s="159" t="s">
        <v>1530</v>
      </c>
      <c r="C103" s="229">
        <f>IFERROR(GETPIVOTDATA("Sum of qty",PT!$A$17,"product",A103,"FL/AZ","AZ"),0)</f>
        <v>0</v>
      </c>
      <c r="D103" s="125">
        <v>3.8125</v>
      </c>
      <c r="E103" s="18">
        <f>C103*D103</f>
        <v>0</v>
      </c>
      <c r="F103" s="2">
        <f t="shared" si="23"/>
        <v>0</v>
      </c>
      <c r="G103" s="1">
        <f>IFERROR(VLOOKUP(ROUND(A103,0),'[2]Alameda Capitalization'!$A:$M,13,0),0)</f>
        <v>0</v>
      </c>
      <c r="H103" s="2">
        <f t="shared" si="16"/>
        <v>0</v>
      </c>
      <c r="I103" s="326">
        <f>C103-IFERROR(VLOOKUP(A103,'[1]AZ DL&amp;OH FG'!$A:$F,3,0),0)</f>
        <v>0</v>
      </c>
      <c r="J103" s="326">
        <f t="shared" si="15"/>
        <v>0</v>
      </c>
      <c r="K103" s="2"/>
      <c r="L103" s="2"/>
    </row>
    <row r="104" spans="1:12">
      <c r="A104" s="4">
        <v>4402</v>
      </c>
      <c r="B104" t="s">
        <v>375</v>
      </c>
      <c r="C104" s="229">
        <f>IFERROR(GETPIVOTDATA("Sum of qty",PT!$A$17,"product",A104,"FL/AZ","AZ"),0)</f>
        <v>0</v>
      </c>
      <c r="D104" s="125">
        <v>4</v>
      </c>
      <c r="E104" s="18">
        <f t="shared" ref="E104" si="24">C104*D104</f>
        <v>0</v>
      </c>
      <c r="F104" s="2"/>
      <c r="G104" s="1">
        <f>IFERROR(VLOOKUP(ROUND(A104,0),'[2]Alameda Capitalization'!$A:$M,13,0),0)</f>
        <v>8.6958751435207995E-2</v>
      </c>
      <c r="H104" s="2">
        <f t="shared" ref="H104" si="25">G104*C104</f>
        <v>0</v>
      </c>
      <c r="I104" s="326">
        <f>C104-IFERROR(VLOOKUP(A104,'[1]AZ DL&amp;OH FG'!$A:$F,3,0),0)</f>
        <v>0</v>
      </c>
      <c r="J104" s="326">
        <f t="shared" ref="J104" si="26">I104*D104</f>
        <v>0</v>
      </c>
      <c r="K104" s="2"/>
      <c r="L104" s="2"/>
    </row>
    <row r="105" spans="1:12">
      <c r="A105" s="4">
        <v>4502</v>
      </c>
      <c r="B105" t="s">
        <v>89</v>
      </c>
      <c r="C105" s="229">
        <f>IFERROR(GETPIVOTDATA("Sum of qty",PT!$A$17,"product",A105,"FL/AZ","AZ"),0)</f>
        <v>2780</v>
      </c>
      <c r="D105" s="125">
        <v>4</v>
      </c>
      <c r="E105" s="18">
        <f t="shared" si="0"/>
        <v>11120</v>
      </c>
      <c r="F105" s="2"/>
      <c r="G105" s="1">
        <f>IFERROR(VLOOKUP(ROUND(A105,0),'[2]Alameda Capitalization'!$A:$M,13,0),0)</f>
        <v>8.6958751435207995E-2</v>
      </c>
      <c r="H105" s="2">
        <f t="shared" si="16"/>
        <v>241.74532898987823</v>
      </c>
      <c r="I105" s="326">
        <f>C105-IFERROR(VLOOKUP(A105,'[1]AZ DL&amp;OH FG'!$A:$F,3,0),0)</f>
        <v>547</v>
      </c>
      <c r="J105" s="326">
        <f t="shared" si="15"/>
        <v>2188</v>
      </c>
      <c r="K105" s="2"/>
      <c r="L105" s="2"/>
    </row>
    <row r="106" spans="1:12">
      <c r="A106" s="4">
        <v>4503</v>
      </c>
      <c r="B106" t="s">
        <v>1531</v>
      </c>
      <c r="C106" s="229">
        <f>IFERROR(GETPIVOTDATA("Sum of qty",PT!$A$17,"product",A106,"FL/AZ","AZ"),0)</f>
        <v>0</v>
      </c>
      <c r="D106" s="125">
        <v>3</v>
      </c>
      <c r="E106" s="18">
        <f t="shared" si="0"/>
        <v>0</v>
      </c>
      <c r="F106" s="2"/>
      <c r="G106" s="1">
        <f>IFERROR(VLOOKUP(ROUND(A106,0),'[2]Alameda Capitalization'!$A:$M,13,0),0)</f>
        <v>0</v>
      </c>
      <c r="H106" s="2">
        <f t="shared" si="16"/>
        <v>0</v>
      </c>
      <c r="I106" s="326">
        <f>C106-IFERROR(VLOOKUP(A106,'[1]AZ DL&amp;OH FG'!$A:$F,3,0),0)</f>
        <v>0</v>
      </c>
      <c r="J106" s="326">
        <f t="shared" si="15"/>
        <v>0</v>
      </c>
      <c r="K106" s="2"/>
      <c r="L106" s="2"/>
    </row>
    <row r="107" spans="1:12">
      <c r="A107" s="4">
        <v>4506</v>
      </c>
      <c r="B107" t="s">
        <v>702</v>
      </c>
      <c r="C107" s="229">
        <f>IFERROR(GETPIVOTDATA("Sum of qty",PT!$A$17,"product",A107,"FL/AZ","AZ"),0)</f>
        <v>1863</v>
      </c>
      <c r="D107" s="125">
        <v>3</v>
      </c>
      <c r="E107" s="18">
        <f>C107*D107</f>
        <v>5589</v>
      </c>
      <c r="F107" s="2"/>
      <c r="G107" s="1">
        <f>IFERROR(VLOOKUP(ROUND(A107,0),'[2]Alameda Capitalization'!$A:$M,13,0),0)</f>
        <v>6.9567001148166399E-2</v>
      </c>
      <c r="H107" s="2">
        <f t="shared" si="16"/>
        <v>129.60332313903399</v>
      </c>
      <c r="I107" s="326">
        <f>C107-IFERROR(VLOOKUP(A107,'[1]AZ DL&amp;OH FG'!$A:$F,3,0),0)</f>
        <v>726</v>
      </c>
      <c r="J107" s="326">
        <f t="shared" si="15"/>
        <v>2178</v>
      </c>
      <c r="K107" s="2"/>
      <c r="L107" s="2"/>
    </row>
    <row r="108" spans="1:12">
      <c r="A108" s="159" t="s">
        <v>1532</v>
      </c>
      <c r="C108" s="229">
        <f>IFERROR(GETPIVOTDATA("Sum of qty",PT!$A$17,"product",A108,"FL/AZ","AZ"),0)</f>
        <v>0</v>
      </c>
      <c r="D108" s="125">
        <v>4</v>
      </c>
      <c r="E108" s="18">
        <f>C108*D108</f>
        <v>0</v>
      </c>
      <c r="F108" s="2"/>
      <c r="G108" s="1">
        <f>IFERROR(VLOOKUP(ROUND(A108,0),'[2]Alameda Capitalization'!$A:$M,13,0),0)</f>
        <v>0</v>
      </c>
      <c r="H108" s="2">
        <f t="shared" si="16"/>
        <v>0</v>
      </c>
      <c r="I108" s="326">
        <f>C108-IFERROR(VLOOKUP(A108,'[1]AZ DL&amp;OH FG'!$A:$F,3,0),0)</f>
        <v>0</v>
      </c>
      <c r="J108" s="326">
        <f t="shared" si="15"/>
        <v>0</v>
      </c>
      <c r="K108" s="2"/>
      <c r="L108" s="2"/>
    </row>
    <row r="109" spans="1:12">
      <c r="A109" s="4">
        <v>4508</v>
      </c>
      <c r="B109" t="s">
        <v>556</v>
      </c>
      <c r="C109" s="229">
        <f>IFERROR(GETPIVOTDATA("Sum of qty",PT!$A$17,"product",A109,"FL/AZ","AZ"),0)</f>
        <v>1197</v>
      </c>
      <c r="D109" s="125">
        <v>4</v>
      </c>
      <c r="E109" s="18">
        <f t="shared" si="0"/>
        <v>4788</v>
      </c>
      <c r="F109" s="2"/>
      <c r="G109" s="1">
        <f>IFERROR(VLOOKUP(ROUND(A109,0),'[2]Alameda Capitalization'!$A:$M,13,0),0)</f>
        <v>8.6958751435207995E-2</v>
      </c>
      <c r="H109" s="2">
        <f t="shared" si="16"/>
        <v>104.08962546794397</v>
      </c>
      <c r="I109" s="326">
        <f>C109-IFERROR(VLOOKUP(A109,'[1]AZ DL&amp;OH FG'!$A:$F,3,0),0)</f>
        <v>504</v>
      </c>
      <c r="J109" s="326">
        <f t="shared" si="15"/>
        <v>2016</v>
      </c>
      <c r="K109" s="2"/>
      <c r="L109" s="2"/>
    </row>
    <row r="110" spans="1:12">
      <c r="A110" s="159" t="s">
        <v>1533</v>
      </c>
      <c r="C110" s="229">
        <f>IFERROR(GETPIVOTDATA("Sum of qty",PT!$A$17,"product",A110,"FL/AZ","AZ"),0)</f>
        <v>0</v>
      </c>
      <c r="D110" s="125">
        <v>4</v>
      </c>
      <c r="E110" s="18">
        <f>C110*D110</f>
        <v>0</v>
      </c>
      <c r="F110" s="2"/>
      <c r="G110" s="1">
        <f>IFERROR(VLOOKUP(ROUND(A110,0),'[2]Alameda Capitalization'!$A:$M,13,0),0)</f>
        <v>0</v>
      </c>
      <c r="H110" s="2">
        <f t="shared" si="16"/>
        <v>0</v>
      </c>
      <c r="I110" s="326">
        <f>C110-IFERROR(VLOOKUP(A110,'[1]AZ DL&amp;OH FG'!$A:$F,3,0),0)</f>
        <v>0</v>
      </c>
      <c r="J110" s="326">
        <f t="shared" si="15"/>
        <v>0</v>
      </c>
      <c r="K110" s="2"/>
      <c r="L110" s="2"/>
    </row>
    <row r="111" spans="1:12">
      <c r="A111" s="4">
        <v>4510</v>
      </c>
      <c r="B111" t="s">
        <v>1534</v>
      </c>
      <c r="C111" s="229">
        <f>IFERROR(GETPIVOTDATA("Sum of qty",PT!$A$17,"product",A111,"FL/AZ","AZ"),0)</f>
        <v>0</v>
      </c>
      <c r="D111" s="125">
        <v>4</v>
      </c>
      <c r="E111" s="18">
        <f t="shared" ref="E111:E193" si="27">C111*D111</f>
        <v>0</v>
      </c>
      <c r="F111" s="2"/>
      <c r="G111" s="1">
        <f>IFERROR(VLOOKUP(ROUND(A111,0),'[2]Alameda Capitalization'!$A:$M,13,0),0)</f>
        <v>8.6958751435207995E-2</v>
      </c>
      <c r="H111" s="2">
        <f t="shared" si="16"/>
        <v>0</v>
      </c>
      <c r="I111" s="326">
        <f>C111-IFERROR(VLOOKUP(A111,'[1]AZ DL&amp;OH FG'!$A:$F,3,0),0)</f>
        <v>0</v>
      </c>
      <c r="J111" s="326">
        <f t="shared" si="15"/>
        <v>0</v>
      </c>
      <c r="K111" s="2"/>
      <c r="L111" s="2"/>
    </row>
    <row r="112" spans="1:12">
      <c r="A112" s="159" t="s">
        <v>1535</v>
      </c>
      <c r="C112" s="229">
        <f>IFERROR(GETPIVOTDATA("Sum of qty",PT!$A$17,"product",A112,"FL/AZ","AZ"),0)</f>
        <v>0</v>
      </c>
      <c r="D112" s="125">
        <v>4</v>
      </c>
      <c r="E112" s="18">
        <f>C112*D112</f>
        <v>0</v>
      </c>
      <c r="F112" s="2"/>
      <c r="G112" s="1">
        <f>IFERROR(VLOOKUP(ROUND(A112,0),'[2]Alameda Capitalization'!$A:$M,13,0),0)</f>
        <v>0</v>
      </c>
      <c r="H112" s="2">
        <f t="shared" si="16"/>
        <v>0</v>
      </c>
      <c r="I112" s="326">
        <f>C112-IFERROR(VLOOKUP(A112,'[1]AZ DL&amp;OH FG'!$A:$F,3,0),0)</f>
        <v>0</v>
      </c>
      <c r="J112" s="326">
        <f t="shared" si="15"/>
        <v>0</v>
      </c>
      <c r="K112" s="2"/>
      <c r="L112" s="2"/>
    </row>
    <row r="113" spans="1:12">
      <c r="A113" s="4">
        <v>4513</v>
      </c>
      <c r="B113" t="s">
        <v>111</v>
      </c>
      <c r="C113" s="229">
        <f>IFERROR(GETPIVOTDATA("Sum of qty",PT!$A$17,"product",A113,"FL/AZ","AZ"),0)</f>
        <v>1277</v>
      </c>
      <c r="D113" s="125">
        <v>3</v>
      </c>
      <c r="E113" s="18">
        <f t="shared" si="27"/>
        <v>3831</v>
      </c>
      <c r="F113" s="2"/>
      <c r="G113" s="1">
        <f>IFERROR(VLOOKUP(ROUND(A113,0),'[2]Alameda Capitalization'!$A:$M,13,0),0)</f>
        <v>6.9567001148166399E-2</v>
      </c>
      <c r="H113" s="2">
        <f t="shared" si="16"/>
        <v>88.837060466208499</v>
      </c>
      <c r="I113" s="326">
        <f>C113-IFERROR(VLOOKUP(A113,'[1]AZ DL&amp;OH FG'!$A:$F,3,0),0)</f>
        <v>588</v>
      </c>
      <c r="J113" s="326">
        <f t="shared" si="15"/>
        <v>1764</v>
      </c>
      <c r="K113" s="2"/>
      <c r="L113" s="2"/>
    </row>
    <row r="114" spans="1:12">
      <c r="A114" s="4">
        <v>4514</v>
      </c>
      <c r="B114" t="s">
        <v>706</v>
      </c>
      <c r="C114" s="229">
        <f>IFERROR(GETPIVOTDATA("Sum of qty",PT!$A$17,"product",A114,"FL/AZ","AZ"),0)</f>
        <v>1015</v>
      </c>
      <c r="D114" s="125">
        <v>3</v>
      </c>
      <c r="E114" s="18">
        <f t="shared" si="27"/>
        <v>3045</v>
      </c>
      <c r="F114" s="2"/>
      <c r="G114" s="1">
        <f>IFERROR(VLOOKUP(ROUND(A114,0),'[2]Alameda Capitalization'!$A:$M,13,0),0)</f>
        <v>6.9567001148166399E-2</v>
      </c>
      <c r="H114" s="2">
        <f t="shared" si="16"/>
        <v>70.610506165388898</v>
      </c>
      <c r="I114" s="326">
        <f>C114-IFERROR(VLOOKUP(A114,'[1]AZ DL&amp;OH FG'!$A:$F,3,0),0)</f>
        <v>169</v>
      </c>
      <c r="J114" s="326">
        <f t="shared" si="15"/>
        <v>507</v>
      </c>
      <c r="K114" s="2"/>
      <c r="L114" s="2"/>
    </row>
    <row r="115" spans="1:12">
      <c r="A115" s="4">
        <v>4516</v>
      </c>
      <c r="B115" t="s">
        <v>116</v>
      </c>
      <c r="C115" s="229">
        <f>IFERROR(GETPIVOTDATA("Sum of qty",PT!$A$17,"product",A115,"FL/AZ","AZ"),0)</f>
        <v>2173</v>
      </c>
      <c r="D115" s="125">
        <v>1.5</v>
      </c>
      <c r="E115" s="18">
        <f t="shared" si="27"/>
        <v>3259.5</v>
      </c>
      <c r="F115" s="2"/>
      <c r="G115" s="1">
        <f>IFERROR(VLOOKUP(ROUND(A115,0),'[2]Alameda Capitalization'!$A:$M,13,0),0)</f>
        <v>4.3479375717603998E-2</v>
      </c>
      <c r="H115" s="2">
        <f t="shared" si="16"/>
        <v>94.48068343435348</v>
      </c>
      <c r="I115" s="326">
        <f>C115-IFERROR(VLOOKUP(A115,'[1]AZ DL&amp;OH FG'!$A:$F,3,0),0)</f>
        <v>1772</v>
      </c>
      <c r="J115" s="326">
        <f t="shared" si="15"/>
        <v>2658</v>
      </c>
      <c r="K115" s="2"/>
      <c r="L115" s="2"/>
    </row>
    <row r="116" spans="1:12">
      <c r="A116" s="4">
        <v>4517</v>
      </c>
      <c r="B116" t="s">
        <v>1536</v>
      </c>
      <c r="C116" s="229">
        <f>IFERROR(GETPIVOTDATA("Sum of qty",PT!$A$17,"product",A116,"FL/AZ","AZ"),0)</f>
        <v>0</v>
      </c>
      <c r="D116" s="125">
        <v>3</v>
      </c>
      <c r="E116" s="18">
        <f t="shared" si="27"/>
        <v>0</v>
      </c>
      <c r="F116" s="2"/>
      <c r="G116" s="1">
        <f>IFERROR(VLOOKUP(ROUND(A116,0),'[2]Alameda Capitalization'!$A:$M,13,0),0)</f>
        <v>0</v>
      </c>
      <c r="H116" s="2">
        <f t="shared" si="16"/>
        <v>0</v>
      </c>
      <c r="I116" s="326">
        <f>C116-IFERROR(VLOOKUP(A116,'[1]AZ DL&amp;OH FG'!$A:$F,3,0),0)</f>
        <v>0</v>
      </c>
      <c r="J116" s="326">
        <f t="shared" si="15"/>
        <v>0</v>
      </c>
      <c r="K116" s="2"/>
      <c r="L116" s="2"/>
    </row>
    <row r="117" spans="1:12">
      <c r="A117" s="4">
        <v>4518</v>
      </c>
      <c r="B117" t="s">
        <v>1537</v>
      </c>
      <c r="C117" s="229">
        <f>IFERROR(GETPIVOTDATA("Sum of qty",PT!$A$17,"product",A117,"FL/AZ","AZ"),0)</f>
        <v>0</v>
      </c>
      <c r="D117" s="125">
        <v>3</v>
      </c>
      <c r="E117" s="18">
        <f t="shared" si="27"/>
        <v>0</v>
      </c>
      <c r="F117" s="2"/>
      <c r="G117" s="1">
        <f>IFERROR(VLOOKUP(ROUND(A117,0),'[2]Alameda Capitalization'!$A:$M,13,0),0)</f>
        <v>0</v>
      </c>
      <c r="H117" s="2">
        <f t="shared" si="16"/>
        <v>0</v>
      </c>
      <c r="I117" s="326">
        <f>C117-IFERROR(VLOOKUP(A117,'[1]AZ DL&amp;OH FG'!$A:$F,3,0),0)</f>
        <v>0</v>
      </c>
      <c r="J117" s="326">
        <f t="shared" si="15"/>
        <v>0</v>
      </c>
      <c r="K117" s="2"/>
      <c r="L117" s="2"/>
    </row>
    <row r="118" spans="1:12">
      <c r="A118" s="4">
        <v>4519</v>
      </c>
      <c r="B118" t="s">
        <v>1538</v>
      </c>
      <c r="C118" s="229">
        <f>IFERROR(GETPIVOTDATA("Sum of qty",PT!$A$17,"product",A118,"FL/AZ","AZ"),0)</f>
        <v>0</v>
      </c>
      <c r="D118" s="125">
        <v>3</v>
      </c>
      <c r="E118" s="18">
        <f t="shared" si="27"/>
        <v>0</v>
      </c>
      <c r="F118" s="2"/>
      <c r="G118" s="1">
        <f>IFERROR(VLOOKUP(ROUND(A118,0),'[2]Alameda Capitalization'!$A:$M,13,0),0)</f>
        <v>0</v>
      </c>
      <c r="H118" s="2">
        <f t="shared" si="16"/>
        <v>0</v>
      </c>
      <c r="I118" s="326">
        <f>C118-IFERROR(VLOOKUP(A118,'[1]AZ DL&amp;OH FG'!$A:$F,3,0),0)</f>
        <v>0</v>
      </c>
      <c r="J118" s="326">
        <f t="shared" si="15"/>
        <v>0</v>
      </c>
      <c r="K118" s="2"/>
      <c r="L118" s="2"/>
    </row>
    <row r="119" spans="1:12">
      <c r="A119" s="4">
        <v>4526</v>
      </c>
      <c r="B119" t="s">
        <v>1539</v>
      </c>
      <c r="C119" s="229">
        <f>IFERROR(GETPIVOTDATA("Sum of qty",PT!$A$17,"product",A119,"FL/AZ","AZ"),0)</f>
        <v>0</v>
      </c>
      <c r="D119" s="125">
        <v>3</v>
      </c>
      <c r="E119" s="18">
        <f t="shared" si="27"/>
        <v>0</v>
      </c>
      <c r="F119" s="2"/>
      <c r="G119" s="1">
        <f>IFERROR(VLOOKUP(ROUND(A119,0),'[2]Alameda Capitalization'!$A:$M,13,0),0)</f>
        <v>0</v>
      </c>
      <c r="H119" s="2">
        <f t="shared" si="16"/>
        <v>0</v>
      </c>
      <c r="I119" s="326">
        <f>C119-IFERROR(VLOOKUP(A119,'[1]AZ DL&amp;OH FG'!$A:$F,3,0),0)</f>
        <v>0</v>
      </c>
      <c r="J119" s="326">
        <f t="shared" si="15"/>
        <v>0</v>
      </c>
      <c r="K119" s="2"/>
      <c r="L119" s="2"/>
    </row>
    <row r="120" spans="1:12">
      <c r="A120" s="4">
        <v>4527</v>
      </c>
      <c r="B120" t="s">
        <v>1540</v>
      </c>
      <c r="C120" s="229">
        <f>IFERROR(GETPIVOTDATA("Sum of qty",PT!$A$17,"product",A120,"FL/AZ","AZ"),0)</f>
        <v>0</v>
      </c>
      <c r="D120" s="125">
        <v>4</v>
      </c>
      <c r="E120" s="18">
        <f t="shared" si="27"/>
        <v>0</v>
      </c>
      <c r="F120" s="2"/>
      <c r="G120" s="1">
        <f>IFERROR(VLOOKUP(ROUND(A120,0),'[2]Alameda Capitalization'!$A:$M,13,0),0)</f>
        <v>0</v>
      </c>
      <c r="H120" s="2">
        <f t="shared" si="16"/>
        <v>0</v>
      </c>
      <c r="I120" s="326">
        <f>C120-IFERROR(VLOOKUP(A120,'[1]AZ DL&amp;OH FG'!$A:$F,3,0),0)</f>
        <v>0</v>
      </c>
      <c r="J120" s="326">
        <f t="shared" si="15"/>
        <v>0</v>
      </c>
      <c r="K120" s="2"/>
      <c r="L120" s="2"/>
    </row>
    <row r="121" spans="1:12">
      <c r="A121" s="4">
        <v>4593</v>
      </c>
      <c r="B121" t="s">
        <v>127</v>
      </c>
      <c r="C121" s="229">
        <f>IFERROR(GETPIVOTDATA("Sum of qty",PT!$A$17,"product",A121,"FL/AZ","AZ"),0)</f>
        <v>0</v>
      </c>
      <c r="D121" s="125">
        <v>3</v>
      </c>
      <c r="E121" s="18">
        <f t="shared" si="27"/>
        <v>0</v>
      </c>
      <c r="F121" s="2"/>
      <c r="G121" s="1">
        <f>IFERROR(VLOOKUP(ROUND(A121,0),'[2]Alameda Capitalization'!$A:$M,13,0),0)</f>
        <v>0</v>
      </c>
      <c r="H121" s="2">
        <f t="shared" si="16"/>
        <v>0</v>
      </c>
      <c r="I121" s="326">
        <f>C121-IFERROR(VLOOKUP(A121,'[1]AZ DL&amp;OH FG'!$A:$F,3,0),0)</f>
        <v>0</v>
      </c>
      <c r="J121" s="326">
        <f t="shared" si="15"/>
        <v>0</v>
      </c>
      <c r="K121" s="2"/>
      <c r="L121" s="2"/>
    </row>
    <row r="122" spans="1:12">
      <c r="A122" s="4">
        <v>4591</v>
      </c>
      <c r="B122" t="s">
        <v>165</v>
      </c>
      <c r="C122" s="229">
        <f>IFERROR(GETPIVOTDATA("Sum of qty",PT!$A$17,"product",A122,"FL/AZ","AZ"),0)</f>
        <v>1440</v>
      </c>
      <c r="D122" s="125">
        <v>4</v>
      </c>
      <c r="E122" s="18">
        <f t="shared" si="27"/>
        <v>5760</v>
      </c>
      <c r="F122" s="2"/>
      <c r="G122" s="1">
        <f>IFERROR(VLOOKUP(ROUND(A122,0),'[2]Alameda Capitalization'!$A:$M,13,0),0)</f>
        <v>8.6958751435207995E-2</v>
      </c>
      <c r="H122" s="2">
        <f t="shared" si="16"/>
        <v>125.22060206669951</v>
      </c>
      <c r="I122" s="326">
        <f>C122-IFERROR(VLOOKUP(A122,'[1]AZ DL&amp;OH FG'!$A:$F,3,0),0)</f>
        <v>797</v>
      </c>
      <c r="J122" s="326">
        <f t="shared" si="15"/>
        <v>3188</v>
      </c>
      <c r="K122" s="2"/>
      <c r="L122" s="2"/>
    </row>
    <row r="123" spans="1:12">
      <c r="A123" s="4">
        <v>4598</v>
      </c>
      <c r="B123" s="157" t="s">
        <v>1541</v>
      </c>
      <c r="C123" s="229">
        <f>IFERROR(GETPIVOTDATA("Sum of qty",PT!$A$17,"product",A123,"FL/AZ","AZ"),0)</f>
        <v>0</v>
      </c>
      <c r="D123" s="125">
        <v>4.5</v>
      </c>
      <c r="E123" s="18">
        <f t="shared" si="27"/>
        <v>0</v>
      </c>
      <c r="F123" s="2"/>
      <c r="G123" s="1">
        <f>IFERROR(VLOOKUP(ROUND(A123,0),'[2]Alameda Capitalization'!$A:$M,13,0),0)</f>
        <v>0</v>
      </c>
      <c r="H123" s="2">
        <f t="shared" si="16"/>
        <v>0</v>
      </c>
      <c r="I123" s="326">
        <f>C123-IFERROR(VLOOKUP(A123,'[1]AZ DL&amp;OH FG'!$A:$F,3,0),0)</f>
        <v>0</v>
      </c>
      <c r="J123" s="326">
        <f t="shared" si="15"/>
        <v>0</v>
      </c>
      <c r="K123" s="2"/>
      <c r="L123" s="2"/>
    </row>
    <row r="124" spans="1:12">
      <c r="A124" s="4">
        <v>4602</v>
      </c>
      <c r="B124" s="157" t="s">
        <v>1542</v>
      </c>
      <c r="C124" s="229">
        <f>IFERROR(GETPIVOTDATA("Sum of qty",PT!$A$17,"product",A124,"FL/AZ","AZ"),0)</f>
        <v>0</v>
      </c>
      <c r="D124" s="125">
        <v>4</v>
      </c>
      <c r="E124" s="18">
        <f t="shared" si="27"/>
        <v>0</v>
      </c>
      <c r="F124" s="2"/>
      <c r="G124" s="1">
        <f>IFERROR(VLOOKUP(ROUND(A124,0),'[2]Alameda Capitalization'!$A:$M,13,0),0)</f>
        <v>0</v>
      </c>
      <c r="H124" s="2">
        <f t="shared" si="16"/>
        <v>0</v>
      </c>
      <c r="I124" s="326">
        <f>C124-IFERROR(VLOOKUP(A124,'[1]AZ DL&amp;OH FG'!$A:$F,3,0),0)</f>
        <v>0</v>
      </c>
      <c r="J124" s="326">
        <f t="shared" si="15"/>
        <v>0</v>
      </c>
      <c r="K124" s="2"/>
      <c r="L124" s="2"/>
    </row>
    <row r="125" spans="1:12">
      <c r="A125" s="4" t="s">
        <v>1543</v>
      </c>
      <c r="B125" s="157" t="s">
        <v>1544</v>
      </c>
      <c r="C125" s="229">
        <f>IFERROR(GETPIVOTDATA("Sum of qty",PT!$A$17,"product",A125,"FL/AZ","AZ"),0)</f>
        <v>0</v>
      </c>
      <c r="D125" s="125">
        <v>4</v>
      </c>
      <c r="E125" s="18">
        <f t="shared" ref="E125" si="28">C125*D125</f>
        <v>0</v>
      </c>
      <c r="F125" s="2">
        <f>E125</f>
        <v>0</v>
      </c>
      <c r="G125" s="1">
        <f>IFERROR(VLOOKUP(ROUND(A125,0),'[2]Alameda Capitalization'!$A:$M,13,0),0)</f>
        <v>0</v>
      </c>
      <c r="H125" s="2">
        <f t="shared" si="16"/>
        <v>0</v>
      </c>
      <c r="I125" s="326">
        <f>C125-IFERROR(VLOOKUP(A125,'[1]AZ DL&amp;OH FG'!$A:$F,3,0),0)</f>
        <v>0</v>
      </c>
      <c r="J125" s="326">
        <f t="shared" si="15"/>
        <v>0</v>
      </c>
      <c r="K125" s="2"/>
      <c r="L125" s="2"/>
    </row>
    <row r="126" spans="1:12">
      <c r="A126" s="4">
        <v>4616</v>
      </c>
      <c r="B126" t="s">
        <v>1545</v>
      </c>
      <c r="C126" s="229">
        <f>IFERROR(GETPIVOTDATA("Sum of qty",PT!$A$17,"product",A126,"FL/AZ","AZ"),0)</f>
        <v>0</v>
      </c>
      <c r="D126" s="125">
        <v>1.5</v>
      </c>
      <c r="E126" s="18">
        <f t="shared" si="27"/>
        <v>0</v>
      </c>
      <c r="F126" s="2"/>
      <c r="G126" s="1">
        <f>IFERROR(VLOOKUP(ROUND(A126,0),'[2]Alameda Capitalization'!$A:$M,13,0),0)</f>
        <v>0</v>
      </c>
      <c r="H126" s="2">
        <f t="shared" si="16"/>
        <v>0</v>
      </c>
      <c r="I126" s="326">
        <f>C126-IFERROR(VLOOKUP(A126,'[1]AZ DL&amp;OH FG'!$A:$F,3,0),0)</f>
        <v>0</v>
      </c>
      <c r="J126" s="326">
        <f t="shared" si="15"/>
        <v>0</v>
      </c>
      <c r="K126" s="2"/>
      <c r="L126" s="2"/>
    </row>
    <row r="127" spans="1:12">
      <c r="A127" s="4">
        <v>4617</v>
      </c>
      <c r="B127" t="s">
        <v>1546</v>
      </c>
      <c r="C127" s="229">
        <f>IFERROR(GETPIVOTDATA("Sum of qty",PT!$A$17,"product",A127,"FL/AZ","AZ"),0)</f>
        <v>368</v>
      </c>
      <c r="D127" s="125">
        <v>3</v>
      </c>
      <c r="E127" s="18">
        <f t="shared" si="27"/>
        <v>1104</v>
      </c>
      <c r="F127" s="2"/>
      <c r="G127" s="1">
        <f>IFERROR(VLOOKUP(ROUND(A127,0),'[2]Alameda Capitalization'!$A:$M,13,0),0)</f>
        <v>5.2175250861124796E-2</v>
      </c>
      <c r="H127" s="2">
        <f t="shared" si="16"/>
        <v>19.200492316893925</v>
      </c>
      <c r="I127" s="326">
        <f>C127-IFERROR(VLOOKUP(A127,'[1]AZ DL&amp;OH FG'!$A:$F,3,0),0)</f>
        <v>-176</v>
      </c>
      <c r="J127" s="326">
        <f t="shared" si="15"/>
        <v>-528</v>
      </c>
      <c r="K127" s="2"/>
      <c r="L127" s="2"/>
    </row>
    <row r="128" spans="1:12">
      <c r="A128" s="4">
        <v>4800</v>
      </c>
      <c r="B128" t="s">
        <v>194</v>
      </c>
      <c r="C128" s="229">
        <f>IFERROR(GETPIVOTDATA("Sum of qty",PT!$A$17,"product",A128,"FL/AZ","AZ"),0)</f>
        <v>29941.37</v>
      </c>
      <c r="D128" s="125">
        <v>0</v>
      </c>
      <c r="E128" s="18">
        <f t="shared" si="27"/>
        <v>0</v>
      </c>
      <c r="F128" s="2"/>
      <c r="G128" s="1">
        <f>IFERROR(VLOOKUP(ROUND(A128,0),'[2]Alameda Capitalization'!$A:$M,13,0),0)</f>
        <v>6.5219063576406004E-3</v>
      </c>
      <c r="H128" s="2">
        <f t="shared" si="16"/>
        <v>195.27481135946954</v>
      </c>
      <c r="I128" s="326">
        <f>C128-IFERROR(VLOOKUP(A128,'[1]AZ DL&amp;OH FG'!$A:$F,3,0),0)</f>
        <v>117.84000000000015</v>
      </c>
      <c r="J128" s="326">
        <f t="shared" si="15"/>
        <v>0</v>
      </c>
      <c r="K128" s="2"/>
      <c r="L128" s="2"/>
    </row>
    <row r="129" spans="1:12">
      <c r="A129" s="4">
        <v>4845</v>
      </c>
      <c r="B129" t="s">
        <v>445</v>
      </c>
      <c r="C129" s="229">
        <f>IFERROR(GETPIVOTDATA("Sum of qty",PT!$A$17,"product",A129,"FL/AZ","AZ"),0)</f>
        <v>1003.4</v>
      </c>
      <c r="D129" s="125">
        <v>0</v>
      </c>
      <c r="E129" s="18">
        <f>C129*D129</f>
        <v>0</v>
      </c>
      <c r="F129" s="2"/>
      <c r="G129" s="1">
        <f>IFERROR(VLOOKUP(ROUND(A129,0),'[2]Alameda Capitalization'!$A:$M,13,0),0)</f>
        <v>2.60876254305624</v>
      </c>
      <c r="H129" s="2">
        <f t="shared" si="16"/>
        <v>2617.6323357026313</v>
      </c>
      <c r="I129" s="326">
        <f>C129-IFERROR(VLOOKUP(A129,'[1]AZ DL&amp;OH FG'!$A:$F,3,0),0)</f>
        <v>0</v>
      </c>
      <c r="J129" s="326">
        <f t="shared" si="15"/>
        <v>0</v>
      </c>
      <c r="K129" s="2"/>
      <c r="L129" s="2"/>
    </row>
    <row r="130" spans="1:12">
      <c r="A130" s="4">
        <v>4900</v>
      </c>
      <c r="B130" t="s">
        <v>528</v>
      </c>
      <c r="C130" s="229">
        <f>IFERROR(GETPIVOTDATA("Sum of qty",PT!$A$17,"product",A130,"FL/AZ","AZ"),0)</f>
        <v>0</v>
      </c>
      <c r="D130" s="125">
        <v>0.1429</v>
      </c>
      <c r="E130" s="18">
        <f t="shared" si="27"/>
        <v>0</v>
      </c>
      <c r="F130" s="2"/>
      <c r="G130" s="1">
        <f>IFERROR(VLOOKUP(ROUND(A130,0),'[2]Alameda Capitalization'!$A:$M,13,0),0)</f>
        <v>0</v>
      </c>
      <c r="H130" s="2">
        <f t="shared" si="16"/>
        <v>0</v>
      </c>
      <c r="I130" s="326">
        <f>C130-IFERROR(VLOOKUP(A130,'[1]AZ DL&amp;OH FG'!$A:$F,3,0),0)</f>
        <v>0</v>
      </c>
      <c r="J130" s="326">
        <f t="shared" si="15"/>
        <v>0</v>
      </c>
      <c r="K130" s="2"/>
      <c r="L130" s="2"/>
    </row>
    <row r="131" spans="1:12">
      <c r="A131" s="163">
        <v>4921</v>
      </c>
      <c r="B131" t="s">
        <v>1547</v>
      </c>
      <c r="C131" s="229">
        <f>IFERROR(GETPIVOTDATA("Sum of qty",PT!$A$17,"product",A131,"FL/AZ","AZ"),0)</f>
        <v>0</v>
      </c>
      <c r="D131" s="125">
        <v>48</v>
      </c>
      <c r="E131" s="18">
        <f t="shared" si="27"/>
        <v>0</v>
      </c>
      <c r="F131" s="2"/>
      <c r="G131" s="1">
        <f>IFERROR(VLOOKUP(ROUND(A131,0),'[2]Alameda Capitalization'!$A:$M,13,0),0)</f>
        <v>0</v>
      </c>
      <c r="H131" s="2">
        <f t="shared" si="16"/>
        <v>0</v>
      </c>
      <c r="I131" s="326">
        <f>C131-IFERROR(VLOOKUP(A131,'[1]AZ DL&amp;OH FG'!$A:$F,3,0),0)</f>
        <v>0</v>
      </c>
      <c r="J131" s="326">
        <f t="shared" si="15"/>
        <v>0</v>
      </c>
      <c r="K131" s="2"/>
      <c r="L131" s="2"/>
    </row>
    <row r="132" spans="1:12">
      <c r="A132" s="402">
        <v>4945</v>
      </c>
      <c r="B132" s="400" t="s">
        <v>2813</v>
      </c>
      <c r="C132" s="229">
        <f>IFERROR(GETPIVOTDATA("Sum of qty",PT!$A$17,"product",A132,"FL/AZ","AZ"),0)</f>
        <v>32</v>
      </c>
      <c r="D132" s="125">
        <v>270</v>
      </c>
      <c r="E132" s="18">
        <f t="shared" si="27"/>
        <v>8640</v>
      </c>
      <c r="F132" s="2"/>
      <c r="G132" s="401">
        <f>G363</f>
        <v>2.60876254305624</v>
      </c>
      <c r="H132" s="2">
        <f>G132*C132</f>
        <v>83.48040137779968</v>
      </c>
      <c r="I132" s="326">
        <f>C132-IFERROR(VLOOKUP(A132,'[1]AZ DL&amp;OH FG'!$A:$F,3,0),0)</f>
        <v>15</v>
      </c>
      <c r="J132" s="326">
        <f>I132*D132</f>
        <v>4050</v>
      </c>
      <c r="K132" s="2"/>
      <c r="L132" s="2"/>
    </row>
    <row r="133" spans="1:12">
      <c r="A133" s="4">
        <v>4951</v>
      </c>
      <c r="B133" t="s">
        <v>1548</v>
      </c>
      <c r="C133" s="229">
        <f>IFERROR(GETPIVOTDATA("Sum of qty",PT!$A$17,"product",A133,"FL/AZ","AZ"),0)</f>
        <v>0</v>
      </c>
      <c r="D133" s="125">
        <v>48</v>
      </c>
      <c r="E133" s="18">
        <f t="shared" si="27"/>
        <v>0</v>
      </c>
      <c r="F133" s="2">
        <f>E133</f>
        <v>0</v>
      </c>
      <c r="G133" s="1">
        <f>IFERROR(VLOOKUP(ROUND(A133,0),'[2]Alameda Capitalization'!$A:$M,13,0),0)</f>
        <v>6.5219063576406002</v>
      </c>
      <c r="H133" s="2">
        <f t="shared" si="16"/>
        <v>0</v>
      </c>
      <c r="I133" s="326">
        <f>C133-IFERROR(VLOOKUP(A133,'[1]AZ DL&amp;OH FG'!$A:$F,3,0),0)</f>
        <v>0</v>
      </c>
      <c r="J133" s="326">
        <f t="shared" si="15"/>
        <v>0</v>
      </c>
      <c r="K133" s="2"/>
      <c r="L133" s="2"/>
    </row>
    <row r="134" spans="1:12">
      <c r="A134" s="159" t="s">
        <v>1549</v>
      </c>
      <c r="B134" t="s">
        <v>1550</v>
      </c>
      <c r="C134" s="229">
        <f>IFERROR(GETPIVOTDATA("Sum of qty",PT!$A$17,"product",A134,"FL/AZ","AZ"),0)</f>
        <v>0</v>
      </c>
      <c r="D134" s="125">
        <v>48</v>
      </c>
      <c r="E134" s="18">
        <f t="shared" si="27"/>
        <v>0</v>
      </c>
      <c r="F134" s="2">
        <f>E134</f>
        <v>0</v>
      </c>
      <c r="G134" s="1">
        <f>IFERROR(VLOOKUP(ROUND(A134,0),'[2]Alameda Capitalization'!$A:$M,13,0),0)</f>
        <v>0</v>
      </c>
      <c r="H134" s="2">
        <f t="shared" si="16"/>
        <v>0</v>
      </c>
      <c r="I134" s="326">
        <f>C134-IFERROR(VLOOKUP(A134,'[1]AZ DL&amp;OH FG'!$A:$F,3,0),0)</f>
        <v>0</v>
      </c>
      <c r="J134" s="326">
        <f t="shared" si="15"/>
        <v>0</v>
      </c>
      <c r="K134" s="2"/>
      <c r="L134" s="2"/>
    </row>
    <row r="135" spans="1:12">
      <c r="A135" s="4">
        <v>4952</v>
      </c>
      <c r="B135" t="s">
        <v>1551</v>
      </c>
      <c r="C135" s="229">
        <f>IFERROR(GETPIVOTDATA("Sum of qty",PT!$A$17,"product",A135,"FL/AZ","AZ"),0)</f>
        <v>0</v>
      </c>
      <c r="D135" s="125">
        <v>48</v>
      </c>
      <c r="E135" s="18">
        <f t="shared" si="27"/>
        <v>0</v>
      </c>
      <c r="F135" s="2"/>
      <c r="G135" s="1">
        <f>IFERROR(VLOOKUP(ROUND(A135,0),'[2]Alameda Capitalization'!$A:$M,13,0),0)</f>
        <v>0</v>
      </c>
      <c r="H135" s="2">
        <f t="shared" si="16"/>
        <v>0</v>
      </c>
      <c r="I135" s="326">
        <f>C135-IFERROR(VLOOKUP(A135,'[1]AZ DL&amp;OH FG'!$A:$F,3,0),0)</f>
        <v>0</v>
      </c>
      <c r="J135" s="326">
        <f t="shared" si="15"/>
        <v>0</v>
      </c>
      <c r="K135" s="2"/>
      <c r="L135" s="2"/>
    </row>
    <row r="136" spans="1:12">
      <c r="A136" s="4">
        <v>4955</v>
      </c>
      <c r="B136" t="s">
        <v>1552</v>
      </c>
      <c r="C136" s="229">
        <f>IFERROR(GETPIVOTDATA("Sum of qty",PT!$A$17,"product",A136,"FL/AZ","AZ"),0)</f>
        <v>0</v>
      </c>
      <c r="D136" s="125">
        <v>48</v>
      </c>
      <c r="E136" s="18">
        <f t="shared" ref="E136" si="29">C136*D136</f>
        <v>0</v>
      </c>
      <c r="F136" s="2"/>
      <c r="G136" s="1">
        <f>IFERROR(VLOOKUP(ROUND(A136,0),'[2]Alameda Capitalization'!$A:$M,13,0),0)</f>
        <v>0.97828595364608995</v>
      </c>
      <c r="H136" s="2">
        <f t="shared" ref="H136" si="30">G136*C136</f>
        <v>0</v>
      </c>
      <c r="I136" s="326">
        <f>C136-IFERROR(VLOOKUP(A136,'[1]AZ DL&amp;OH FG'!$A:$F,3,0),0)</f>
        <v>0</v>
      </c>
      <c r="J136" s="326">
        <f t="shared" ref="J136" si="31">I136*D136</f>
        <v>0</v>
      </c>
      <c r="K136" s="2"/>
      <c r="L136" s="2"/>
    </row>
    <row r="137" spans="1:12">
      <c r="A137" s="4">
        <v>5002</v>
      </c>
      <c r="B137" t="s">
        <v>130</v>
      </c>
      <c r="C137" s="229">
        <f>IFERROR(GETPIVOTDATA("Sum of qty",PT!$A$17,"product",A137,"FL/AZ","AZ"),0)</f>
        <v>230</v>
      </c>
      <c r="D137" s="125">
        <v>4</v>
      </c>
      <c r="E137" s="18">
        <f t="shared" si="27"/>
        <v>920</v>
      </c>
      <c r="F137" s="2"/>
      <c r="G137" s="1">
        <f>IFERROR(VLOOKUP(ROUND(A137,0),'[2]Alameda Capitalization'!$A:$M,13,0),0)</f>
        <v>6.5219063576406E-2</v>
      </c>
      <c r="H137" s="2">
        <f t="shared" si="16"/>
        <v>15.00038462257338</v>
      </c>
      <c r="I137" s="326">
        <f>C137-IFERROR(VLOOKUP(A137,'[1]AZ DL&amp;OH FG'!$A:$F,3,0),0)</f>
        <v>-170</v>
      </c>
      <c r="J137" s="326">
        <f t="shared" si="15"/>
        <v>-680</v>
      </c>
      <c r="K137" s="2"/>
      <c r="L137" s="2"/>
    </row>
    <row r="138" spans="1:12">
      <c r="A138" s="4">
        <v>5005</v>
      </c>
      <c r="B138" t="s">
        <v>1553</v>
      </c>
      <c r="C138" s="229">
        <f>IFERROR(GETPIVOTDATA("Sum of qty",PT!$A$17,"product",A138,"FL/AZ","AZ"),0)</f>
        <v>0</v>
      </c>
      <c r="D138" s="125">
        <v>2.8593999999999999</v>
      </c>
      <c r="E138" s="18">
        <f t="shared" si="27"/>
        <v>0</v>
      </c>
      <c r="F138" s="2">
        <f>E138</f>
        <v>0</v>
      </c>
      <c r="G138" s="1">
        <f>IFERROR(VLOOKUP(ROUND(A138,0),'[2]Alameda Capitalization'!$A:$M,13,0),0)</f>
        <v>0</v>
      </c>
      <c r="H138" s="2">
        <f t="shared" si="16"/>
        <v>0</v>
      </c>
      <c r="I138" s="326">
        <f>C138-IFERROR(VLOOKUP(A138,'[1]AZ DL&amp;OH FG'!$A:$F,3,0),0)</f>
        <v>0</v>
      </c>
      <c r="J138" s="326">
        <f t="shared" si="15"/>
        <v>0</v>
      </c>
      <c r="K138" s="2"/>
      <c r="L138" s="2"/>
    </row>
    <row r="139" spans="1:12">
      <c r="A139" s="4">
        <v>5006</v>
      </c>
      <c r="B139" t="s">
        <v>691</v>
      </c>
      <c r="C139" s="229">
        <f>IFERROR(GETPIVOTDATA("Sum of qty",PT!$A$17,"product",A139,"FL/AZ","AZ"),0)</f>
        <v>677</v>
      </c>
      <c r="D139" s="125">
        <v>4</v>
      </c>
      <c r="E139" s="18">
        <f t="shared" si="27"/>
        <v>2708</v>
      </c>
      <c r="F139" s="2"/>
      <c r="G139" s="1">
        <f>IFERROR(VLOOKUP(ROUND(A139,0),'[2]Alameda Capitalization'!$A:$M,13,0),0)</f>
        <v>6.5219063576406E-2</v>
      </c>
      <c r="H139" s="2">
        <f t="shared" si="16"/>
        <v>44.153306041226863</v>
      </c>
      <c r="I139" s="326">
        <f>C139-IFERROR(VLOOKUP(A139,'[1]AZ DL&amp;OH FG'!$A:$F,3,0),0)</f>
        <v>35</v>
      </c>
      <c r="J139" s="326">
        <f t="shared" si="15"/>
        <v>140</v>
      </c>
      <c r="K139" s="2"/>
      <c r="L139" s="2"/>
    </row>
    <row r="140" spans="1:12">
      <c r="A140" s="4">
        <v>5008</v>
      </c>
      <c r="B140" t="s">
        <v>1554</v>
      </c>
      <c r="C140" s="229">
        <f>IFERROR(GETPIVOTDATA("Sum of qty",PT!$A$17,"product",A140,"FL/AZ","AZ"),0)</f>
        <v>0</v>
      </c>
      <c r="D140" s="125">
        <v>4</v>
      </c>
      <c r="E140" s="18">
        <f t="shared" si="27"/>
        <v>0</v>
      </c>
      <c r="F140" s="2"/>
      <c r="G140" s="1">
        <f>IFERROR(VLOOKUP(ROUND(A140,0),'[2]Alameda Capitalization'!$A:$M,13,0),0)</f>
        <v>0</v>
      </c>
      <c r="H140" s="2">
        <f t="shared" si="16"/>
        <v>0</v>
      </c>
      <c r="I140" s="326">
        <f>C140-IFERROR(VLOOKUP(A140,'[1]AZ DL&amp;OH FG'!$A:$F,3,0),0)</f>
        <v>0</v>
      </c>
      <c r="J140" s="326">
        <f t="shared" si="15"/>
        <v>0</v>
      </c>
      <c r="K140" s="2"/>
      <c r="L140" s="2"/>
    </row>
    <row r="141" spans="1:12">
      <c r="A141" s="4">
        <v>5009</v>
      </c>
      <c r="B141" t="s">
        <v>1555</v>
      </c>
      <c r="C141" s="229">
        <f>IFERROR(GETPIVOTDATA("Sum of qty",PT!$A$17,"product",A141,"FL/AZ","AZ"),0)</f>
        <v>0</v>
      </c>
      <c r="D141" s="125">
        <v>1.5</v>
      </c>
      <c r="E141" s="18">
        <f t="shared" si="27"/>
        <v>0</v>
      </c>
      <c r="F141" s="2"/>
      <c r="G141" s="1">
        <f>IFERROR(VLOOKUP(ROUND(A141,0),'[2]Alameda Capitalization'!$A:$M,13,0),0)</f>
        <v>0</v>
      </c>
      <c r="H141" s="2">
        <f t="shared" si="16"/>
        <v>0</v>
      </c>
      <c r="I141" s="326">
        <f>C141-IFERROR(VLOOKUP(A141,'[1]AZ DL&amp;OH FG'!$A:$F,3,0),0)</f>
        <v>0</v>
      </c>
      <c r="J141" s="326">
        <f t="shared" si="15"/>
        <v>0</v>
      </c>
      <c r="K141" s="2"/>
      <c r="L141" s="2"/>
    </row>
    <row r="142" spans="1:12">
      <c r="A142" s="4">
        <v>5011</v>
      </c>
      <c r="B142" t="s">
        <v>1556</v>
      </c>
      <c r="C142" s="229">
        <f>IFERROR(GETPIVOTDATA("Sum of qty",PT!$A$17,"product",A142,"FL/AZ","AZ"),0)</f>
        <v>0</v>
      </c>
      <c r="D142" s="125">
        <v>3</v>
      </c>
      <c r="E142" s="18">
        <f t="shared" si="27"/>
        <v>0</v>
      </c>
      <c r="F142" s="2"/>
      <c r="G142" s="1">
        <f>IFERROR(VLOOKUP(ROUND(A142,0),'[2]Alameda Capitalization'!$A:$M,13,0),0)</f>
        <v>0</v>
      </c>
      <c r="H142" s="2">
        <f t="shared" si="16"/>
        <v>0</v>
      </c>
      <c r="I142" s="326">
        <f>C142-IFERROR(VLOOKUP(A142,'[1]AZ DL&amp;OH FG'!$A:$F,3,0),0)</f>
        <v>0</v>
      </c>
      <c r="J142" s="326">
        <f t="shared" si="15"/>
        <v>0</v>
      </c>
      <c r="K142" s="2"/>
      <c r="L142" s="2"/>
    </row>
    <row r="143" spans="1:12">
      <c r="A143" s="4">
        <v>5012</v>
      </c>
      <c r="B143" t="s">
        <v>1557</v>
      </c>
      <c r="C143" s="229">
        <f>IFERROR(GETPIVOTDATA("Sum of qty",PT!$A$17,"product",A143,"FL/AZ","AZ"),0)</f>
        <v>0</v>
      </c>
      <c r="D143" s="125">
        <v>3</v>
      </c>
      <c r="E143" s="18">
        <f t="shared" si="27"/>
        <v>0</v>
      </c>
      <c r="F143" s="2"/>
      <c r="G143" s="1">
        <f>IFERROR(VLOOKUP(ROUND(A143,0),'[2]Alameda Capitalization'!$A:$M,13,0),0)</f>
        <v>0</v>
      </c>
      <c r="H143" s="2">
        <f t="shared" si="16"/>
        <v>0</v>
      </c>
      <c r="I143" s="326">
        <f>C143-IFERROR(VLOOKUP(A143,'[1]AZ DL&amp;OH FG'!$A:$F,3,0),0)</f>
        <v>0</v>
      </c>
      <c r="J143" s="326">
        <f t="shared" si="15"/>
        <v>0</v>
      </c>
      <c r="K143" s="2"/>
      <c r="L143" s="2"/>
    </row>
    <row r="144" spans="1:12">
      <c r="A144" s="339">
        <v>5014</v>
      </c>
      <c r="B144" s="198" t="s">
        <v>1558</v>
      </c>
      <c r="C144" s="229">
        <f>IFERROR(GETPIVOTDATA("Sum of qty",PT!$A$17,"product",A144,"FL/AZ","AZ"),0)</f>
        <v>779</v>
      </c>
      <c r="D144" s="125">
        <v>3</v>
      </c>
      <c r="E144" s="18">
        <f>C144*D144</f>
        <v>2337</v>
      </c>
      <c r="F144" s="2"/>
      <c r="G144" s="1">
        <f>IFERROR(VLOOKUP(ROUND(A144,0),'[2]Alameda Capitalization'!$A:$M,13,0),0)</f>
        <v>5.2175250861124796E-2</v>
      </c>
      <c r="H144" s="2">
        <f t="shared" si="16"/>
        <v>40.644520420816214</v>
      </c>
      <c r="I144" s="326">
        <f>C144-IFERROR(VLOOKUP(A144,'[1]AZ DL&amp;OH FG'!$A:$F,3,0),0)</f>
        <v>247</v>
      </c>
      <c r="J144" s="326">
        <f t="shared" si="15"/>
        <v>741</v>
      </c>
      <c r="K144" s="2"/>
      <c r="L144" s="2"/>
    </row>
    <row r="145" spans="1:12">
      <c r="A145" s="4">
        <v>5018</v>
      </c>
      <c r="B145" t="s">
        <v>1559</v>
      </c>
      <c r="C145" s="229">
        <f>IFERROR(GETPIVOTDATA("Sum of qty",PT!$A$17,"product",A145,"FL/AZ","AZ"),0)</f>
        <v>0</v>
      </c>
      <c r="D145" s="125">
        <v>3</v>
      </c>
      <c r="E145" s="18">
        <f t="shared" si="27"/>
        <v>0</v>
      </c>
      <c r="F145" s="2"/>
      <c r="G145" s="1">
        <f>IFERROR(VLOOKUP(ROUND(A145,0),'[2]Alameda Capitalization'!$A:$M,13,0),0)</f>
        <v>0</v>
      </c>
      <c r="H145" s="2">
        <f t="shared" si="16"/>
        <v>0</v>
      </c>
      <c r="I145" s="326">
        <f>C145-IFERROR(VLOOKUP(A145,'[1]AZ DL&amp;OH FG'!$A:$F,3,0),0)</f>
        <v>0</v>
      </c>
      <c r="J145" s="326">
        <f t="shared" si="15"/>
        <v>0</v>
      </c>
      <c r="K145" s="2"/>
      <c r="L145" s="2"/>
    </row>
    <row r="146" spans="1:12">
      <c r="A146" s="4">
        <v>5019</v>
      </c>
      <c r="B146" t="s">
        <v>1560</v>
      </c>
      <c r="C146" s="229">
        <f>IFERROR(GETPIVOTDATA("Sum of qty",PT!$A$17,"product",A146,"FL/AZ","AZ"),0)</f>
        <v>0</v>
      </c>
      <c r="D146" s="125">
        <v>4.5</v>
      </c>
      <c r="E146" s="18">
        <f t="shared" si="27"/>
        <v>0</v>
      </c>
      <c r="F146" s="2"/>
      <c r="G146" s="1">
        <f>IFERROR(VLOOKUP(ROUND(A146,0),'[2]Alameda Capitalization'!$A:$M,13,0),0)</f>
        <v>0</v>
      </c>
      <c r="H146" s="2">
        <f t="shared" si="16"/>
        <v>0</v>
      </c>
      <c r="I146" s="326">
        <f>C146-IFERROR(VLOOKUP(A146,'[1]AZ DL&amp;OH FG'!$A:$F,3,0),0)</f>
        <v>0</v>
      </c>
      <c r="J146" s="326">
        <f t="shared" si="15"/>
        <v>0</v>
      </c>
      <c r="K146" s="2"/>
      <c r="L146" s="2"/>
    </row>
    <row r="147" spans="1:12">
      <c r="A147" s="4">
        <v>5020</v>
      </c>
      <c r="B147" t="s">
        <v>1561</v>
      </c>
      <c r="C147" s="229">
        <f>IFERROR(GETPIVOTDATA("Sum of qty",PT!$A$17,"product",A147,"FL/AZ","AZ"),0)</f>
        <v>0</v>
      </c>
      <c r="D147" s="125">
        <v>4</v>
      </c>
      <c r="E147" s="18">
        <f>C147*D147</f>
        <v>0</v>
      </c>
      <c r="F147" s="2"/>
      <c r="G147" s="1">
        <f>IFERROR(VLOOKUP(ROUND(A147,0),'[2]Alameda Capitalization'!$A:$M,13,0),0)</f>
        <v>0</v>
      </c>
      <c r="H147" s="2">
        <f t="shared" si="16"/>
        <v>0</v>
      </c>
      <c r="I147" s="326">
        <f>C147-IFERROR(VLOOKUP(A147,'[1]AZ DL&amp;OH FG'!$A:$F,3,0),0)</f>
        <v>0</v>
      </c>
      <c r="J147" s="326">
        <f t="shared" ref="J147:J212" si="32">I147*D147</f>
        <v>0</v>
      </c>
      <c r="K147" s="2"/>
      <c r="L147" s="2"/>
    </row>
    <row r="148" spans="1:12">
      <c r="A148" s="244">
        <v>5024</v>
      </c>
      <c r="B148" t="s">
        <v>1562</v>
      </c>
      <c r="C148" s="229">
        <f>IFERROR(GETPIVOTDATA("Sum of qty",PT!$A$17,"product",A148,"FL/AZ","AZ"),0)</f>
        <v>0</v>
      </c>
      <c r="D148" s="125">
        <v>2.8828</v>
      </c>
      <c r="E148" s="18">
        <f t="shared" ref="E148" si="33">C148*D148</f>
        <v>0</v>
      </c>
      <c r="F148" s="2">
        <f>E148</f>
        <v>0</v>
      </c>
      <c r="G148" s="1">
        <f>IFERROR(VLOOKUP(ROUND(A148,0),'[2]Alameda Capitalization'!$A:$M,13,0),0)</f>
        <v>0.34783500574083204</v>
      </c>
      <c r="H148" s="2">
        <f t="shared" ref="H148" si="34">G148*C148</f>
        <v>0</v>
      </c>
      <c r="I148" s="326">
        <f>C148-IFERROR(VLOOKUP(A148,'[1]AZ DL&amp;OH FG'!$A:$F,3,0),0)</f>
        <v>0</v>
      </c>
      <c r="J148" s="326">
        <f t="shared" si="32"/>
        <v>0</v>
      </c>
      <c r="K148" s="2"/>
      <c r="L148" s="2"/>
    </row>
    <row r="149" spans="1:12">
      <c r="A149" s="4">
        <v>5025</v>
      </c>
      <c r="B149" t="s">
        <v>1563</v>
      </c>
      <c r="C149" s="229">
        <f>IFERROR(GETPIVOTDATA("Sum of qty",PT!$A$17,"product",A149,"FL/AZ","AZ"),0)</f>
        <v>0</v>
      </c>
      <c r="D149" s="125">
        <v>2.8828</v>
      </c>
      <c r="E149" s="18">
        <f t="shared" si="27"/>
        <v>0</v>
      </c>
      <c r="F149" s="2">
        <f>E149</f>
        <v>0</v>
      </c>
      <c r="G149" s="1">
        <f>IFERROR(VLOOKUP(ROUND(A149,0),'[2]Alameda Capitalization'!$A:$M,13,0),0)</f>
        <v>0</v>
      </c>
      <c r="H149" s="2">
        <f t="shared" si="16"/>
        <v>0</v>
      </c>
      <c r="I149" s="326">
        <f>C149-IFERROR(VLOOKUP(A149,'[1]AZ DL&amp;OH FG'!$A:$F,3,0),0)</f>
        <v>0</v>
      </c>
      <c r="J149" s="326">
        <f t="shared" si="32"/>
        <v>0</v>
      </c>
      <c r="K149" s="2"/>
      <c r="L149" s="2"/>
    </row>
    <row r="150" spans="1:12">
      <c r="A150" s="4">
        <v>5142</v>
      </c>
      <c r="B150" t="s">
        <v>1564</v>
      </c>
      <c r="C150" s="229">
        <f>IFERROR(GETPIVOTDATA("Sum of qty",PT!$A$17,"product",A150,"FL/AZ","AZ"),0)</f>
        <v>226</v>
      </c>
      <c r="D150" s="125">
        <v>4.5</v>
      </c>
      <c r="E150" s="18">
        <f t="shared" si="27"/>
        <v>1017</v>
      </c>
      <c r="F150" s="2"/>
      <c r="G150" s="1">
        <f>IFERROR(VLOOKUP(ROUND(A150,0),'[2]Alameda Capitalization'!$A:$M,13,0),0)</f>
        <v>0.10869843929401</v>
      </c>
      <c r="H150" s="2">
        <f t="shared" si="16"/>
        <v>24.56584728044626</v>
      </c>
      <c r="I150" s="326">
        <f>C150-IFERROR(VLOOKUP(A150,'[1]AZ DL&amp;OH FG'!$A:$F,3,0),0)</f>
        <v>0</v>
      </c>
      <c r="J150" s="326">
        <f t="shared" si="32"/>
        <v>0</v>
      </c>
      <c r="K150" s="2"/>
      <c r="L150" s="2"/>
    </row>
    <row r="151" spans="1:12">
      <c r="A151" s="4">
        <v>5143</v>
      </c>
      <c r="B151" t="s">
        <v>1565</v>
      </c>
      <c r="C151" s="229">
        <f>IFERROR(GETPIVOTDATA("Sum of qty",PT!$A$17,"product",A151,"FL/AZ","AZ"),0)</f>
        <v>0</v>
      </c>
      <c r="D151" s="125">
        <v>2</v>
      </c>
      <c r="E151" s="18">
        <f t="shared" si="27"/>
        <v>0</v>
      </c>
      <c r="F151" s="2"/>
      <c r="G151" s="1">
        <f>IFERROR(VLOOKUP(ROUND(A151,0),'[2]Alameda Capitalization'!$A:$M,13,0),0)</f>
        <v>0</v>
      </c>
      <c r="H151" s="2">
        <f t="shared" si="16"/>
        <v>0</v>
      </c>
      <c r="I151" s="326">
        <f>C151-IFERROR(VLOOKUP(A151,'[1]AZ DL&amp;OH FG'!$A:$F,3,0),0)</f>
        <v>0</v>
      </c>
      <c r="J151" s="326">
        <f t="shared" si="32"/>
        <v>0</v>
      </c>
      <c r="K151" s="2"/>
      <c r="L151" s="2"/>
    </row>
    <row r="152" spans="1:12">
      <c r="A152" s="4">
        <v>5145</v>
      </c>
      <c r="B152" t="s">
        <v>1566</v>
      </c>
      <c r="C152" s="229">
        <f>IFERROR(GETPIVOTDATA("Sum of qty",PT!$A$17,"product",A152,"FL/AZ","AZ"),0)</f>
        <v>0</v>
      </c>
      <c r="D152" s="125">
        <v>1.5</v>
      </c>
      <c r="E152" s="18">
        <f t="shared" si="27"/>
        <v>0</v>
      </c>
      <c r="F152" s="2"/>
      <c r="G152" s="1">
        <f>IFERROR(VLOOKUP(ROUND(A152,0),'[2]Alameda Capitalization'!$A:$M,13,0),0)</f>
        <v>0</v>
      </c>
      <c r="H152" s="2">
        <f t="shared" si="16"/>
        <v>0</v>
      </c>
      <c r="I152" s="326">
        <f>C152-IFERROR(VLOOKUP(A152,'[1]AZ DL&amp;OH FG'!$A:$F,3,0),0)</f>
        <v>0</v>
      </c>
      <c r="J152" s="326">
        <f t="shared" si="32"/>
        <v>0</v>
      </c>
      <c r="K152" s="2"/>
      <c r="L152" s="2"/>
    </row>
    <row r="153" spans="1:12">
      <c r="A153" s="4">
        <v>5153</v>
      </c>
      <c r="B153" t="s">
        <v>1567</v>
      </c>
      <c r="C153" s="229">
        <f>IFERROR(GETPIVOTDATA("Sum of qty",PT!$A$17,"product",A153,"FL/AZ","AZ"),0)</f>
        <v>0</v>
      </c>
      <c r="D153" s="125">
        <v>3.8437999999999999</v>
      </c>
      <c r="E153" s="18">
        <f t="shared" si="27"/>
        <v>0</v>
      </c>
      <c r="F153" s="2"/>
      <c r="G153" s="1">
        <f>IFERROR(VLOOKUP(ROUND(A153,0),'[2]Alameda Capitalization'!$A:$M,13,0),0)</f>
        <v>0</v>
      </c>
      <c r="H153" s="2">
        <f t="shared" ref="H153:H219" si="35">G153*C153</f>
        <v>0</v>
      </c>
      <c r="I153" s="326">
        <f>C153-IFERROR(VLOOKUP(A153,'[1]AZ DL&amp;OH FG'!$A:$F,3,0),0)</f>
        <v>0</v>
      </c>
      <c r="J153" s="326">
        <f t="shared" si="32"/>
        <v>0</v>
      </c>
      <c r="K153" s="2"/>
      <c r="L153" s="2"/>
    </row>
    <row r="154" spans="1:12">
      <c r="A154" s="4">
        <v>5193</v>
      </c>
      <c r="B154" t="s">
        <v>1568</v>
      </c>
      <c r="C154" s="229">
        <f>IFERROR(GETPIVOTDATA("Sum of qty",PT!$A$17,"product",A154,"FL/AZ","AZ"),0)</f>
        <v>0</v>
      </c>
      <c r="D154" s="125">
        <v>1.5</v>
      </c>
      <c r="E154" s="18">
        <f t="shared" si="27"/>
        <v>0</v>
      </c>
      <c r="F154" s="2"/>
      <c r="G154" s="1">
        <f>IFERROR(VLOOKUP(ROUND(A154,0),'[2]Alameda Capitalization'!$A:$M,13,0),0)</f>
        <v>0</v>
      </c>
      <c r="H154" s="2">
        <f t="shared" si="35"/>
        <v>0</v>
      </c>
      <c r="I154" s="326">
        <f>C154-IFERROR(VLOOKUP(A154,'[1]AZ DL&amp;OH FG'!$A:$F,3,0),0)</f>
        <v>0</v>
      </c>
      <c r="J154" s="326">
        <f t="shared" si="32"/>
        <v>0</v>
      </c>
      <c r="K154" s="2"/>
      <c r="L154" s="2"/>
    </row>
    <row r="155" spans="1:12">
      <c r="A155" s="4">
        <v>5200</v>
      </c>
      <c r="B155" t="s">
        <v>1569</v>
      </c>
      <c r="C155" s="229">
        <f>IFERROR(GETPIVOTDATA("Sum of qty",PT!$A$17,"product",A155,"FL/AZ","AZ"),0)</f>
        <v>0</v>
      </c>
      <c r="D155" s="125">
        <v>1.4059999999999999</v>
      </c>
      <c r="E155" s="18">
        <f t="shared" si="27"/>
        <v>0</v>
      </c>
      <c r="F155" s="2"/>
      <c r="G155" s="1">
        <f>IFERROR(VLOOKUP(ROUND(A155,0),'[2]Alameda Capitalization'!$A:$M,13,0),0)</f>
        <v>0</v>
      </c>
      <c r="H155" s="2">
        <f t="shared" si="35"/>
        <v>0</v>
      </c>
      <c r="I155" s="326">
        <f>C155-IFERROR(VLOOKUP(A155,'[1]AZ DL&amp;OH FG'!$A:$F,3,0),0)</f>
        <v>0</v>
      </c>
      <c r="J155" s="326">
        <f t="shared" si="32"/>
        <v>0</v>
      </c>
      <c r="K155" s="2"/>
      <c r="L155" s="2"/>
    </row>
    <row r="156" spans="1:12">
      <c r="A156" s="4">
        <v>5203</v>
      </c>
      <c r="B156" t="s">
        <v>1570</v>
      </c>
      <c r="C156" s="229">
        <f>IFERROR(GETPIVOTDATA("Sum of qty",PT!$A$17,"product",A156,"FL/AZ","AZ"),0)</f>
        <v>0</v>
      </c>
      <c r="D156" s="125">
        <v>4</v>
      </c>
      <c r="E156" s="18">
        <f t="shared" si="27"/>
        <v>0</v>
      </c>
      <c r="F156" s="2"/>
      <c r="G156" s="1">
        <f>IFERROR(VLOOKUP(ROUND(A156,0),'[2]Alameda Capitalization'!$A:$M,13,0),0)</f>
        <v>0</v>
      </c>
      <c r="H156" s="2">
        <f t="shared" si="35"/>
        <v>0</v>
      </c>
      <c r="I156" s="326">
        <f>C156-IFERROR(VLOOKUP(A156,'[1]AZ DL&amp;OH FG'!$A:$F,3,0),0)</f>
        <v>0</v>
      </c>
      <c r="J156" s="326">
        <f t="shared" si="32"/>
        <v>0</v>
      </c>
      <c r="K156" s="2"/>
      <c r="L156" s="2"/>
    </row>
    <row r="157" spans="1:12">
      <c r="A157" s="4">
        <v>5204</v>
      </c>
      <c r="B157" t="s">
        <v>1571</v>
      </c>
      <c r="C157" s="229">
        <f>IFERROR(GETPIVOTDATA("Sum of qty",PT!$A$17,"product",A157,"FL/AZ","AZ"),0)</f>
        <v>90</v>
      </c>
      <c r="D157" s="125">
        <v>3</v>
      </c>
      <c r="E157" s="18">
        <f t="shared" si="27"/>
        <v>270</v>
      </c>
      <c r="F157" s="2">
        <f>E157</f>
        <v>270</v>
      </c>
      <c r="G157" s="1">
        <f>IFERROR(VLOOKUP(ROUND(A157,0),'[2]Alameda Capitalization'!$A:$M,13,0),0)</f>
        <v>0.43479375717604002</v>
      </c>
      <c r="H157" s="2">
        <f t="shared" si="35"/>
        <v>39.131438145843603</v>
      </c>
      <c r="I157" s="326">
        <f>C157-IFERROR(VLOOKUP(A157,'[1]AZ DL&amp;OH FG'!$A:$F,3,0),0)</f>
        <v>-46</v>
      </c>
      <c r="J157" s="326">
        <f t="shared" si="32"/>
        <v>-138</v>
      </c>
      <c r="K157" s="2"/>
      <c r="L157" s="2"/>
    </row>
    <row r="158" spans="1:12">
      <c r="A158" s="4">
        <v>5207</v>
      </c>
      <c r="B158" t="s">
        <v>1572</v>
      </c>
      <c r="C158" s="229">
        <f>IFERROR(GETPIVOTDATA("Sum of qty",PT!$A$17,"product",A158,"FL/AZ","AZ"),0)</f>
        <v>0</v>
      </c>
      <c r="D158" s="125">
        <v>3</v>
      </c>
      <c r="E158" s="18">
        <f>C158*D158</f>
        <v>0</v>
      </c>
      <c r="F158" s="2"/>
      <c r="G158" s="1">
        <f>IFERROR(VLOOKUP(ROUND(A158,0),'[2]Alameda Capitalization'!$A:$M,13,0),0)</f>
        <v>0</v>
      </c>
      <c r="H158" s="2">
        <f t="shared" si="35"/>
        <v>0</v>
      </c>
      <c r="I158" s="326">
        <f>C158-IFERROR(VLOOKUP(A158,'[1]AZ DL&amp;OH FG'!$A:$F,3,0),0)</f>
        <v>0</v>
      </c>
      <c r="J158" s="326">
        <f t="shared" si="32"/>
        <v>0</v>
      </c>
      <c r="K158" s="2"/>
      <c r="L158" s="2"/>
    </row>
    <row r="159" spans="1:12">
      <c r="A159" s="4">
        <v>5210</v>
      </c>
      <c r="B159" t="s">
        <v>1573</v>
      </c>
      <c r="C159" s="229">
        <f>IFERROR(GETPIVOTDATA("Sum of qty",PT!$A$17,"product",A159,"FL/AZ","AZ"),0)</f>
        <v>0</v>
      </c>
      <c r="D159" s="125">
        <v>3</v>
      </c>
      <c r="E159" s="18">
        <f t="shared" si="27"/>
        <v>0</v>
      </c>
      <c r="F159" s="2"/>
      <c r="G159" s="1">
        <f>IFERROR(VLOOKUP(ROUND(A159,0),'[2]Alameda Capitalization'!$A:$M,13,0),0)</f>
        <v>0</v>
      </c>
      <c r="H159" s="2">
        <f t="shared" si="35"/>
        <v>0</v>
      </c>
      <c r="I159" s="326">
        <f>C159-IFERROR(VLOOKUP(A159,'[1]AZ DL&amp;OH FG'!$A:$F,3,0),0)</f>
        <v>0</v>
      </c>
      <c r="J159" s="326">
        <f t="shared" si="32"/>
        <v>0</v>
      </c>
      <c r="K159" s="2"/>
      <c r="L159" s="2"/>
    </row>
    <row r="160" spans="1:12">
      <c r="A160" s="4">
        <v>5235</v>
      </c>
      <c r="B160" t="s">
        <v>1574</v>
      </c>
      <c r="C160" s="229">
        <f>IFERROR(GETPIVOTDATA("Sum of qty",PT!$A$17,"product",A160,"FL/AZ","AZ"),0)</f>
        <v>0</v>
      </c>
      <c r="D160" s="125">
        <v>2.8125</v>
      </c>
      <c r="E160" s="18">
        <f t="shared" si="27"/>
        <v>0</v>
      </c>
      <c r="F160" s="2">
        <f>E160</f>
        <v>0</v>
      </c>
      <c r="G160" s="1">
        <f>IFERROR(VLOOKUP(ROUND(A160,0),'[2]Alameda Capitalization'!$A:$M,13,0),0)</f>
        <v>0</v>
      </c>
      <c r="H160" s="2">
        <f t="shared" si="35"/>
        <v>0</v>
      </c>
      <c r="I160" s="326">
        <f>C160-IFERROR(VLOOKUP(A160,'[1]AZ DL&amp;OH FG'!$A:$F,3,0),0)</f>
        <v>0</v>
      </c>
      <c r="J160" s="326">
        <f t="shared" si="32"/>
        <v>0</v>
      </c>
      <c r="K160" s="2"/>
      <c r="L160" s="2"/>
    </row>
    <row r="161" spans="1:13">
      <c r="A161" s="4">
        <v>5245</v>
      </c>
      <c r="B161" t="s">
        <v>1575</v>
      </c>
      <c r="C161" s="229">
        <f>IFERROR(GETPIVOTDATA("Sum of qty",PT!$A$17,"product",A161,"FL/AZ","AZ"),0)</f>
        <v>0</v>
      </c>
      <c r="D161" s="125">
        <v>2.8593000000000002</v>
      </c>
      <c r="E161" s="18">
        <f t="shared" si="27"/>
        <v>0</v>
      </c>
      <c r="F161" s="2">
        <f>E161</f>
        <v>0</v>
      </c>
      <c r="G161" s="1">
        <f>IFERROR(VLOOKUP(ROUND(A161,0),'[2]Alameda Capitalization'!$A:$M,13,0),0)</f>
        <v>0</v>
      </c>
      <c r="H161" s="2">
        <f t="shared" si="35"/>
        <v>0</v>
      </c>
      <c r="I161" s="326">
        <f>C161-IFERROR(VLOOKUP(A161,'[1]AZ DL&amp;OH FG'!$A:$F,3,0),0)</f>
        <v>0</v>
      </c>
      <c r="J161" s="326">
        <f t="shared" si="32"/>
        <v>0</v>
      </c>
      <c r="K161" s="2"/>
      <c r="L161" s="2"/>
    </row>
    <row r="162" spans="1:13">
      <c r="A162" s="4">
        <v>5255</v>
      </c>
      <c r="B162" t="s">
        <v>1576</v>
      </c>
      <c r="C162" s="229">
        <f>IFERROR(GETPIVOTDATA("Sum of qty",PT!$A$17,"product",A162,"FL/AZ","AZ"),0)</f>
        <v>0</v>
      </c>
      <c r="D162" s="125">
        <v>2.8593999999999999</v>
      </c>
      <c r="E162" s="18">
        <f t="shared" si="27"/>
        <v>0</v>
      </c>
      <c r="F162" s="2">
        <f>E162</f>
        <v>0</v>
      </c>
      <c r="G162" s="1">
        <f>IFERROR(VLOOKUP(ROUND(A162,0),'[2]Alameda Capitalization'!$A:$M,13,0),0)</f>
        <v>0</v>
      </c>
      <c r="H162" s="2">
        <f t="shared" si="35"/>
        <v>0</v>
      </c>
      <c r="I162" s="326">
        <f>C162-IFERROR(VLOOKUP(A162,'[1]AZ DL&amp;OH FG'!$A:$F,3,0),0)</f>
        <v>0</v>
      </c>
      <c r="J162" s="326">
        <f t="shared" si="32"/>
        <v>0</v>
      </c>
      <c r="K162" s="2"/>
      <c r="L162" s="2"/>
    </row>
    <row r="163" spans="1:13">
      <c r="A163" s="4">
        <v>5265</v>
      </c>
      <c r="B163" t="s">
        <v>1577</v>
      </c>
      <c r="C163" s="229">
        <f>IFERROR(GETPIVOTDATA("Sum of qty",PT!$A$17,"product",A163,"FL/AZ","AZ"),0)</f>
        <v>0</v>
      </c>
      <c r="D163" s="125">
        <v>2.8593999999999999</v>
      </c>
      <c r="E163" s="18">
        <f t="shared" si="27"/>
        <v>0</v>
      </c>
      <c r="F163" s="2">
        <f>E163</f>
        <v>0</v>
      </c>
      <c r="G163" s="1">
        <f>IFERROR(VLOOKUP(ROUND(A163,0),'[2]Alameda Capitalization'!$A:$M,13,0),0)</f>
        <v>0</v>
      </c>
      <c r="H163" s="2">
        <f t="shared" si="35"/>
        <v>0</v>
      </c>
      <c r="I163" s="326">
        <f>C163-IFERROR(VLOOKUP(A163,'[1]AZ DL&amp;OH FG'!$A:$F,3,0),0)</f>
        <v>0</v>
      </c>
      <c r="J163" s="326">
        <f t="shared" si="32"/>
        <v>0</v>
      </c>
      <c r="K163" s="2"/>
      <c r="L163" s="2"/>
    </row>
    <row r="164" spans="1:13">
      <c r="A164" s="4">
        <v>5274</v>
      </c>
      <c r="B164" t="s">
        <v>1578</v>
      </c>
      <c r="C164" s="229">
        <f>IFERROR(GETPIVOTDATA("Sum of qty",PT!$A$17,"product",A164,"FL/AZ","AZ"),0)</f>
        <v>0</v>
      </c>
      <c r="D164" s="125">
        <v>2.8593999999999999</v>
      </c>
      <c r="E164" s="18">
        <f t="shared" si="27"/>
        <v>0</v>
      </c>
      <c r="F164" s="2"/>
      <c r="G164" s="1">
        <f>IFERROR(VLOOKUP(ROUND(A164,0),'[2]Alameda Capitalization'!$A:$M,13,0),0)</f>
        <v>0</v>
      </c>
      <c r="H164" s="2">
        <f t="shared" si="35"/>
        <v>0</v>
      </c>
      <c r="I164" s="326">
        <f>C164-IFERROR(VLOOKUP(A164,'[1]AZ DL&amp;OH FG'!$A:$F,3,0),0)</f>
        <v>0</v>
      </c>
      <c r="J164" s="326">
        <f t="shared" si="32"/>
        <v>0</v>
      </c>
      <c r="K164" s="2"/>
      <c r="L164" s="2"/>
    </row>
    <row r="165" spans="1:13">
      <c r="A165" s="4">
        <v>5275</v>
      </c>
      <c r="B165" t="s">
        <v>1579</v>
      </c>
      <c r="C165" s="229">
        <f>IFERROR(GETPIVOTDATA("Sum of qty",PT!$A$17,"product",A165,"FL/AZ","AZ"),0)</f>
        <v>0</v>
      </c>
      <c r="D165" s="125">
        <v>2.8593999999999999</v>
      </c>
      <c r="E165" s="18">
        <f t="shared" si="27"/>
        <v>0</v>
      </c>
      <c r="F165" s="2">
        <f t="shared" ref="F165:F177" si="36">E165</f>
        <v>0</v>
      </c>
      <c r="G165" s="1">
        <f>IFERROR(VLOOKUP(ROUND(A165,0),'[2]Alameda Capitalization'!$A:$M,13,0),0)</f>
        <v>0</v>
      </c>
      <c r="H165" s="2">
        <f t="shared" si="35"/>
        <v>0</v>
      </c>
      <c r="I165" s="326">
        <f>C165-IFERROR(VLOOKUP(A165,'[1]AZ DL&amp;OH FG'!$A:$F,3,0),0)</f>
        <v>0</v>
      </c>
      <c r="J165" s="326">
        <f t="shared" si="32"/>
        <v>0</v>
      </c>
      <c r="K165" s="2"/>
      <c r="L165" s="2"/>
    </row>
    <row r="166" spans="1:13">
      <c r="A166" s="4">
        <v>5292</v>
      </c>
      <c r="B166" t="s">
        <v>1580</v>
      </c>
      <c r="C166" s="229">
        <f>IFERROR(GETPIVOTDATA("Sum of qty",PT!$A$17,"product",A166,"FL/AZ","AZ"),0)</f>
        <v>0</v>
      </c>
      <c r="D166" s="125">
        <v>3</v>
      </c>
      <c r="E166" s="18">
        <f t="shared" si="27"/>
        <v>0</v>
      </c>
      <c r="F166" s="2">
        <f t="shared" si="36"/>
        <v>0</v>
      </c>
      <c r="G166" s="1">
        <f>IFERROR(VLOOKUP(ROUND(A166,0),'[2]Alameda Capitalization'!$A:$M,13,0),0)</f>
        <v>0</v>
      </c>
      <c r="H166" s="2">
        <f t="shared" si="35"/>
        <v>0</v>
      </c>
      <c r="I166" s="326">
        <f>C166-IFERROR(VLOOKUP(A166,'[1]AZ DL&amp;OH FG'!$A:$F,3,0),0)</f>
        <v>0</v>
      </c>
      <c r="J166" s="326">
        <f t="shared" si="32"/>
        <v>0</v>
      </c>
      <c r="K166" s="2"/>
      <c r="L166" s="2"/>
    </row>
    <row r="167" spans="1:13">
      <c r="A167" s="4">
        <v>5314</v>
      </c>
      <c r="B167" s="157" t="s">
        <v>1581</v>
      </c>
      <c r="C167" s="229">
        <f>IFERROR(GETPIVOTDATA("Sum of qty",PT!$A$17,"product",A167,"FL/AZ","AZ"),0)</f>
        <v>627</v>
      </c>
      <c r="D167" s="125">
        <v>3</v>
      </c>
      <c r="E167" s="18">
        <f t="shared" si="27"/>
        <v>1881</v>
      </c>
      <c r="F167" s="2"/>
      <c r="G167" s="1">
        <f>IFERROR(VLOOKUP(ROUND(A167,0),'[2]Alameda Capitalization'!$A:$M,13,0),0)</f>
        <v>0.10435050172224959</v>
      </c>
      <c r="H167" s="2">
        <f t="shared" si="35"/>
        <v>65.427764579850489</v>
      </c>
      <c r="I167" s="326">
        <f>C167-IFERROR(VLOOKUP(A167,'[1]AZ DL&amp;OH FG'!$A:$F,3,0),0)</f>
        <v>241</v>
      </c>
      <c r="J167" s="326">
        <f t="shared" si="32"/>
        <v>723</v>
      </c>
      <c r="K167" s="2"/>
      <c r="L167" s="2"/>
    </row>
    <row r="168" spans="1:13">
      <c r="A168" s="163">
        <v>5315</v>
      </c>
      <c r="B168" s="157" t="s">
        <v>508</v>
      </c>
      <c r="C168" s="229">
        <f>IFERROR(GETPIVOTDATA("Sum of qty",PT!$A$17,"product",A168,"FL/AZ","AZ"),0)</f>
        <v>325</v>
      </c>
      <c r="D168" s="125">
        <v>3</v>
      </c>
      <c r="E168" s="18">
        <f t="shared" ref="E168" si="37">C168*D168</f>
        <v>975</v>
      </c>
      <c r="F168" s="2"/>
      <c r="G168" s="1">
        <f>IFERROR(VLOOKUP(ROUND(A168,0),'[2]Alameda Capitalization'!$A:$M,13,0),0)</f>
        <v>0.10435050172224959</v>
      </c>
      <c r="H168" s="2">
        <f>G168*C168</f>
        <v>33.913913059731115</v>
      </c>
      <c r="I168" s="326">
        <f>C168-IFERROR(VLOOKUP(A168,'[1]AZ DL&amp;OH FG'!$A:$F,3,0),0)</f>
        <v>133</v>
      </c>
      <c r="J168" s="326">
        <f t="shared" si="32"/>
        <v>399</v>
      </c>
      <c r="K168" s="2"/>
      <c r="L168" s="2"/>
    </row>
    <row r="169" spans="1:13">
      <c r="A169" s="244">
        <v>5316</v>
      </c>
      <c r="B169" s="157" t="s">
        <v>1582</v>
      </c>
      <c r="C169" s="229">
        <f>IFERROR(GETPIVOTDATA("Sum of qty",PT!$A$17,"product",A169,"FL/AZ","AZ"),0)</f>
        <v>0</v>
      </c>
      <c r="D169" s="125">
        <v>1.5</v>
      </c>
      <c r="E169" s="18">
        <f t="shared" ref="E169" si="38">C169*D169</f>
        <v>0</v>
      </c>
      <c r="F169" s="2"/>
      <c r="G169" s="1">
        <f>IFERROR(VLOOKUP(ROUND(A169,0),'[2]Alameda Capitalization'!$A:$M,13,0),0)</f>
        <v>0</v>
      </c>
      <c r="H169" s="2">
        <f t="shared" si="35"/>
        <v>0</v>
      </c>
      <c r="I169" s="326">
        <f>C169-IFERROR(VLOOKUP(A169,'[1]AZ DL&amp;OH FG'!$A:$F,3,0),0)</f>
        <v>0</v>
      </c>
      <c r="J169" s="326">
        <f t="shared" si="32"/>
        <v>0</v>
      </c>
      <c r="K169" s="2"/>
      <c r="L169" s="2"/>
    </row>
    <row r="170" spans="1:13">
      <c r="A170" s="244">
        <v>5516</v>
      </c>
      <c r="B170" s="157" t="s">
        <v>1583</v>
      </c>
      <c r="C170" s="229">
        <f>IFERROR(GETPIVOTDATA("Sum of qty",PT!$A$17,"product",A170,"FL/AZ","AZ"),0)</f>
        <v>0</v>
      </c>
      <c r="D170" s="125">
        <v>1.5</v>
      </c>
      <c r="E170" s="18">
        <f t="shared" si="27"/>
        <v>0</v>
      </c>
      <c r="F170" s="2"/>
      <c r="G170" s="1">
        <f>IFERROR(VLOOKUP(ROUND(A170,0),'[2]Alameda Capitalization'!$A:$M,13,0),0)</f>
        <v>0</v>
      </c>
      <c r="H170" s="2">
        <f t="shared" si="35"/>
        <v>0</v>
      </c>
      <c r="I170" s="326">
        <f>C170-IFERROR(VLOOKUP(A170,'[1]AZ DL&amp;OH FG'!$A:$F,3,0),0)</f>
        <v>0</v>
      </c>
      <c r="J170" s="326">
        <f t="shared" si="32"/>
        <v>0</v>
      </c>
      <c r="K170" s="2"/>
      <c r="L170" s="2"/>
    </row>
    <row r="171" spans="1:13">
      <c r="A171" s="4">
        <v>5805</v>
      </c>
      <c r="B171" t="s">
        <v>1584</v>
      </c>
      <c r="C171" s="229">
        <f>IFERROR(GETPIVOTDATA("Sum of qty",PT!$A$17,"product",A171,"FL/AZ","AZ"),0)</f>
        <v>0</v>
      </c>
      <c r="D171" s="125">
        <v>4</v>
      </c>
      <c r="E171" s="18">
        <f t="shared" si="27"/>
        <v>0</v>
      </c>
      <c r="F171" s="2">
        <f t="shared" si="36"/>
        <v>0</v>
      </c>
      <c r="G171" s="1">
        <f>IFERROR(VLOOKUP(ROUND(A171,0),'[2]Alameda Capitalization'!$A:$M,13,0),0)</f>
        <v>0</v>
      </c>
      <c r="H171" s="2">
        <f t="shared" si="35"/>
        <v>0</v>
      </c>
      <c r="I171" s="326">
        <f>C171-IFERROR(VLOOKUP(A171,'[1]AZ DL&amp;OH FG'!$A:$F,3,0),0)</f>
        <v>0</v>
      </c>
      <c r="J171" s="326">
        <f t="shared" si="32"/>
        <v>0</v>
      </c>
      <c r="K171" s="2"/>
      <c r="L171" s="2"/>
    </row>
    <row r="172" spans="1:13">
      <c r="A172" s="4">
        <v>5806</v>
      </c>
      <c r="B172" s="157" t="s">
        <v>262</v>
      </c>
      <c r="C172" s="229">
        <f>IFERROR(GETPIVOTDATA("Sum of qty",PT!$A$17,"product",A172,"FL/AZ","AZ"),0)</f>
        <v>1241</v>
      </c>
      <c r="D172" s="125">
        <v>4</v>
      </c>
      <c r="E172" s="18">
        <f t="shared" si="27"/>
        <v>4964</v>
      </c>
      <c r="F172" s="2"/>
      <c r="G172" s="1">
        <f>IFERROR(VLOOKUP(ROUND(A172,0),'[2]Alameda Capitalization'!$A:$M,13,0),0)</f>
        <v>6.5219063576406E-2</v>
      </c>
      <c r="H172" s="2">
        <f>G172*C172</f>
        <v>80.936857898319843</v>
      </c>
      <c r="I172" s="326">
        <f>C172-IFERROR(VLOOKUP(A172,'[1]AZ DL&amp;OH FG'!$A:$F,3,0),0)</f>
        <v>-2192</v>
      </c>
      <c r="J172" s="326">
        <f t="shared" si="32"/>
        <v>-8768</v>
      </c>
      <c r="K172" s="2"/>
      <c r="L172" s="2"/>
    </row>
    <row r="173" spans="1:13">
      <c r="A173" s="4">
        <v>5807</v>
      </c>
      <c r="B173" s="157" t="s">
        <v>246</v>
      </c>
      <c r="C173" s="229">
        <f>IFERROR(GETPIVOTDATA("Sum of qty",PT!$A$17,"product",A173,"FL/AZ","AZ"),0)</f>
        <v>0</v>
      </c>
      <c r="D173" s="125">
        <v>4</v>
      </c>
      <c r="E173" s="18">
        <f t="shared" ref="E173" si="39">C173*D173</f>
        <v>0</v>
      </c>
      <c r="F173" s="2"/>
      <c r="G173" s="1">
        <f>IFERROR(VLOOKUP(ROUND(A173,0),'[2]Alameda Capitalization'!$A:$M,13,0),0)</f>
        <v>0</v>
      </c>
      <c r="H173" s="2">
        <f>G173*C173</f>
        <v>0</v>
      </c>
      <c r="I173" s="326">
        <f>C173-IFERROR(VLOOKUP(A173,'[1]AZ DL&amp;OH FG'!$A:$F,3,0),0)</f>
        <v>0</v>
      </c>
      <c r="J173" s="326">
        <f t="shared" ref="J173" si="40">I173*D173</f>
        <v>0</v>
      </c>
      <c r="K173" s="2"/>
      <c r="L173" s="2"/>
      <c r="M173" s="157"/>
    </row>
    <row r="174" spans="1:13">
      <c r="A174" s="163">
        <v>5815</v>
      </c>
      <c r="B174" t="s">
        <v>75</v>
      </c>
      <c r="C174" s="229">
        <f>IFERROR(GETPIVOTDATA("Sum of qty",PT!$A$17,"product",A174,"FL/AZ","AZ"),0)</f>
        <v>0</v>
      </c>
      <c r="D174" s="125">
        <v>3</v>
      </c>
      <c r="E174" s="18">
        <f t="shared" ref="E174" si="41">C174*D174</f>
        <v>0</v>
      </c>
      <c r="F174" s="2"/>
      <c r="G174" s="1">
        <f>IFERROR(VLOOKUP(ROUND(A174,0),'[2]Alameda Capitalization'!$A:$M,13,0),0)</f>
        <v>5.2175250861124796E-2</v>
      </c>
      <c r="H174" s="2">
        <f t="shared" si="35"/>
        <v>0</v>
      </c>
      <c r="I174" s="326">
        <f>C174-IFERROR(VLOOKUP(A174,'[1]AZ DL&amp;OH FG'!$A:$F,3,0),0)</f>
        <v>0</v>
      </c>
      <c r="J174" s="326">
        <f t="shared" si="32"/>
        <v>0</v>
      </c>
      <c r="K174" s="2"/>
      <c r="L174" s="2"/>
    </row>
    <row r="175" spans="1:13">
      <c r="A175" s="4">
        <v>6217</v>
      </c>
      <c r="B175" t="s">
        <v>1585</v>
      </c>
      <c r="C175" s="229">
        <f>IFERROR(GETPIVOTDATA("Sum of qty",PT!$A$17,"product",A175,"FL/AZ","AZ"),0)</f>
        <v>0</v>
      </c>
      <c r="D175" s="125">
        <v>1.4410000000000001</v>
      </c>
      <c r="E175" s="18">
        <f t="shared" si="27"/>
        <v>0</v>
      </c>
      <c r="F175" s="2">
        <f t="shared" si="36"/>
        <v>0</v>
      </c>
      <c r="G175" s="1">
        <f>IFERROR(VLOOKUP(ROUND(A175,0),'[2]Alameda Capitalization'!$A:$M,13,0),0)</f>
        <v>0</v>
      </c>
      <c r="H175" s="2">
        <f t="shared" si="35"/>
        <v>0</v>
      </c>
      <c r="I175" s="326">
        <f>C175-IFERROR(VLOOKUP(A175,'[1]AZ DL&amp;OH FG'!$A:$F,3,0),0)</f>
        <v>0</v>
      </c>
      <c r="J175" s="326">
        <f t="shared" si="32"/>
        <v>0</v>
      </c>
      <c r="K175" s="2"/>
      <c r="L175" s="2"/>
    </row>
    <row r="176" spans="1:13">
      <c r="A176" s="4">
        <v>6225</v>
      </c>
      <c r="B176" t="s">
        <v>1586</v>
      </c>
      <c r="C176" s="229">
        <f>IFERROR(GETPIVOTDATA("Sum of qty",PT!$A$17,"product",A176,"FL/AZ","AZ"),0)</f>
        <v>1425</v>
      </c>
      <c r="D176" s="125">
        <v>1.4297</v>
      </c>
      <c r="E176" s="18">
        <f t="shared" si="27"/>
        <v>2037.3225</v>
      </c>
      <c r="F176" s="2">
        <f t="shared" si="36"/>
        <v>2037.3225</v>
      </c>
      <c r="G176" s="1">
        <f>IFERROR(VLOOKUP(ROUND(A176,0),'[2]Alameda Capitalization'!$A:$M,13,0),0)</f>
        <v>0.21739687858802001</v>
      </c>
      <c r="H176" s="2">
        <f t="shared" si="35"/>
        <v>309.7905519879285</v>
      </c>
      <c r="I176" s="326">
        <f>C176-IFERROR(VLOOKUP(A176,'[1]AZ DL&amp;OH FG'!$A:$F,3,0),0)</f>
        <v>268</v>
      </c>
      <c r="J176" s="326">
        <f t="shared" si="32"/>
        <v>383.15960000000001</v>
      </c>
      <c r="K176" s="2"/>
      <c r="L176" s="2"/>
    </row>
    <row r="177" spans="1:12">
      <c r="A177" s="4">
        <v>6227</v>
      </c>
      <c r="B177" t="s">
        <v>1587</v>
      </c>
      <c r="C177" s="229">
        <f>IFERROR(GETPIVOTDATA("Sum of qty",PT!$A$17,"product",A177,"FL/AZ","AZ"),0)</f>
        <v>296</v>
      </c>
      <c r="D177" s="125">
        <v>3.8125</v>
      </c>
      <c r="E177" s="18">
        <f t="shared" si="27"/>
        <v>1128.5</v>
      </c>
      <c r="F177" s="2">
        <f t="shared" si="36"/>
        <v>1128.5</v>
      </c>
      <c r="G177" s="1">
        <f>IFERROR(VLOOKUP(ROUND(A177,0),'[2]Alameda Capitalization'!$A:$M,13,0),0)</f>
        <v>0.43479375717604002</v>
      </c>
      <c r="H177" s="2">
        <f t="shared" si="35"/>
        <v>128.69895212410785</v>
      </c>
      <c r="I177" s="326">
        <f>C177-IFERROR(VLOOKUP(A177,'[1]AZ DL&amp;OH FG'!$A:$F,3,0),0)</f>
        <v>-90</v>
      </c>
      <c r="J177" s="326">
        <f t="shared" si="32"/>
        <v>-343.125</v>
      </c>
      <c r="K177" s="2"/>
      <c r="L177" s="2"/>
    </row>
    <row r="178" spans="1:12">
      <c r="A178" s="4">
        <v>6501</v>
      </c>
      <c r="B178" t="s">
        <v>570</v>
      </c>
      <c r="C178" s="229">
        <f>IFERROR(GETPIVOTDATA("Sum of qty",PT!$A$17,"product",A178,"FL/AZ","AZ"),0)</f>
        <v>1004</v>
      </c>
      <c r="D178" s="125">
        <v>4</v>
      </c>
      <c r="E178" s="18">
        <f t="shared" si="27"/>
        <v>4016</v>
      </c>
      <c r="F178" s="2"/>
      <c r="G178" s="1">
        <f>IFERROR(VLOOKUP(ROUND(A178,0),'[2]Alameda Capitalization'!$A:$M,13,0),0)</f>
        <v>6.5219063576406E-2</v>
      </c>
      <c r="H178" s="2">
        <f t="shared" si="35"/>
        <v>65.479939830711629</v>
      </c>
      <c r="I178" s="326">
        <f>C178-IFERROR(VLOOKUP(A178,'[1]AZ DL&amp;OH FG'!$A:$F,3,0),0)</f>
        <v>695</v>
      </c>
      <c r="J178" s="326">
        <f t="shared" si="32"/>
        <v>2780</v>
      </c>
      <c r="K178" s="2"/>
      <c r="L178" s="2"/>
    </row>
    <row r="179" spans="1:12">
      <c r="A179" s="4">
        <v>6502</v>
      </c>
      <c r="B179" t="s">
        <v>574</v>
      </c>
      <c r="C179" s="229">
        <f>IFERROR(GETPIVOTDATA("Sum of qty",PT!$A$17,"product",A179,"FL/AZ","AZ"),0)</f>
        <v>2921</v>
      </c>
      <c r="D179" s="125">
        <v>4</v>
      </c>
      <c r="E179" s="18">
        <f t="shared" si="27"/>
        <v>11684</v>
      </c>
      <c r="F179" s="2"/>
      <c r="G179" s="1">
        <f>IFERROR(VLOOKUP(ROUND(A179,0),'[2]Alameda Capitalization'!$A:$M,13,0),0)</f>
        <v>6.5219063576406E-2</v>
      </c>
      <c r="H179" s="2">
        <f t="shared" si="35"/>
        <v>190.50488470668193</v>
      </c>
      <c r="I179" s="326">
        <f>C179-IFERROR(VLOOKUP(A179,'[1]AZ DL&amp;OH FG'!$A:$F,3,0),0)</f>
        <v>1894</v>
      </c>
      <c r="J179" s="326">
        <f t="shared" si="32"/>
        <v>7576</v>
      </c>
      <c r="K179" s="2"/>
      <c r="L179" s="2"/>
    </row>
    <row r="180" spans="1:12" ht="12.75" customHeight="1">
      <c r="A180" s="4">
        <v>6503</v>
      </c>
      <c r="B180" t="s">
        <v>1588</v>
      </c>
      <c r="C180" s="229">
        <f>IFERROR(GETPIVOTDATA("Sum of qty",PT!$A$17,"product",A180,"FL/AZ","AZ"),0)</f>
        <v>0</v>
      </c>
      <c r="D180" s="125">
        <v>3</v>
      </c>
      <c r="E180" s="18">
        <f t="shared" si="27"/>
        <v>0</v>
      </c>
      <c r="F180" s="2"/>
      <c r="G180" s="1">
        <f>IFERROR(VLOOKUP(ROUND(A180,0),'[2]Alameda Capitalization'!$A:$M,13,0),0)</f>
        <v>0</v>
      </c>
      <c r="H180" s="2">
        <f t="shared" si="35"/>
        <v>0</v>
      </c>
      <c r="I180" s="326">
        <f>C180-IFERROR(VLOOKUP(A180,'[1]AZ DL&amp;OH FG'!$A:$F,3,0),0)</f>
        <v>0</v>
      </c>
      <c r="J180" s="326">
        <f t="shared" si="32"/>
        <v>0</v>
      </c>
      <c r="K180" s="2"/>
      <c r="L180" s="2"/>
    </row>
    <row r="181" spans="1:12" ht="12.75" customHeight="1">
      <c r="A181" s="4">
        <v>6506</v>
      </c>
      <c r="B181" t="s">
        <v>615</v>
      </c>
      <c r="C181" s="229">
        <f>IFERROR(GETPIVOTDATA("Sum of qty",PT!$A$17,"product",A181,"FL/AZ","AZ"),0)</f>
        <v>2344</v>
      </c>
      <c r="D181" s="125">
        <v>3</v>
      </c>
      <c r="E181" s="18">
        <f t="shared" si="27"/>
        <v>7032</v>
      </c>
      <c r="F181" s="2"/>
      <c r="G181" s="1">
        <f>IFERROR(VLOOKUP(ROUND(A181,0),'[2]Alameda Capitalization'!$A:$M,13,0),0)</f>
        <v>5.2175250861124796E-2</v>
      </c>
      <c r="H181" s="2">
        <f t="shared" si="35"/>
        <v>122.29878801847651</v>
      </c>
      <c r="I181" s="326">
        <f>C181-IFERROR(VLOOKUP(A181,'[1]AZ DL&amp;OH FG'!$A:$F,3,0),0)</f>
        <v>1140</v>
      </c>
      <c r="J181" s="326">
        <f t="shared" si="32"/>
        <v>3420</v>
      </c>
      <c r="K181" s="2"/>
      <c r="L181" s="2"/>
    </row>
    <row r="182" spans="1:12" ht="12.75" customHeight="1">
      <c r="A182" s="4">
        <v>6508</v>
      </c>
      <c r="B182" t="s">
        <v>580</v>
      </c>
      <c r="C182" s="229">
        <f>IFERROR(GETPIVOTDATA("Sum of qty",PT!$A$17,"product",A182,"FL/AZ","AZ"),0)</f>
        <v>1872</v>
      </c>
      <c r="D182" s="125">
        <v>4</v>
      </c>
      <c r="E182" s="18">
        <f t="shared" si="27"/>
        <v>7488</v>
      </c>
      <c r="F182" s="2"/>
      <c r="G182" s="1">
        <f>IFERROR(VLOOKUP(ROUND(A182,0),'[2]Alameda Capitalization'!$A:$M,13,0),0)</f>
        <v>6.5219063576406E-2</v>
      </c>
      <c r="H182" s="2">
        <f t="shared" si="35"/>
        <v>122.09008701503203</v>
      </c>
      <c r="I182" s="326">
        <f>C182-IFERROR(VLOOKUP(A182,'[1]AZ DL&amp;OH FG'!$A:$F,3,0),0)</f>
        <v>726</v>
      </c>
      <c r="J182" s="326">
        <f t="shared" si="32"/>
        <v>2904</v>
      </c>
      <c r="K182" s="2"/>
      <c r="L182" s="2"/>
    </row>
    <row r="183" spans="1:12" ht="12.75" customHeight="1">
      <c r="A183" s="4">
        <v>6510</v>
      </c>
      <c r="B183" t="s">
        <v>1589</v>
      </c>
      <c r="C183" s="229">
        <f>IFERROR(GETPIVOTDATA("Sum of qty",PT!$A$17,"product",A183,"FL/AZ","AZ"),0)</f>
        <v>0</v>
      </c>
      <c r="D183" s="125">
        <v>4</v>
      </c>
      <c r="E183" s="18">
        <f t="shared" si="27"/>
        <v>0</v>
      </c>
      <c r="F183" s="2"/>
      <c r="G183" s="1">
        <f>IFERROR(VLOOKUP(ROUND(A183,0),'[2]Alameda Capitalization'!$A:$M,13,0),0)</f>
        <v>6.5219063576406E-2</v>
      </c>
      <c r="H183" s="2">
        <f t="shared" si="35"/>
        <v>0</v>
      </c>
      <c r="I183" s="326">
        <f>C183-IFERROR(VLOOKUP(A183,'[1]AZ DL&amp;OH FG'!$A:$F,3,0),0)</f>
        <v>0</v>
      </c>
      <c r="J183" s="326">
        <f t="shared" si="32"/>
        <v>0</v>
      </c>
      <c r="K183" s="2"/>
      <c r="L183" s="2"/>
    </row>
    <row r="184" spans="1:12">
      <c r="A184" s="4">
        <v>6513</v>
      </c>
      <c r="B184" t="s">
        <v>637</v>
      </c>
      <c r="C184" s="229">
        <f>IFERROR(GETPIVOTDATA("Sum of qty",PT!$A$17,"product",A184,"FL/AZ","AZ"),0)</f>
        <v>608</v>
      </c>
      <c r="D184" s="125">
        <v>3</v>
      </c>
      <c r="E184" s="18">
        <f t="shared" si="27"/>
        <v>1824</v>
      </c>
      <c r="F184" s="2"/>
      <c r="G184" s="1">
        <f>IFERROR(VLOOKUP(ROUND(A184,0),'[2]Alameda Capitalization'!$A:$M,13,0),0)</f>
        <v>5.2175250861124796E-2</v>
      </c>
      <c r="H184" s="2">
        <f t="shared" si="35"/>
        <v>31.722552523563877</v>
      </c>
      <c r="I184" s="326">
        <f>C184-IFERROR(VLOOKUP(A184,'[1]AZ DL&amp;OH FG'!$A:$F,3,0),0)</f>
        <v>48</v>
      </c>
      <c r="J184" s="326">
        <f t="shared" si="32"/>
        <v>144</v>
      </c>
      <c r="K184" s="2"/>
      <c r="L184" s="2"/>
    </row>
    <row r="185" spans="1:12">
      <c r="A185" s="4">
        <v>6516</v>
      </c>
      <c r="B185" t="s">
        <v>575</v>
      </c>
      <c r="C185" s="229">
        <f>IFERROR(GETPIVOTDATA("Sum of qty",PT!$A$17,"product",A185,"FL/AZ","AZ"),0)</f>
        <v>2837</v>
      </c>
      <c r="D185" s="125">
        <v>1.5</v>
      </c>
      <c r="E185" s="18">
        <f t="shared" si="27"/>
        <v>4255.5</v>
      </c>
      <c r="F185" s="2"/>
      <c r="G185" s="1">
        <f>IFERROR(VLOOKUP(ROUND(A185,0),'[2]Alameda Capitalization'!$A:$M,13,0),0)</f>
        <v>3.2609531788203E-2</v>
      </c>
      <c r="H185" s="2">
        <f t="shared" si="35"/>
        <v>92.513241683131909</v>
      </c>
      <c r="I185" s="326">
        <f>C185-IFERROR(VLOOKUP(A185,'[1]AZ DL&amp;OH FG'!$A:$F,3,0),0)</f>
        <v>-54</v>
      </c>
      <c r="J185" s="326">
        <f t="shared" si="32"/>
        <v>-81</v>
      </c>
      <c r="K185" s="2"/>
      <c r="L185" s="2"/>
    </row>
    <row r="186" spans="1:12">
      <c r="A186" s="4">
        <v>6518</v>
      </c>
      <c r="B186" t="s">
        <v>1590</v>
      </c>
      <c r="C186" s="229">
        <f>IFERROR(GETPIVOTDATA("Sum of qty",PT!$A$17,"product",A186,"FL/AZ","AZ"),0)</f>
        <v>0</v>
      </c>
      <c r="D186" s="125">
        <v>1.44</v>
      </c>
      <c r="E186" s="18">
        <f t="shared" si="27"/>
        <v>0</v>
      </c>
      <c r="F186" s="2">
        <f>E186</f>
        <v>0</v>
      </c>
      <c r="G186" s="1">
        <f>IFERROR(VLOOKUP(ROUND(A186,0),'[2]Alameda Capitalization'!$A:$M,13,0),0)</f>
        <v>0</v>
      </c>
      <c r="H186" s="2">
        <f t="shared" si="35"/>
        <v>0</v>
      </c>
      <c r="I186" s="326">
        <f>C186-IFERROR(VLOOKUP(A186,'[1]AZ DL&amp;OH FG'!$A:$F,3,0),0)</f>
        <v>0</v>
      </c>
      <c r="J186" s="326">
        <f t="shared" si="32"/>
        <v>0</v>
      </c>
      <c r="K186" s="2"/>
      <c r="L186" s="2"/>
    </row>
    <row r="187" spans="1:12">
      <c r="A187" s="4">
        <v>6524</v>
      </c>
      <c r="B187" t="s">
        <v>1591</v>
      </c>
      <c r="C187" s="229">
        <f>IFERROR(GETPIVOTDATA("Sum of qty",PT!$A$17,"product",A187,"FL/AZ","AZ"),0)</f>
        <v>0</v>
      </c>
      <c r="D187" s="125">
        <v>4.5</v>
      </c>
      <c r="E187" s="18">
        <f t="shared" si="27"/>
        <v>0</v>
      </c>
      <c r="F187" s="2"/>
      <c r="G187" s="1">
        <f>IFERROR(VLOOKUP(ROUND(A187,0),'[2]Alameda Capitalization'!$A:$M,13,0),0)</f>
        <v>0</v>
      </c>
      <c r="H187" s="2">
        <f t="shared" si="35"/>
        <v>0</v>
      </c>
      <c r="I187" s="326">
        <f>C187-IFERROR(VLOOKUP(A187,'[1]AZ DL&amp;OH FG'!$A:$F,3,0),0)</f>
        <v>0</v>
      </c>
      <c r="J187" s="326">
        <f t="shared" si="32"/>
        <v>0</v>
      </c>
      <c r="K187" s="2"/>
      <c r="L187" s="2"/>
    </row>
    <row r="188" spans="1:12">
      <c r="A188" s="4">
        <v>6527</v>
      </c>
      <c r="B188" t="s">
        <v>1592</v>
      </c>
      <c r="C188" s="229">
        <f>IFERROR(GETPIVOTDATA("Sum of qty",PT!$A$17,"product",A188,"FL/AZ","AZ"),0)</f>
        <v>0</v>
      </c>
      <c r="D188" s="125">
        <v>4</v>
      </c>
      <c r="E188" s="18">
        <f t="shared" si="27"/>
        <v>0</v>
      </c>
      <c r="F188" s="2"/>
      <c r="G188" s="1">
        <f>IFERROR(VLOOKUP(ROUND(A188,0),'[2]Alameda Capitalization'!$A:$M,13,0),0)</f>
        <v>0</v>
      </c>
      <c r="H188" s="2">
        <f t="shared" si="35"/>
        <v>0</v>
      </c>
      <c r="I188" s="326">
        <f>C188-IFERROR(VLOOKUP(A188,'[1]AZ DL&amp;OH FG'!$A:$F,3,0),0)</f>
        <v>0</v>
      </c>
      <c r="J188" s="326">
        <f t="shared" si="32"/>
        <v>0</v>
      </c>
      <c r="K188" s="2"/>
      <c r="L188" s="2"/>
    </row>
    <row r="189" spans="1:12">
      <c r="A189" s="4">
        <v>6590</v>
      </c>
      <c r="B189" t="s">
        <v>1593</v>
      </c>
      <c r="C189" s="229">
        <f>IFERROR(GETPIVOTDATA("Sum of qty",PT!$A$17,"product",A189,"FL/AZ","AZ"),0)</f>
        <v>509</v>
      </c>
      <c r="D189" s="125">
        <v>3</v>
      </c>
      <c r="E189" s="18">
        <f t="shared" si="27"/>
        <v>1527</v>
      </c>
      <c r="F189" s="2">
        <f>E189</f>
        <v>1527</v>
      </c>
      <c r="G189" s="1">
        <f>IFERROR(VLOOKUP(ROUND(A189,0),'[2]Alameda Capitalization'!$A:$M,13,0),0)</f>
        <v>0.43479375717604002</v>
      </c>
      <c r="H189" s="2">
        <f t="shared" si="35"/>
        <v>221.31002240260437</v>
      </c>
      <c r="I189" s="326">
        <f>C189-IFERROR(VLOOKUP(A189,'[1]AZ DL&amp;OH FG'!$A:$F,3,0),0)</f>
        <v>359</v>
      </c>
      <c r="J189" s="326">
        <f t="shared" si="32"/>
        <v>1077</v>
      </c>
      <c r="K189" s="2"/>
      <c r="L189" s="2"/>
    </row>
    <row r="190" spans="1:12">
      <c r="A190" s="4">
        <v>6591</v>
      </c>
      <c r="B190" t="s">
        <v>507</v>
      </c>
      <c r="C190" s="229">
        <f>IFERROR(GETPIVOTDATA("Sum of qty",PT!$A$17,"product",A190,"FL/AZ","AZ"),0)</f>
        <v>2054</v>
      </c>
      <c r="D190" s="125">
        <v>4</v>
      </c>
      <c r="E190" s="18">
        <f t="shared" si="27"/>
        <v>8216</v>
      </c>
      <c r="F190" s="2"/>
      <c r="G190" s="1">
        <f>IFERROR(VLOOKUP(ROUND(A190,0),'[2]Alameda Capitalization'!$A:$M,13,0),0)</f>
        <v>6.5219063576406E-2</v>
      </c>
      <c r="H190" s="2">
        <f t="shared" si="35"/>
        <v>133.95995658593793</v>
      </c>
      <c r="I190" s="326">
        <f>C190-IFERROR(VLOOKUP(A190,'[1]AZ DL&amp;OH FG'!$A:$F,3,0),0)</f>
        <v>1171</v>
      </c>
      <c r="J190" s="326">
        <f t="shared" si="32"/>
        <v>4684</v>
      </c>
      <c r="K190" s="2"/>
      <c r="L190" s="2"/>
    </row>
    <row r="191" spans="1:12">
      <c r="A191" s="4">
        <v>6593</v>
      </c>
      <c r="B191" t="s">
        <v>572</v>
      </c>
      <c r="C191" s="229">
        <f>IFERROR(GETPIVOTDATA("Sum of qty",PT!$A$17,"product",A191,"FL/AZ","AZ"),0)</f>
        <v>1722</v>
      </c>
      <c r="D191" s="125">
        <v>1.5</v>
      </c>
      <c r="E191" s="18">
        <f t="shared" si="27"/>
        <v>2583</v>
      </c>
      <c r="F191" s="2"/>
      <c r="G191" s="1">
        <f>IFERROR(VLOOKUP(ROUND(A191,0),'[2]Alameda Capitalization'!$A:$M,13,0),0)</f>
        <v>3.2609531788203E-2</v>
      </c>
      <c r="H191" s="2">
        <f t="shared" si="35"/>
        <v>56.153613739285568</v>
      </c>
      <c r="I191" s="326">
        <f>C191-IFERROR(VLOOKUP(A191,'[1]AZ DL&amp;OH FG'!$A:$F,3,0),0)</f>
        <v>-533</v>
      </c>
      <c r="J191" s="326">
        <f t="shared" si="32"/>
        <v>-799.5</v>
      </c>
      <c r="K191" s="2"/>
      <c r="L191" s="2"/>
    </row>
    <row r="192" spans="1:12">
      <c r="A192" s="4">
        <v>6594</v>
      </c>
      <c r="B192" t="s">
        <v>1594</v>
      </c>
      <c r="C192" s="229">
        <f>IFERROR(GETPIVOTDATA("Sum of qty",PT!$A$17,"product",A192,"FL/AZ","AZ"),0)</f>
        <v>0</v>
      </c>
      <c r="D192" s="125">
        <v>1.4410000000000001</v>
      </c>
      <c r="E192" s="18">
        <f t="shared" si="27"/>
        <v>0</v>
      </c>
      <c r="F192" s="2">
        <f>E192</f>
        <v>0</v>
      </c>
      <c r="G192" s="1">
        <f>IFERROR(VLOOKUP(ROUND(A192,0),'[2]Alameda Capitalization'!$A:$M,13,0),0)</f>
        <v>0</v>
      </c>
      <c r="H192" s="2">
        <f t="shared" si="35"/>
        <v>0</v>
      </c>
      <c r="I192" s="326">
        <f>C192-IFERROR(VLOOKUP(A192,'[1]AZ DL&amp;OH FG'!$A:$F,3,0),0)</f>
        <v>0</v>
      </c>
      <c r="J192" s="326">
        <f t="shared" si="32"/>
        <v>0</v>
      </c>
      <c r="K192" s="2"/>
      <c r="L192" s="2"/>
    </row>
    <row r="193" spans="1:12">
      <c r="A193" s="4">
        <v>6595</v>
      </c>
      <c r="B193" t="s">
        <v>1595</v>
      </c>
      <c r="C193" s="229">
        <f>IFERROR(GETPIVOTDATA("Sum of qty",PT!$A$17,"product",A193,"FL/AZ","AZ"),0)</f>
        <v>0</v>
      </c>
      <c r="D193" s="125">
        <v>3.8828</v>
      </c>
      <c r="E193" s="18">
        <f t="shared" si="27"/>
        <v>0</v>
      </c>
      <c r="F193" s="2">
        <f>E193</f>
        <v>0</v>
      </c>
      <c r="G193" s="1">
        <f>IFERROR(VLOOKUP(ROUND(A193,0),'[2]Alameda Capitalization'!$A:$M,13,0),0)</f>
        <v>0</v>
      </c>
      <c r="H193" s="2">
        <f t="shared" si="35"/>
        <v>0</v>
      </c>
      <c r="I193" s="326">
        <f>C193-IFERROR(VLOOKUP(A193,'[1]AZ DL&amp;OH FG'!$A:$F,3,0),0)</f>
        <v>0</v>
      </c>
      <c r="J193" s="326">
        <f t="shared" si="32"/>
        <v>0</v>
      </c>
      <c r="K193" s="2"/>
      <c r="L193" s="2"/>
    </row>
    <row r="194" spans="1:12">
      <c r="A194" s="4">
        <v>6596</v>
      </c>
      <c r="B194" s="157" t="s">
        <v>1596</v>
      </c>
      <c r="C194" s="229">
        <f>IFERROR(GETPIVOTDATA("Sum of qty",PT!$A$17,"product",A194,"FL/AZ","AZ"),0)</f>
        <v>0</v>
      </c>
      <c r="D194" s="125">
        <v>3</v>
      </c>
      <c r="E194" s="18">
        <f t="shared" ref="E194:E275" si="42">C194*D194</f>
        <v>0</v>
      </c>
      <c r="F194" s="2"/>
      <c r="G194" s="1">
        <f>IFERROR(VLOOKUP(ROUND(A194,0),'[2]Alameda Capitalization'!$A:$M,13,0),0)</f>
        <v>0</v>
      </c>
      <c r="H194" s="2">
        <f t="shared" si="35"/>
        <v>0</v>
      </c>
      <c r="I194" s="326">
        <f>C194-IFERROR(VLOOKUP(A194,'[1]AZ DL&amp;OH FG'!$A:$F,3,0),0)</f>
        <v>0</v>
      </c>
      <c r="J194" s="326">
        <f t="shared" si="32"/>
        <v>0</v>
      </c>
      <c r="K194" s="2"/>
      <c r="L194" s="2"/>
    </row>
    <row r="195" spans="1:12">
      <c r="A195" s="4">
        <v>6598</v>
      </c>
      <c r="B195" s="157" t="s">
        <v>1597</v>
      </c>
      <c r="C195" s="229">
        <f>IFERROR(GETPIVOTDATA("Sum of qty",PT!$A$17,"product",A195,"FL/AZ","AZ"),0)</f>
        <v>0</v>
      </c>
      <c r="D195" s="125">
        <v>4.5</v>
      </c>
      <c r="E195" s="18">
        <f t="shared" si="42"/>
        <v>0</v>
      </c>
      <c r="F195" s="2"/>
      <c r="G195" s="1">
        <f>IFERROR(VLOOKUP(ROUND(A195,0),'[2]Alameda Capitalization'!$A:$M,13,0),0)</f>
        <v>0</v>
      </c>
      <c r="H195" s="2">
        <f t="shared" si="35"/>
        <v>0</v>
      </c>
      <c r="I195" s="326">
        <f>C195-IFERROR(VLOOKUP(A195,'[1]AZ DL&amp;OH FG'!$A:$F,3,0),0)</f>
        <v>0</v>
      </c>
      <c r="J195" s="326">
        <f t="shared" si="32"/>
        <v>0</v>
      </c>
      <c r="K195" s="2"/>
      <c r="L195" s="2"/>
    </row>
    <row r="196" spans="1:12">
      <c r="A196" s="244">
        <v>6602</v>
      </c>
      <c r="B196" s="157" t="s">
        <v>1598</v>
      </c>
      <c r="C196" s="229">
        <f>IFERROR(GETPIVOTDATA("Sum of qty",PT!$A$17,"product",A196,"FL/AZ","AZ"),0)</f>
        <v>0</v>
      </c>
      <c r="D196" s="125">
        <f>0.9609375*4</f>
        <v>3.84375</v>
      </c>
      <c r="E196" s="18">
        <f t="shared" ref="E196" si="43">C196*D196</f>
        <v>0</v>
      </c>
      <c r="F196" s="2"/>
      <c r="G196" s="1">
        <f>IFERROR(VLOOKUP(ROUND(A196,0),'[2]Alameda Capitalization'!$A:$M,13,0),0)</f>
        <v>0</v>
      </c>
      <c r="H196" s="2">
        <f t="shared" si="35"/>
        <v>0</v>
      </c>
      <c r="I196" s="326">
        <f>C196-IFERROR(VLOOKUP(A196,'[1]AZ DL&amp;OH FG'!$A:$F,3,0),0)</f>
        <v>0</v>
      </c>
      <c r="J196" s="326">
        <f t="shared" si="32"/>
        <v>0</v>
      </c>
      <c r="K196" s="2"/>
      <c r="L196" s="2"/>
    </row>
    <row r="197" spans="1:12">
      <c r="A197" s="244" t="s">
        <v>1599</v>
      </c>
      <c r="B197" s="157" t="s">
        <v>1600</v>
      </c>
      <c r="C197" s="229">
        <f>IFERROR(GETPIVOTDATA("Sum of qty",PT!$A$17,"product",A197,"FL/AZ","AZ"),0)</f>
        <v>0</v>
      </c>
      <c r="D197" s="125">
        <f>30.5/128*6</f>
        <v>1.4296875</v>
      </c>
      <c r="E197" s="18">
        <f t="shared" ref="E197" si="44">C197*D197</f>
        <v>0</v>
      </c>
      <c r="F197" s="2">
        <f>E197</f>
        <v>0</v>
      </c>
      <c r="G197" s="1">
        <f>IFERROR(VLOOKUP(ROUND(A197,0),'[2]Alameda Capitalization'!$A:$M,13,0),0)</f>
        <v>0</v>
      </c>
      <c r="H197" s="2">
        <f t="shared" si="35"/>
        <v>0</v>
      </c>
      <c r="I197" s="326">
        <f>C197-IFERROR(VLOOKUP(A197,'[1]AZ DL&amp;OH FG'!$A:$F,3,0),0)</f>
        <v>0</v>
      </c>
      <c r="J197" s="326">
        <f t="shared" si="32"/>
        <v>0</v>
      </c>
      <c r="K197" s="2"/>
      <c r="L197" s="2"/>
    </row>
    <row r="198" spans="1:12">
      <c r="A198" s="4">
        <v>6617</v>
      </c>
      <c r="B198" t="s">
        <v>1601</v>
      </c>
      <c r="C198" s="229">
        <f>IFERROR(GETPIVOTDATA("Sum of qty",PT!$A$17,"product",A198,"FL/AZ","AZ"),0)</f>
        <v>345</v>
      </c>
      <c r="D198" s="125">
        <v>3</v>
      </c>
      <c r="E198" s="18">
        <f t="shared" si="42"/>
        <v>1035</v>
      </c>
      <c r="F198" s="2"/>
      <c r="G198" s="1">
        <f>IFERROR(VLOOKUP(ROUND(A198,0),'[2]Alameda Capitalization'!$A:$M,13,0),0)</f>
        <v>5.2175250861124796E-2</v>
      </c>
      <c r="H198" s="2">
        <f t="shared" si="35"/>
        <v>18.000461547088054</v>
      </c>
      <c r="I198" s="326">
        <f>C198-IFERROR(VLOOKUP(A198,'[1]AZ DL&amp;OH FG'!$A:$F,3,0),0)</f>
        <v>-61</v>
      </c>
      <c r="J198" s="326">
        <f t="shared" si="32"/>
        <v>-183</v>
      </c>
      <c r="K198" s="2"/>
      <c r="L198" s="2"/>
    </row>
    <row r="199" spans="1:12">
      <c r="A199" s="4">
        <v>6618</v>
      </c>
      <c r="B199" t="s">
        <v>1602</v>
      </c>
      <c r="C199" s="229">
        <f>IFERROR(GETPIVOTDATA("Sum of qty",PT!$A$17,"product",A199,"FL/AZ","AZ"),0)</f>
        <v>0</v>
      </c>
      <c r="D199" s="125">
        <v>3</v>
      </c>
      <c r="E199" s="18">
        <f t="shared" si="42"/>
        <v>0</v>
      </c>
      <c r="F199" s="2" t="s">
        <v>1133</v>
      </c>
      <c r="G199" s="1">
        <f>IFERROR(VLOOKUP(ROUND(A199,0),'[2]Alameda Capitalization'!$A:$M,13,0),0)</f>
        <v>0</v>
      </c>
      <c r="H199" s="2">
        <f t="shared" si="35"/>
        <v>0</v>
      </c>
      <c r="I199" s="326">
        <f>C199-IFERROR(VLOOKUP(A199,'[1]AZ DL&amp;OH FG'!$A:$F,3,0),0)</f>
        <v>0</v>
      </c>
      <c r="J199" s="326">
        <f t="shared" si="32"/>
        <v>0</v>
      </c>
      <c r="K199" s="2"/>
      <c r="L199" s="2"/>
    </row>
    <row r="200" spans="1:12">
      <c r="A200" s="4">
        <v>6817</v>
      </c>
      <c r="B200" t="s">
        <v>1603</v>
      </c>
      <c r="C200" s="229">
        <f>IFERROR(GETPIVOTDATA("Sum of qty",PT!$A$17,"product",A200,"FL/AZ","AZ"),0)</f>
        <v>0</v>
      </c>
      <c r="D200" s="125">
        <v>4</v>
      </c>
      <c r="E200" s="18">
        <f t="shared" si="42"/>
        <v>0</v>
      </c>
      <c r="F200" s="2"/>
      <c r="G200" s="1">
        <f>IFERROR(VLOOKUP(ROUND(A200,0),'[2]Alameda Capitalization'!$A:$M,13,0),0)</f>
        <v>0</v>
      </c>
      <c r="H200" s="2">
        <f t="shared" si="35"/>
        <v>0</v>
      </c>
      <c r="I200" s="326">
        <f>C200-IFERROR(VLOOKUP(A200,'[1]AZ DL&amp;OH FG'!$A:$F,3,0),0)</f>
        <v>0</v>
      </c>
      <c r="J200" s="326">
        <f t="shared" si="32"/>
        <v>0</v>
      </c>
      <c r="K200" s="2"/>
      <c r="L200" s="2"/>
    </row>
    <row r="201" spans="1:12">
      <c r="A201" s="4">
        <v>6904</v>
      </c>
      <c r="B201" t="s">
        <v>1604</v>
      </c>
      <c r="C201" s="229">
        <f>IFERROR(GETPIVOTDATA("Sum of qty",PT!$A$17,"product",A201,"FL/AZ","AZ"),0)</f>
        <v>0</v>
      </c>
      <c r="D201" s="125">
        <v>28</v>
      </c>
      <c r="E201" s="18">
        <f t="shared" si="42"/>
        <v>0</v>
      </c>
      <c r="F201" s="2"/>
      <c r="G201" s="1">
        <f>IFERROR(VLOOKUP(ROUND(A201,0),'[2]Alameda Capitalization'!$A:$M,13,0),0)</f>
        <v>0</v>
      </c>
      <c r="H201" s="2">
        <f t="shared" si="35"/>
        <v>0</v>
      </c>
      <c r="I201" s="326">
        <f>C201-IFERROR(VLOOKUP(A201,'[1]AZ DL&amp;OH FG'!$A:$F,3,0),0)</f>
        <v>0</v>
      </c>
      <c r="J201" s="326">
        <f t="shared" si="32"/>
        <v>0</v>
      </c>
      <c r="K201" s="2"/>
      <c r="L201" s="2"/>
    </row>
    <row r="202" spans="1:12">
      <c r="A202" s="4">
        <v>6905</v>
      </c>
      <c r="B202" t="s">
        <v>1605</v>
      </c>
      <c r="C202" s="229">
        <f>IFERROR(GETPIVOTDATA("Sum of qty",PT!$A$17,"product",A202,"FL/AZ","AZ"),0)</f>
        <v>0</v>
      </c>
      <c r="D202" s="125">
        <v>5</v>
      </c>
      <c r="E202" s="18">
        <f t="shared" si="42"/>
        <v>0</v>
      </c>
      <c r="F202" s="2"/>
      <c r="G202" s="1">
        <f>IFERROR(VLOOKUP(ROUND(A202,0),'[2]Alameda Capitalization'!$A:$M,13,0),0)</f>
        <v>0</v>
      </c>
      <c r="H202" s="2">
        <f t="shared" si="35"/>
        <v>0</v>
      </c>
      <c r="I202" s="326">
        <f>C202-IFERROR(VLOOKUP(A202,'[1]AZ DL&amp;OH FG'!$A:$F,3,0),0)</f>
        <v>0</v>
      </c>
      <c r="J202" s="326">
        <f t="shared" si="32"/>
        <v>0</v>
      </c>
      <c r="K202" s="2"/>
      <c r="L202" s="2"/>
    </row>
    <row r="203" spans="1:12">
      <c r="A203" s="163">
        <v>6951</v>
      </c>
      <c r="B203" t="s">
        <v>1606</v>
      </c>
      <c r="C203" s="229">
        <f>IFERROR(GETPIVOTDATA("Sum of qty",PT!$A$17,"product",A203,"FL/AZ","AZ"),0)</f>
        <v>0</v>
      </c>
      <c r="D203" s="125">
        <v>48</v>
      </c>
      <c r="E203" s="18">
        <f t="shared" ref="E203" si="45">C203*D203</f>
        <v>0</v>
      </c>
      <c r="F203" s="2">
        <f t="shared" ref="F203:F209" si="46">E203</f>
        <v>0</v>
      </c>
      <c r="G203" s="1">
        <f>IFERROR(VLOOKUP(ROUND(A203,0),'[2]Alameda Capitalization'!$A:$M,13,0),0)</f>
        <v>0.1358730491175125</v>
      </c>
      <c r="H203" s="2">
        <f t="shared" si="35"/>
        <v>0</v>
      </c>
      <c r="I203" s="326">
        <f>C203-IFERROR(VLOOKUP(A203,'[1]AZ DL&amp;OH FG'!$A:$F,3,0),0)</f>
        <v>0</v>
      </c>
      <c r="J203" s="326">
        <f t="shared" si="32"/>
        <v>0</v>
      </c>
      <c r="K203" s="2"/>
      <c r="L203" s="2"/>
    </row>
    <row r="204" spans="1:12">
      <c r="A204" s="163">
        <v>6952</v>
      </c>
      <c r="B204" t="s">
        <v>1607</v>
      </c>
      <c r="C204" s="229">
        <f>IFERROR(GETPIVOTDATA("Sum of qty",PT!$A$17,"product",A204,"FL/AZ","AZ"),0)</f>
        <v>0</v>
      </c>
      <c r="D204" s="125">
        <v>48</v>
      </c>
      <c r="E204" s="18">
        <f t="shared" ref="E204" si="47">C204*D204</f>
        <v>0</v>
      </c>
      <c r="F204" s="2">
        <f t="shared" si="46"/>
        <v>0</v>
      </c>
      <c r="G204" s="1">
        <f>IFERROR(VLOOKUP(ROUND(A204,0),'[2]Alameda Capitalization'!$A:$M,13,0),0)</f>
        <v>2.0380957367626875E-2</v>
      </c>
      <c r="H204" s="2">
        <f t="shared" si="35"/>
        <v>0</v>
      </c>
      <c r="I204" s="326">
        <f>C204-IFERROR(VLOOKUP(A204,'[1]AZ DL&amp;OH FG'!$A:$F,3,0),0)</f>
        <v>0</v>
      </c>
      <c r="J204" s="326">
        <f t="shared" si="32"/>
        <v>0</v>
      </c>
      <c r="K204" s="2"/>
      <c r="L204" s="2"/>
    </row>
    <row r="205" spans="1:12">
      <c r="A205" s="163">
        <v>6955</v>
      </c>
      <c r="B205" t="s">
        <v>2880</v>
      </c>
      <c r="C205" s="229">
        <f>IFERROR(GETPIVOTDATA("Sum of qty",PT!$A$17,"product",A205,"FL/AZ","AZ"),0)</f>
        <v>0</v>
      </c>
      <c r="D205" s="125">
        <v>270</v>
      </c>
      <c r="E205" s="18">
        <f>C205*D205</f>
        <v>0</v>
      </c>
      <c r="F205" s="2"/>
      <c r="G205" s="267"/>
      <c r="H205" s="2">
        <f>G205*C205</f>
        <v>0</v>
      </c>
      <c r="I205" s="326">
        <f>C205-IFERROR(VLOOKUP(A205,'[1]AZ DL&amp;OH FG'!$A:$F,3,0),0)</f>
        <v>0</v>
      </c>
      <c r="J205" s="326">
        <f t="shared" ref="J205" si="48">I205*D205</f>
        <v>0</v>
      </c>
      <c r="K205" s="2"/>
      <c r="L205" s="2"/>
    </row>
    <row r="206" spans="1:12">
      <c r="A206" s="163">
        <v>7040</v>
      </c>
      <c r="B206" t="s">
        <v>1608</v>
      </c>
      <c r="C206" s="229">
        <f>IFERROR(GETPIVOTDATA("Sum of qty",PT!$A$17,"product",A206,"FL/AZ","AZ"),0)</f>
        <v>0</v>
      </c>
      <c r="D206" s="125">
        <v>1</v>
      </c>
      <c r="E206" s="18">
        <f t="shared" ref="E206" si="49">C206*D206</f>
        <v>0</v>
      </c>
      <c r="F206" s="2">
        <f t="shared" si="46"/>
        <v>0</v>
      </c>
      <c r="G206" s="1">
        <f>IFERROR(VLOOKUP(ROUND(A206,0),'[2]Alameda Capitalization'!$A:$M,13,0),0)</f>
        <v>0</v>
      </c>
      <c r="H206" s="2">
        <f t="shared" si="35"/>
        <v>0</v>
      </c>
      <c r="I206" s="326">
        <f>C206-IFERROR(VLOOKUP(A206,'[1]AZ DL&amp;OH FG'!$A:$F,3,0),0)</f>
        <v>0</v>
      </c>
      <c r="J206" s="326">
        <f t="shared" si="32"/>
        <v>0</v>
      </c>
      <c r="K206" s="2"/>
      <c r="L206" s="2"/>
    </row>
    <row r="207" spans="1:12">
      <c r="A207" s="4">
        <v>7201</v>
      </c>
      <c r="B207" t="s">
        <v>1609</v>
      </c>
      <c r="C207" s="229">
        <f>IFERROR(GETPIVOTDATA("Sum of qty",PT!$A$17,"product",A207,"FL/AZ","AZ"),0)</f>
        <v>0</v>
      </c>
      <c r="D207" s="125">
        <v>2.8828</v>
      </c>
      <c r="E207" s="18">
        <f t="shared" si="42"/>
        <v>0</v>
      </c>
      <c r="F207" s="2">
        <f t="shared" si="46"/>
        <v>0</v>
      </c>
      <c r="G207" s="1">
        <f>IFERROR(VLOOKUP(ROUND(A207,0),'[2]Alameda Capitalization'!$A:$M,13,0),0)</f>
        <v>0</v>
      </c>
      <c r="H207" s="2">
        <f t="shared" si="35"/>
        <v>0</v>
      </c>
      <c r="I207" s="326">
        <f>C207-IFERROR(VLOOKUP(A207,'[1]AZ DL&amp;OH FG'!$A:$F,3,0),0)</f>
        <v>0</v>
      </c>
      <c r="J207" s="326">
        <f t="shared" si="32"/>
        <v>0</v>
      </c>
      <c r="K207" s="2"/>
      <c r="L207" s="2"/>
    </row>
    <row r="208" spans="1:12">
      <c r="A208" s="4">
        <v>7202</v>
      </c>
      <c r="B208" t="s">
        <v>1610</v>
      </c>
      <c r="C208" s="229">
        <f>IFERROR(GETPIVOTDATA("Sum of qty",PT!$A$17,"product",A208,"FL/AZ","AZ"),0)</f>
        <v>0</v>
      </c>
      <c r="D208" s="125">
        <v>2.8828</v>
      </c>
      <c r="E208" s="18">
        <f t="shared" si="42"/>
        <v>0</v>
      </c>
      <c r="F208" s="2">
        <f t="shared" si="46"/>
        <v>0</v>
      </c>
      <c r="G208" s="1">
        <f>IFERROR(VLOOKUP(ROUND(A208,0),'[2]Alameda Capitalization'!$A:$M,13,0),0)</f>
        <v>0</v>
      </c>
      <c r="H208" s="2">
        <f t="shared" si="35"/>
        <v>0</v>
      </c>
      <c r="I208" s="326">
        <f>C208-IFERROR(VLOOKUP(A208,'[1]AZ DL&amp;OH FG'!$A:$F,3,0),0)</f>
        <v>0</v>
      </c>
      <c r="J208" s="326">
        <f t="shared" si="32"/>
        <v>0</v>
      </c>
      <c r="K208" s="2"/>
      <c r="L208" s="2"/>
    </row>
    <row r="209" spans="1:12">
      <c r="A209" s="4">
        <v>7204</v>
      </c>
      <c r="B209" t="s">
        <v>1611</v>
      </c>
      <c r="C209" s="229">
        <f>IFERROR(GETPIVOTDATA("Sum of qty",PT!$A$17,"product",A209,"FL/AZ","AZ"),0)</f>
        <v>0</v>
      </c>
      <c r="D209" s="125">
        <v>4</v>
      </c>
      <c r="E209" s="18">
        <f t="shared" si="42"/>
        <v>0</v>
      </c>
      <c r="F209" s="2">
        <f t="shared" si="46"/>
        <v>0</v>
      </c>
      <c r="G209" s="1">
        <f>IFERROR(VLOOKUP(ROUND(A209,0),'[2]Alameda Capitalization'!$A:$M,13,0),0)</f>
        <v>0</v>
      </c>
      <c r="H209" s="2">
        <f t="shared" si="35"/>
        <v>0</v>
      </c>
      <c r="I209" s="326">
        <f>C209-IFERROR(VLOOKUP(A209,'[1]AZ DL&amp;OH FG'!$A:$F,3,0),0)</f>
        <v>0</v>
      </c>
      <c r="J209" s="326">
        <f t="shared" si="32"/>
        <v>0</v>
      </c>
      <c r="K209" s="2"/>
      <c r="L209" s="2"/>
    </row>
    <row r="210" spans="1:12">
      <c r="A210" s="4">
        <v>7205</v>
      </c>
      <c r="B210" t="s">
        <v>1612</v>
      </c>
      <c r="C210" s="229">
        <f>IFERROR(GETPIVOTDATA("Sum of qty",PT!$A$17,"product",A210,"FL/AZ","AZ"),0)</f>
        <v>0</v>
      </c>
      <c r="D210" s="125">
        <v>3.8828</v>
      </c>
      <c r="E210" s="18">
        <f t="shared" si="42"/>
        <v>0</v>
      </c>
      <c r="F210" s="2" t="s">
        <v>1133</v>
      </c>
      <c r="G210" s="1">
        <f>IFERROR(VLOOKUP(ROUND(A210,0),'[2]Alameda Capitalization'!$A:$M,13,0),0)</f>
        <v>0</v>
      </c>
      <c r="H210" s="2">
        <f t="shared" si="35"/>
        <v>0</v>
      </c>
      <c r="I210" s="326">
        <f>C210-IFERROR(VLOOKUP(A210,'[1]AZ DL&amp;OH FG'!$A:$F,3,0),0)</f>
        <v>0</v>
      </c>
      <c r="J210" s="326">
        <f t="shared" si="32"/>
        <v>0</v>
      </c>
      <c r="K210" s="2"/>
      <c r="L210" s="2"/>
    </row>
    <row r="211" spans="1:12">
      <c r="A211" s="4">
        <v>7207</v>
      </c>
      <c r="B211" t="s">
        <v>1613</v>
      </c>
      <c r="C211" s="229">
        <f>IFERROR(GETPIVOTDATA("Sum of qty",PT!$A$17,"product",A211,"FL/AZ","AZ"),0)</f>
        <v>0</v>
      </c>
      <c r="D211" s="125">
        <v>4.3239999999999998</v>
      </c>
      <c r="E211" s="18">
        <f t="shared" si="42"/>
        <v>0</v>
      </c>
      <c r="F211" s="2">
        <f>E211</f>
        <v>0</v>
      </c>
      <c r="G211" s="1">
        <f>IFERROR(VLOOKUP(ROUND(A211,0),'[2]Alameda Capitalization'!$A:$M,13,0),0)</f>
        <v>0</v>
      </c>
      <c r="H211" s="2">
        <f t="shared" si="35"/>
        <v>0</v>
      </c>
      <c r="I211" s="326">
        <f>C211-IFERROR(VLOOKUP(A211,'[1]AZ DL&amp;OH FG'!$A:$F,3,0),0)</f>
        <v>0</v>
      </c>
      <c r="J211" s="326">
        <f t="shared" si="32"/>
        <v>0</v>
      </c>
      <c r="K211" s="2"/>
      <c r="L211" s="2"/>
    </row>
    <row r="212" spans="1:12">
      <c r="A212" s="4">
        <v>7208</v>
      </c>
      <c r="B212" t="s">
        <v>1614</v>
      </c>
      <c r="C212" s="229">
        <f>IFERROR(GETPIVOTDATA("Sum of qty",PT!$A$17,"product",A212,"FL/AZ","AZ"),0)</f>
        <v>0</v>
      </c>
      <c r="D212" s="125">
        <v>4.3239999999999998</v>
      </c>
      <c r="E212" s="18">
        <f t="shared" si="42"/>
        <v>0</v>
      </c>
      <c r="F212" s="2">
        <f>E212</f>
        <v>0</v>
      </c>
      <c r="G212" s="1">
        <f>IFERROR(VLOOKUP(ROUND(A212,0),'[2]Alameda Capitalization'!$A:$M,13,0),0)</f>
        <v>0</v>
      </c>
      <c r="H212" s="2">
        <f t="shared" si="35"/>
        <v>0</v>
      </c>
      <c r="I212" s="326">
        <f>C212-IFERROR(VLOOKUP(A212,'[1]AZ DL&amp;OH FG'!$A:$F,3,0),0)</f>
        <v>0</v>
      </c>
      <c r="J212" s="326">
        <f t="shared" si="32"/>
        <v>0</v>
      </c>
      <c r="K212" s="2"/>
      <c r="L212" s="2"/>
    </row>
    <row r="213" spans="1:12">
      <c r="A213" s="4">
        <v>7213</v>
      </c>
      <c r="B213" t="s">
        <v>1615</v>
      </c>
      <c r="C213" s="229">
        <f>IFERROR(GETPIVOTDATA("Sum of qty",PT!$A$17,"product",A213,"FL/AZ","AZ"),0)</f>
        <v>0</v>
      </c>
      <c r="D213" s="125">
        <v>2.8828</v>
      </c>
      <c r="E213" s="18">
        <f t="shared" si="42"/>
        <v>0</v>
      </c>
      <c r="F213" s="2" t="s">
        <v>1133</v>
      </c>
      <c r="G213" s="1">
        <f>IFERROR(VLOOKUP(ROUND(A213,0),'[2]Alameda Capitalization'!$A:$M,13,0),0)</f>
        <v>0</v>
      </c>
      <c r="H213" s="2">
        <f t="shared" si="35"/>
        <v>0</v>
      </c>
      <c r="I213" s="326">
        <f>C213-IFERROR(VLOOKUP(A213,'[1]AZ DL&amp;OH FG'!$A:$F,3,0),0)</f>
        <v>0</v>
      </c>
      <c r="J213" s="326">
        <f t="shared" ref="J213:J277" si="50">I213*D213</f>
        <v>0</v>
      </c>
      <c r="K213" s="2"/>
      <c r="L213" s="2"/>
    </row>
    <row r="214" spans="1:12">
      <c r="A214" s="4">
        <v>7313</v>
      </c>
      <c r="B214" t="s">
        <v>1616</v>
      </c>
      <c r="C214" s="229">
        <f>IFERROR(GETPIVOTDATA("Sum of qty",PT!$A$17,"product",A214,"FL/AZ","AZ"),0)</f>
        <v>0</v>
      </c>
      <c r="D214" s="125">
        <v>1.5</v>
      </c>
      <c r="E214" s="18">
        <f t="shared" ref="E214" si="51">C214*D214</f>
        <v>0</v>
      </c>
      <c r="F214" s="2"/>
      <c r="G214" s="1">
        <f>IFERROR(VLOOKUP(ROUND(A214,0),'[2]Alameda Capitalization'!$A:$M,13,0),0)</f>
        <v>0</v>
      </c>
      <c r="H214" s="2">
        <f t="shared" si="35"/>
        <v>0</v>
      </c>
      <c r="I214" s="326">
        <f>C214-IFERROR(VLOOKUP(A214,'[1]AZ DL&amp;OH FG'!$A:$F,3,0),0)</f>
        <v>0</v>
      </c>
      <c r="J214" s="326">
        <f t="shared" si="50"/>
        <v>0</v>
      </c>
      <c r="K214" s="2"/>
      <c r="L214" s="2"/>
    </row>
    <row r="215" spans="1:12">
      <c r="A215" s="244">
        <v>7415</v>
      </c>
      <c r="B215" t="s">
        <v>1617</v>
      </c>
      <c r="C215" s="229">
        <f>IFERROR(GETPIVOTDATA("Sum of qty",PT!$A$17,"product",A215,"FL/AZ","AZ"),0)</f>
        <v>0</v>
      </c>
      <c r="D215" s="125">
        <v>3</v>
      </c>
      <c r="E215" s="18">
        <f t="shared" ref="E215" si="52">C215*D215</f>
        <v>0</v>
      </c>
      <c r="F215" s="2"/>
      <c r="G215" s="1">
        <f>IFERROR(VLOOKUP(ROUND(A215,0),'[2]Alameda Capitalization'!$A:$M,13,0),0)</f>
        <v>3.47835005740832E-2</v>
      </c>
      <c r="H215" s="2">
        <f t="shared" si="35"/>
        <v>0</v>
      </c>
      <c r="I215" s="326">
        <f>C215-IFERROR(VLOOKUP(A215,'[1]AZ DL&amp;OH FG'!$A:$F,3,0),0)</f>
        <v>0</v>
      </c>
      <c r="J215" s="326">
        <f t="shared" si="50"/>
        <v>0</v>
      </c>
      <c r="K215" s="2"/>
      <c r="L215" s="2"/>
    </row>
    <row r="216" spans="1:12">
      <c r="A216" s="244">
        <v>7416</v>
      </c>
      <c r="B216" t="s">
        <v>236</v>
      </c>
      <c r="C216" s="229">
        <f>IFERROR(GETPIVOTDATA("Sum of qty",PT!$A$17,"product",A216,"FL/AZ","AZ"),0)</f>
        <v>639</v>
      </c>
      <c r="D216" s="125">
        <v>1.5</v>
      </c>
      <c r="E216" s="18">
        <f t="shared" ref="E216" si="53">C216*D216</f>
        <v>958.5</v>
      </c>
      <c r="F216" s="2"/>
      <c r="G216" s="1">
        <f>IFERROR(VLOOKUP(ROUND(A216,0),'[2]Alameda Capitalization'!$A:$M,13,0),0)</f>
        <v>3.2609531788203E-2</v>
      </c>
      <c r="H216" s="2">
        <f t="shared" si="35"/>
        <v>20.837490812661716</v>
      </c>
      <c r="I216" s="326">
        <f>C216-IFERROR(VLOOKUP(A216,'[1]AZ DL&amp;OH FG'!$A:$F,3,0),0)</f>
        <v>-107</v>
      </c>
      <c r="J216" s="326">
        <f t="shared" si="50"/>
        <v>-160.5</v>
      </c>
      <c r="K216" s="2"/>
      <c r="L216" s="2"/>
    </row>
    <row r="217" spans="1:12">
      <c r="A217" s="4">
        <v>7421</v>
      </c>
      <c r="B217" t="s">
        <v>1618</v>
      </c>
      <c r="C217" s="229">
        <f>IFERROR(GETPIVOTDATA("Sum of qty",PT!$A$17,"product",A217,"FL/AZ","AZ"),0)</f>
        <v>0</v>
      </c>
      <c r="D217" s="125">
        <v>2.3437999999999999</v>
      </c>
      <c r="E217" s="18">
        <f t="shared" si="42"/>
        <v>0</v>
      </c>
      <c r="F217" s="2"/>
      <c r="G217" s="1">
        <f>IFERROR(VLOOKUP(ROUND(A217,0),'[2]Alameda Capitalization'!$A:$M,13,0),0)</f>
        <v>0</v>
      </c>
      <c r="H217" s="2">
        <f t="shared" si="35"/>
        <v>0</v>
      </c>
      <c r="I217" s="326">
        <f>C217-IFERROR(VLOOKUP(A217,'[1]AZ DL&amp;OH FG'!$A:$F,3,0),0)</f>
        <v>0</v>
      </c>
      <c r="J217" s="326">
        <f t="shared" si="50"/>
        <v>0</v>
      </c>
      <c r="K217" s="2"/>
      <c r="L217" s="2"/>
    </row>
    <row r="218" spans="1:12">
      <c r="A218" s="4">
        <v>7424</v>
      </c>
      <c r="B218" t="s">
        <v>1619</v>
      </c>
      <c r="C218" s="229">
        <f>IFERROR(GETPIVOTDATA("Sum of qty",PT!$A$17,"product",A218,"FL/AZ","AZ"),0)</f>
        <v>0</v>
      </c>
      <c r="D218" s="125">
        <v>4.5</v>
      </c>
      <c r="E218" s="18">
        <f t="shared" si="42"/>
        <v>0</v>
      </c>
      <c r="F218" s="2"/>
      <c r="G218" s="1">
        <f>IFERROR(VLOOKUP(ROUND(A218,0),'[2]Alameda Capitalization'!$A:$M,13,0),0)</f>
        <v>0</v>
      </c>
      <c r="H218" s="2">
        <f t="shared" si="35"/>
        <v>0</v>
      </c>
      <c r="I218" s="326">
        <f>C218-IFERROR(VLOOKUP(A218,'[1]AZ DL&amp;OH FG'!$A:$F,3,0),0)</f>
        <v>0</v>
      </c>
      <c r="J218" s="326">
        <f t="shared" si="50"/>
        <v>0</v>
      </c>
      <c r="K218" s="2"/>
      <c r="L218" s="2"/>
    </row>
    <row r="219" spans="1:12">
      <c r="A219" s="4">
        <v>7430</v>
      </c>
      <c r="B219" t="s">
        <v>1620</v>
      </c>
      <c r="C219" s="229">
        <f>IFERROR(GETPIVOTDATA("Sum of qty",PT!$A$17,"product",A219,"FL/AZ","AZ"),0)</f>
        <v>0</v>
      </c>
      <c r="D219" s="125">
        <v>3.125</v>
      </c>
      <c r="E219" s="18">
        <f t="shared" si="42"/>
        <v>0</v>
      </c>
      <c r="F219" s="2"/>
      <c r="G219" s="1">
        <f>IFERROR(VLOOKUP(ROUND(A219,0),'[2]Alameda Capitalization'!$A:$M,13,0),0)</f>
        <v>0</v>
      </c>
      <c r="H219" s="2">
        <f t="shared" si="35"/>
        <v>0</v>
      </c>
      <c r="I219" s="326">
        <f>C219-IFERROR(VLOOKUP(A219,'[1]AZ DL&amp;OH FG'!$A:$F,3,0),0)</f>
        <v>0</v>
      </c>
      <c r="J219" s="326">
        <f t="shared" si="50"/>
        <v>0</v>
      </c>
      <c r="K219" s="2"/>
      <c r="L219" s="2"/>
    </row>
    <row r="220" spans="1:12">
      <c r="A220" s="163">
        <v>7442</v>
      </c>
      <c r="B220" t="s">
        <v>1621</v>
      </c>
      <c r="C220" s="229">
        <f>IFERROR(GETPIVOTDATA("Sum of qty",PT!$A$17,"product",A220,"FL/AZ","AZ"),0)</f>
        <v>0</v>
      </c>
      <c r="D220" s="125">
        <f>61.5/128*6</f>
        <v>2.8828125</v>
      </c>
      <c r="E220" s="18">
        <f t="shared" ref="E220" si="54">C220*D220</f>
        <v>0</v>
      </c>
      <c r="F220" s="2">
        <f>E220</f>
        <v>0</v>
      </c>
      <c r="G220" s="1">
        <f>IFERROR(VLOOKUP(ROUND(A220,0),'[2]Alameda Capitalization'!$A:$M,13,0),0)</f>
        <v>0.21739687858802001</v>
      </c>
      <c r="H220" s="2"/>
      <c r="I220" s="326">
        <f>C220-IFERROR(VLOOKUP(A220,'[1]AZ DL&amp;OH FG'!$A:$F,3,0),0)</f>
        <v>0</v>
      </c>
      <c r="J220" s="326">
        <f t="shared" si="50"/>
        <v>0</v>
      </c>
      <c r="K220" s="2"/>
      <c r="L220" s="2"/>
    </row>
    <row r="221" spans="1:12">
      <c r="A221" s="4">
        <v>7502</v>
      </c>
      <c r="B221" t="s">
        <v>27</v>
      </c>
      <c r="C221" s="229">
        <f>IFERROR(GETPIVOTDATA("Sum of qty",PT!$A$17,"product",A221,"FL/AZ","AZ"),0)</f>
        <v>4336</v>
      </c>
      <c r="D221" s="125">
        <v>4</v>
      </c>
      <c r="E221" s="18">
        <f t="shared" si="42"/>
        <v>17344</v>
      </c>
      <c r="F221" s="2"/>
      <c r="G221" s="1">
        <f>IFERROR(VLOOKUP(ROUND(A221,0),'[2]Alameda Capitalization'!$A:$M,13,0),0)</f>
        <v>6.5219063576406E-2</v>
      </c>
      <c r="H221" s="2">
        <f t="shared" ref="H221:H286" si="55">G221*C221</f>
        <v>282.78985966729641</v>
      </c>
      <c r="I221" s="326">
        <f>C221-IFERROR(VLOOKUP(A221,'[1]AZ DL&amp;OH FG'!$A:$F,3,0),0)</f>
        <v>176</v>
      </c>
      <c r="J221" s="326">
        <f t="shared" si="50"/>
        <v>704</v>
      </c>
      <c r="K221" s="2"/>
      <c r="L221" s="2"/>
    </row>
    <row r="222" spans="1:12">
      <c r="A222" s="4">
        <v>7504</v>
      </c>
      <c r="B222" t="s">
        <v>1622</v>
      </c>
      <c r="C222" s="229">
        <f>IFERROR(GETPIVOTDATA("Sum of qty",PT!$A$17,"product",A222,"FL/AZ","AZ"),0)</f>
        <v>0</v>
      </c>
      <c r="D222" s="125">
        <v>3</v>
      </c>
      <c r="E222" s="18">
        <f t="shared" si="42"/>
        <v>0</v>
      </c>
      <c r="F222" s="2"/>
      <c r="G222" s="1">
        <f>IFERROR(VLOOKUP(ROUND(A222,0),'[2]Alameda Capitalization'!$A:$M,13,0),0)</f>
        <v>5.2175250861124796E-2</v>
      </c>
      <c r="H222" s="2">
        <f t="shared" si="55"/>
        <v>0</v>
      </c>
      <c r="I222" s="326">
        <f>C222-IFERROR(VLOOKUP(A222,'[1]AZ DL&amp;OH FG'!$A:$F,3,0),0)</f>
        <v>0</v>
      </c>
      <c r="J222" s="326">
        <f t="shared" si="50"/>
        <v>0</v>
      </c>
      <c r="K222" s="2"/>
      <c r="L222" s="2"/>
    </row>
    <row r="223" spans="1:12">
      <c r="A223" s="4">
        <v>7506</v>
      </c>
      <c r="B223" t="s">
        <v>102</v>
      </c>
      <c r="C223" s="229">
        <f>IFERROR(GETPIVOTDATA("Sum of qty",PT!$A$17,"product",A223,"FL/AZ","AZ"),0)</f>
        <v>2561</v>
      </c>
      <c r="D223" s="125">
        <v>4</v>
      </c>
      <c r="E223" s="18">
        <f t="shared" si="42"/>
        <v>10244</v>
      </c>
      <c r="F223" s="2"/>
      <c r="G223" s="1">
        <f>IFERROR(VLOOKUP(ROUND(A223,0),'[2]Alameda Capitalization'!$A:$M,13,0),0)</f>
        <v>6.5219063576406E-2</v>
      </c>
      <c r="H223" s="2">
        <f t="shared" si="55"/>
        <v>167.02602181917575</v>
      </c>
      <c r="I223" s="326">
        <f>C223-IFERROR(VLOOKUP(A223,'[1]AZ DL&amp;OH FG'!$A:$F,3,0),0)</f>
        <v>-1294</v>
      </c>
      <c r="J223" s="326">
        <f t="shared" si="50"/>
        <v>-5176</v>
      </c>
      <c r="K223" s="2"/>
      <c r="L223" s="2"/>
    </row>
    <row r="224" spans="1:12">
      <c r="A224" s="4">
        <v>7507</v>
      </c>
      <c r="B224" t="s">
        <v>1623</v>
      </c>
      <c r="C224" s="229">
        <f>IFERROR(GETPIVOTDATA("Sum of qty",PT!$A$17,"product",A224,"FL/AZ","AZ"),0)</f>
        <v>0</v>
      </c>
      <c r="D224" s="125">
        <v>1.4410000000000001</v>
      </c>
      <c r="E224" s="18">
        <f t="shared" si="42"/>
        <v>0</v>
      </c>
      <c r="F224" s="2"/>
      <c r="G224" s="1">
        <f>IFERROR(VLOOKUP(ROUND(A224,0),'[2]Alameda Capitalization'!$A:$M,13,0),0)</f>
        <v>0</v>
      </c>
      <c r="H224" s="2">
        <f t="shared" si="55"/>
        <v>0</v>
      </c>
      <c r="I224" s="326">
        <f>C224-IFERROR(VLOOKUP(A224,'[1]AZ DL&amp;OH FG'!$A:$F,3,0),0)</f>
        <v>0</v>
      </c>
      <c r="J224" s="326">
        <f t="shared" si="50"/>
        <v>0</v>
      </c>
      <c r="K224" s="2"/>
      <c r="L224" s="2"/>
    </row>
    <row r="225" spans="1:12">
      <c r="A225" s="4">
        <v>7508</v>
      </c>
      <c r="B225" t="s">
        <v>1624</v>
      </c>
      <c r="C225" s="229">
        <f>IFERROR(GETPIVOTDATA("Sum of qty",PT!$A$17,"product",A225,"FL/AZ","AZ"),0)</f>
        <v>0</v>
      </c>
      <c r="D225" s="125">
        <v>1.4410000000000001</v>
      </c>
      <c r="E225" s="18">
        <f t="shared" si="42"/>
        <v>0</v>
      </c>
      <c r="F225" s="2"/>
      <c r="G225" s="1">
        <f>IFERROR(VLOOKUP(ROUND(A225,0),'[2]Alameda Capitalization'!$A:$M,13,0),0)</f>
        <v>0</v>
      </c>
      <c r="H225" s="2">
        <f t="shared" si="55"/>
        <v>0</v>
      </c>
      <c r="I225" s="326">
        <f>C225-IFERROR(VLOOKUP(A225,'[1]AZ DL&amp;OH FG'!$A:$F,3,0),0)</f>
        <v>0</v>
      </c>
      <c r="J225" s="326">
        <f t="shared" si="50"/>
        <v>0</v>
      </c>
      <c r="K225" s="2"/>
      <c r="L225" s="2"/>
    </row>
    <row r="226" spans="1:12">
      <c r="A226" s="4">
        <v>7509</v>
      </c>
      <c r="B226" t="s">
        <v>1625</v>
      </c>
      <c r="C226" s="229">
        <f>IFERROR(GETPIVOTDATA("Sum of qty",PT!$A$17,"product",A226,"FL/AZ","AZ"),0)</f>
        <v>0</v>
      </c>
      <c r="D226" s="125">
        <v>4</v>
      </c>
      <c r="E226" s="18">
        <f t="shared" si="42"/>
        <v>0</v>
      </c>
      <c r="F226" s="2"/>
      <c r="G226" s="1">
        <f>IFERROR(VLOOKUP(ROUND(A226,0),'[2]Alameda Capitalization'!$A:$M,13,0),0)</f>
        <v>0</v>
      </c>
      <c r="H226" s="2">
        <f t="shared" si="55"/>
        <v>0</v>
      </c>
      <c r="I226" s="326">
        <f>C226-IFERROR(VLOOKUP(A226,'[1]AZ DL&amp;OH FG'!$A:$F,3,0),0)</f>
        <v>0</v>
      </c>
      <c r="J226" s="326">
        <f t="shared" si="50"/>
        <v>0</v>
      </c>
      <c r="K226" s="2"/>
      <c r="L226" s="2"/>
    </row>
    <row r="227" spans="1:12">
      <c r="A227" s="4">
        <v>7510</v>
      </c>
      <c r="B227" t="s">
        <v>1626</v>
      </c>
      <c r="C227" s="229">
        <f>IFERROR(GETPIVOTDATA("Sum of qty",PT!$A$17,"product",A227,"FL/AZ","AZ"),0)</f>
        <v>0</v>
      </c>
      <c r="D227" s="125">
        <v>4</v>
      </c>
      <c r="E227" s="18">
        <f t="shared" si="42"/>
        <v>0</v>
      </c>
      <c r="F227" s="2"/>
      <c r="G227" s="1">
        <f>IFERROR(VLOOKUP(ROUND(A227,0),'[2]Alameda Capitalization'!$A:$M,13,0),0)</f>
        <v>0</v>
      </c>
      <c r="H227" s="2">
        <f t="shared" si="55"/>
        <v>0</v>
      </c>
      <c r="I227" s="326">
        <f>C227-IFERROR(VLOOKUP(A227,'[1]AZ DL&amp;OH FG'!$A:$F,3,0),0)</f>
        <v>0</v>
      </c>
      <c r="J227" s="326">
        <f t="shared" si="50"/>
        <v>0</v>
      </c>
      <c r="K227" s="2"/>
      <c r="L227" s="2"/>
    </row>
    <row r="228" spans="1:12">
      <c r="A228" s="4">
        <v>7512</v>
      </c>
      <c r="C228" s="229">
        <f>IFERROR(GETPIVOTDATA("Sum of qty",PT!$A$17,"product",A228,"FL/AZ","AZ"),0)</f>
        <v>0</v>
      </c>
      <c r="D228" s="125">
        <v>2.25</v>
      </c>
      <c r="E228" s="18">
        <f t="shared" si="42"/>
        <v>0</v>
      </c>
      <c r="F228" s="2"/>
      <c r="G228" s="1">
        <f>IFERROR(VLOOKUP(ROUND(A228,0),'[2]Alameda Capitalization'!$A:$M,13,0),0)</f>
        <v>0</v>
      </c>
      <c r="H228" s="2">
        <f t="shared" si="55"/>
        <v>0</v>
      </c>
      <c r="I228" s="326">
        <f>C228-IFERROR(VLOOKUP(A228,'[1]AZ DL&amp;OH FG'!$A:$F,3,0),0)</f>
        <v>0</v>
      </c>
      <c r="J228" s="326">
        <f t="shared" si="50"/>
        <v>0</v>
      </c>
      <c r="K228" s="2"/>
      <c r="L228" s="2"/>
    </row>
    <row r="229" spans="1:12">
      <c r="A229" s="4">
        <v>7513</v>
      </c>
      <c r="B229" t="s">
        <v>1627</v>
      </c>
      <c r="C229" s="229">
        <f>IFERROR(GETPIVOTDATA("Sum of qty",PT!$A$17,"product",A229,"FL/AZ","AZ"),0)</f>
        <v>0</v>
      </c>
      <c r="D229" s="125">
        <v>4</v>
      </c>
      <c r="E229" s="18">
        <f t="shared" si="42"/>
        <v>0</v>
      </c>
      <c r="F229" s="2"/>
      <c r="G229" s="1">
        <f>IFERROR(VLOOKUP(ROUND(A229,0),'[2]Alameda Capitalization'!$A:$M,13,0),0)</f>
        <v>0</v>
      </c>
      <c r="H229" s="2">
        <f t="shared" si="55"/>
        <v>0</v>
      </c>
      <c r="I229" s="326">
        <f>C229-IFERROR(VLOOKUP(A229,'[1]AZ DL&amp;OH FG'!$A:$F,3,0),0)</f>
        <v>0</v>
      </c>
      <c r="J229" s="326">
        <f t="shared" si="50"/>
        <v>0</v>
      </c>
      <c r="K229" s="2"/>
      <c r="L229" s="2"/>
    </row>
    <row r="230" spans="1:12">
      <c r="A230" s="4">
        <v>7514</v>
      </c>
      <c r="B230" t="s">
        <v>1628</v>
      </c>
      <c r="C230" s="229">
        <f>IFERROR(GETPIVOTDATA("Sum of qty",PT!$A$17,"product",A230,"FL/AZ","AZ"),0)</f>
        <v>0</v>
      </c>
      <c r="D230" s="125">
        <v>4</v>
      </c>
      <c r="E230" s="18">
        <f t="shared" si="42"/>
        <v>0</v>
      </c>
      <c r="F230" s="2"/>
      <c r="G230" s="1">
        <f>IFERROR(VLOOKUP(ROUND(A230,0),'[2]Alameda Capitalization'!$A:$M,13,0),0)</f>
        <v>0</v>
      </c>
      <c r="H230" s="2">
        <f t="shared" si="55"/>
        <v>0</v>
      </c>
      <c r="I230" s="326">
        <f>C230-IFERROR(VLOOKUP(A230,'[1]AZ DL&amp;OH FG'!$A:$F,3,0),0)</f>
        <v>0</v>
      </c>
      <c r="J230" s="326">
        <f t="shared" si="50"/>
        <v>0</v>
      </c>
      <c r="K230" s="2"/>
      <c r="L230" s="2"/>
    </row>
    <row r="231" spans="1:12">
      <c r="A231" s="4">
        <v>7515</v>
      </c>
      <c r="B231" t="s">
        <v>108</v>
      </c>
      <c r="C231" s="229">
        <f>IFERROR(GETPIVOTDATA("Sum of qty",PT!$A$17,"product",A231,"FL/AZ","AZ"),0)</f>
        <v>0</v>
      </c>
      <c r="D231" s="125">
        <v>3</v>
      </c>
      <c r="E231" s="18">
        <f t="shared" si="42"/>
        <v>0</v>
      </c>
      <c r="F231" s="2"/>
      <c r="G231" s="1">
        <f>IFERROR(VLOOKUP(ROUND(A231,0),'[2]Alameda Capitalization'!$A:$M,13,0),0)</f>
        <v>5.2175250861124796E-2</v>
      </c>
      <c r="H231" s="2">
        <f t="shared" si="55"/>
        <v>0</v>
      </c>
      <c r="I231" s="326">
        <f>C231-IFERROR(VLOOKUP(A231,'[1]AZ DL&amp;OH FG'!$A:$F,3,0),0)</f>
        <v>0</v>
      </c>
      <c r="J231" s="326">
        <f t="shared" si="50"/>
        <v>0</v>
      </c>
      <c r="K231" s="2"/>
      <c r="L231" s="2"/>
    </row>
    <row r="232" spans="1:12">
      <c r="A232" s="4">
        <v>7516</v>
      </c>
      <c r="B232" t="s">
        <v>1629</v>
      </c>
      <c r="C232" s="229">
        <f>IFERROR(GETPIVOTDATA("Sum of qty",PT!$A$17,"product",A232,"FL/AZ","AZ"),0)</f>
        <v>0</v>
      </c>
      <c r="D232" s="125">
        <v>1.5</v>
      </c>
      <c r="E232" s="18">
        <f t="shared" si="42"/>
        <v>0</v>
      </c>
      <c r="F232" s="2"/>
      <c r="G232" s="1">
        <f>IFERROR(VLOOKUP(ROUND(A232,0),'[2]Alameda Capitalization'!$A:$M,13,0),0)</f>
        <v>0</v>
      </c>
      <c r="H232" s="2">
        <f t="shared" si="55"/>
        <v>0</v>
      </c>
      <c r="I232" s="326">
        <f>C232-IFERROR(VLOOKUP(A232,'[1]AZ DL&amp;OH FG'!$A:$F,3,0),0)</f>
        <v>0</v>
      </c>
      <c r="J232" s="326">
        <f t="shared" si="50"/>
        <v>0</v>
      </c>
      <c r="K232" s="2"/>
      <c r="L232" s="2"/>
    </row>
    <row r="233" spans="1:12">
      <c r="A233" s="4">
        <v>7519</v>
      </c>
      <c r="B233" t="s">
        <v>1630</v>
      </c>
      <c r="C233" s="229">
        <f>IFERROR(GETPIVOTDATA("Sum of qty",PT!$A$17,"product",A233,"FL/AZ","AZ"),0)</f>
        <v>0</v>
      </c>
      <c r="D233" s="125">
        <f>24*11.5/128</f>
        <v>2.15625</v>
      </c>
      <c r="E233" s="18">
        <f t="shared" si="42"/>
        <v>0</v>
      </c>
      <c r="F233" s="2"/>
      <c r="G233" s="1">
        <f>IFERROR(VLOOKUP(ROUND(A233,0),'[2]Alameda Capitalization'!$A:$M,13,0),0)</f>
        <v>4.076191473525375E-2</v>
      </c>
      <c r="H233" s="2">
        <f t="shared" si="55"/>
        <v>0</v>
      </c>
      <c r="I233" s="326">
        <f>C233-IFERROR(VLOOKUP(A233,'[1]AZ DL&amp;OH FG'!$A:$F,3,0),0)</f>
        <v>0</v>
      </c>
      <c r="J233" s="326">
        <f t="shared" si="50"/>
        <v>0</v>
      </c>
      <c r="K233" s="2"/>
      <c r="L233" s="2"/>
    </row>
    <row r="234" spans="1:12">
      <c r="A234" s="4">
        <v>7520</v>
      </c>
      <c r="C234" s="229">
        <f>IFERROR(GETPIVOTDATA("Sum of qty",PT!$A$17,"product",A234,"FL/AZ","AZ"),0)</f>
        <v>0</v>
      </c>
      <c r="D234" s="125">
        <v>2.1562999999999999</v>
      </c>
      <c r="E234" s="18">
        <f t="shared" si="42"/>
        <v>0</v>
      </c>
      <c r="F234" s="2"/>
      <c r="G234" s="1">
        <f>IFERROR(VLOOKUP(ROUND(A234,0),'[2]Alameda Capitalization'!$A:$M,13,0),0)</f>
        <v>0</v>
      </c>
      <c r="H234" s="2">
        <f t="shared" si="55"/>
        <v>0</v>
      </c>
      <c r="I234" s="326">
        <f>C234-IFERROR(VLOOKUP(A234,'[1]AZ DL&amp;OH FG'!$A:$F,3,0),0)</f>
        <v>0</v>
      </c>
      <c r="J234" s="326">
        <f t="shared" si="50"/>
        <v>0</v>
      </c>
      <c r="K234" s="2"/>
      <c r="L234" s="2"/>
    </row>
    <row r="235" spans="1:12" ht="11.25" customHeight="1">
      <c r="A235" s="4">
        <v>7523</v>
      </c>
      <c r="B235" t="s">
        <v>1631</v>
      </c>
      <c r="C235" s="229">
        <f>IFERROR(GETPIVOTDATA("Sum of qty",PT!$A$17,"product",A235,"FL/AZ","AZ"),0)</f>
        <v>0</v>
      </c>
      <c r="D235" s="125">
        <v>1.0781000000000001</v>
      </c>
      <c r="E235" s="18">
        <f t="shared" si="42"/>
        <v>0</v>
      </c>
      <c r="F235" s="2"/>
      <c r="G235" s="1">
        <f>IFERROR(VLOOKUP(ROUND(A235,0),'[2]Alameda Capitalization'!$A:$M,13,0),0)</f>
        <v>0</v>
      </c>
      <c r="H235" s="2">
        <f t="shared" si="55"/>
        <v>0</v>
      </c>
      <c r="I235" s="326">
        <f>C235-IFERROR(VLOOKUP(A235,'[1]AZ DL&amp;OH FG'!$A:$F,3,0),0)</f>
        <v>0</v>
      </c>
      <c r="J235" s="326">
        <f t="shared" si="50"/>
        <v>0</v>
      </c>
      <c r="K235" s="2"/>
      <c r="L235" s="2"/>
    </row>
    <row r="236" spans="1:12" ht="11.25" customHeight="1">
      <c r="A236" s="4">
        <v>7524</v>
      </c>
      <c r="B236" t="s">
        <v>1632</v>
      </c>
      <c r="C236" s="229">
        <f>IFERROR(GETPIVOTDATA("Sum of qty",PT!$A$17,"product",A236,"FL/AZ","AZ"),0)</f>
        <v>0</v>
      </c>
      <c r="D236" s="125">
        <v>4.5</v>
      </c>
      <c r="E236" s="18">
        <f t="shared" si="42"/>
        <v>0</v>
      </c>
      <c r="F236" s="2"/>
      <c r="G236" s="1">
        <f>IFERROR(VLOOKUP(ROUND(A236,0),'[2]Alameda Capitalization'!$A:$M,13,0),0)</f>
        <v>0</v>
      </c>
      <c r="H236" s="2">
        <f t="shared" si="55"/>
        <v>0</v>
      </c>
      <c r="I236" s="326">
        <f>C236-IFERROR(VLOOKUP(A236,'[1]AZ DL&amp;OH FG'!$A:$F,3,0),0)</f>
        <v>0</v>
      </c>
      <c r="J236" s="326">
        <f t="shared" si="50"/>
        <v>0</v>
      </c>
      <c r="K236" s="2"/>
      <c r="L236" s="2"/>
    </row>
    <row r="237" spans="1:12">
      <c r="A237" s="4">
        <v>7526</v>
      </c>
      <c r="B237" t="s">
        <v>1633</v>
      </c>
      <c r="C237" s="229">
        <f>IFERROR(GETPIVOTDATA("Sum of qty",PT!$A$17,"product",A237,"FL/AZ","AZ"),0)</f>
        <v>0</v>
      </c>
      <c r="D237" s="125">
        <v>4.5</v>
      </c>
      <c r="E237" s="18">
        <f t="shared" si="42"/>
        <v>0</v>
      </c>
      <c r="F237" s="2"/>
      <c r="G237" s="1">
        <f>IFERROR(VLOOKUP(ROUND(A237,0),'[2]Alameda Capitalization'!$A:$M,13,0),0)</f>
        <v>0</v>
      </c>
      <c r="H237" s="2">
        <f t="shared" si="55"/>
        <v>0</v>
      </c>
      <c r="I237" s="326">
        <f>C237-IFERROR(VLOOKUP(A237,'[1]AZ DL&amp;OH FG'!$A:$F,3,0),0)</f>
        <v>0</v>
      </c>
      <c r="J237" s="326">
        <f t="shared" si="50"/>
        <v>0</v>
      </c>
      <c r="K237" s="2"/>
      <c r="L237" s="2"/>
    </row>
    <row r="238" spans="1:12">
      <c r="A238" s="4">
        <v>7527</v>
      </c>
      <c r="B238" t="s">
        <v>1634</v>
      </c>
      <c r="C238" s="229">
        <f>IFERROR(GETPIVOTDATA("Sum of qty",PT!$A$17,"product",A238,"FL/AZ","AZ"),0)</f>
        <v>0</v>
      </c>
      <c r="D238" s="125">
        <v>4</v>
      </c>
      <c r="E238" s="18">
        <f t="shared" si="42"/>
        <v>0</v>
      </c>
      <c r="F238" s="2"/>
      <c r="G238" s="1">
        <f>IFERROR(VLOOKUP(ROUND(A238,0),'[2]Alameda Capitalization'!$A:$M,13,0),0)</f>
        <v>0</v>
      </c>
      <c r="H238" s="2">
        <f t="shared" si="55"/>
        <v>0</v>
      </c>
      <c r="I238" s="326">
        <f>C238-IFERROR(VLOOKUP(A238,'[1]AZ DL&amp;OH FG'!$A:$F,3,0),0)</f>
        <v>0</v>
      </c>
      <c r="J238" s="326">
        <f t="shared" si="50"/>
        <v>0</v>
      </c>
      <c r="K238" s="2"/>
      <c r="L238" s="2"/>
    </row>
    <row r="239" spans="1:12">
      <c r="A239" s="4">
        <v>7530</v>
      </c>
      <c r="B239" t="s">
        <v>1635</v>
      </c>
      <c r="C239" s="229">
        <f>IFERROR(GETPIVOTDATA("Sum of qty",PT!$A$17,"product",A239,"FL/AZ","AZ"),0)</f>
        <v>0</v>
      </c>
      <c r="D239" s="125">
        <v>3.125</v>
      </c>
      <c r="E239" s="18">
        <f t="shared" si="42"/>
        <v>0</v>
      </c>
      <c r="F239" s="2"/>
      <c r="G239" s="1">
        <f>IFERROR(VLOOKUP(ROUND(A239,0),'[2]Alameda Capitalization'!$A:$M,13,0),0)</f>
        <v>0</v>
      </c>
      <c r="H239" s="2">
        <f t="shared" si="55"/>
        <v>0</v>
      </c>
      <c r="I239" s="326">
        <f>C239-IFERROR(VLOOKUP(A239,'[1]AZ DL&amp;OH FG'!$A:$F,3,0),0)</f>
        <v>0</v>
      </c>
      <c r="J239" s="326">
        <f t="shared" si="50"/>
        <v>0</v>
      </c>
      <c r="K239" s="2"/>
      <c r="L239" s="2"/>
    </row>
    <row r="240" spans="1:12">
      <c r="A240" s="4">
        <v>7531</v>
      </c>
      <c r="B240" t="s">
        <v>1636</v>
      </c>
      <c r="C240" s="229">
        <f>IFERROR(GETPIVOTDATA("Sum of qty",PT!$A$17,"product",A240,"FL/AZ","AZ"),0)</f>
        <v>0</v>
      </c>
      <c r="D240" s="125">
        <v>3.125</v>
      </c>
      <c r="E240" s="18">
        <f t="shared" si="42"/>
        <v>0</v>
      </c>
      <c r="F240" s="2"/>
      <c r="G240" s="1">
        <f>IFERROR(VLOOKUP(ROUND(A240,0),'[2]Alameda Capitalization'!$A:$M,13,0),0)</f>
        <v>0</v>
      </c>
      <c r="H240" s="2">
        <f t="shared" si="55"/>
        <v>0</v>
      </c>
      <c r="I240" s="326">
        <f>C240-IFERROR(VLOOKUP(A240,'[1]AZ DL&amp;OH FG'!$A:$F,3,0),0)</f>
        <v>0</v>
      </c>
      <c r="J240" s="326">
        <f t="shared" si="50"/>
        <v>0</v>
      </c>
      <c r="K240" s="2"/>
      <c r="L240" s="2"/>
    </row>
    <row r="241" spans="1:12">
      <c r="A241" s="4">
        <v>7534</v>
      </c>
      <c r="B241" t="s">
        <v>1637</v>
      </c>
      <c r="C241" s="229">
        <f>IFERROR(GETPIVOTDATA("Sum of qty",PT!$A$17,"product",A241,"FL/AZ","AZ"),0)</f>
        <v>0</v>
      </c>
      <c r="D241" s="125">
        <v>2.25</v>
      </c>
      <c r="E241" s="18">
        <f t="shared" si="42"/>
        <v>0</v>
      </c>
      <c r="F241" s="2"/>
      <c r="G241" s="1">
        <f>IFERROR(VLOOKUP(ROUND(A241,0),'[2]Alameda Capitalization'!$A:$M,13,0),0)</f>
        <v>4.076191473525375E-2</v>
      </c>
      <c r="H241" s="2">
        <f t="shared" si="55"/>
        <v>0</v>
      </c>
      <c r="I241" s="326">
        <f>C241-IFERROR(VLOOKUP(A241,'[1]AZ DL&amp;OH FG'!$A:$F,3,0),0)</f>
        <v>0</v>
      </c>
      <c r="J241" s="326">
        <f t="shared" si="50"/>
        <v>0</v>
      </c>
      <c r="K241" s="2"/>
      <c r="L241" s="2"/>
    </row>
    <row r="242" spans="1:12">
      <c r="A242" s="4">
        <v>7535</v>
      </c>
      <c r="B242" t="s">
        <v>1638</v>
      </c>
      <c r="C242" s="229">
        <f>IFERROR(GETPIVOTDATA("Sum of qty",PT!$A$17,"product",A242,"FL/AZ","AZ"),0)</f>
        <v>0</v>
      </c>
      <c r="D242" s="125">
        <v>3.125</v>
      </c>
      <c r="E242" s="18">
        <f t="shared" si="42"/>
        <v>0</v>
      </c>
      <c r="F242" s="2"/>
      <c r="G242" s="1">
        <f>IFERROR(VLOOKUP(ROUND(A242,0),'[2]Alameda Capitalization'!$A:$M,13,0),0)</f>
        <v>0</v>
      </c>
      <c r="H242" s="2">
        <f t="shared" si="55"/>
        <v>0</v>
      </c>
      <c r="I242" s="326">
        <f>C242-IFERROR(VLOOKUP(A242,'[1]AZ DL&amp;OH FG'!$A:$F,3,0),0)</f>
        <v>0</v>
      </c>
      <c r="J242" s="326">
        <f t="shared" si="50"/>
        <v>0</v>
      </c>
      <c r="K242" s="2"/>
      <c r="L242" s="2"/>
    </row>
    <row r="243" spans="1:12">
      <c r="A243" s="4">
        <v>7540</v>
      </c>
      <c r="B243" t="s">
        <v>358</v>
      </c>
      <c r="C243" s="229">
        <f>IFERROR(GETPIVOTDATA("Sum of qty",PT!$A$17,"product",A243,"FL/AZ","AZ"),0)</f>
        <v>796</v>
      </c>
      <c r="D243" s="125">
        <v>4</v>
      </c>
      <c r="E243" s="18">
        <f t="shared" si="42"/>
        <v>3184</v>
      </c>
      <c r="F243" s="2"/>
      <c r="G243" s="1">
        <f>IFERROR(VLOOKUP(ROUND(A243,0),'[2]Alameda Capitalization'!$A:$M,13,0),0)</f>
        <v>6.5219063576406E-2</v>
      </c>
      <c r="H243" s="2">
        <f t="shared" si="55"/>
        <v>51.914374606819173</v>
      </c>
      <c r="I243" s="326">
        <f>C243-IFERROR(VLOOKUP(A243,'[1]AZ DL&amp;OH FG'!$A:$F,3,0),0)</f>
        <v>-102</v>
      </c>
      <c r="J243" s="326">
        <f t="shared" si="50"/>
        <v>-408</v>
      </c>
      <c r="K243" s="2"/>
      <c r="L243" s="2"/>
    </row>
    <row r="244" spans="1:12">
      <c r="A244" s="4">
        <v>7542</v>
      </c>
      <c r="B244" t="s">
        <v>1639</v>
      </c>
      <c r="C244" s="229">
        <f>IFERROR(GETPIVOTDATA("Sum of qty",PT!$A$17,"product",A244,"FL/AZ","AZ"),0)</f>
        <v>1062</v>
      </c>
      <c r="D244" s="125">
        <v>3.125</v>
      </c>
      <c r="E244" s="18">
        <f t="shared" si="42"/>
        <v>3318.75</v>
      </c>
      <c r="F244" s="2"/>
      <c r="G244" s="1">
        <f>IFERROR(VLOOKUP(ROUND(A244,0),'[2]Alameda Capitalization'!$A:$M,13,0),0)</f>
        <v>0.34783500574083204</v>
      </c>
      <c r="H244" s="2">
        <f t="shared" si="55"/>
        <v>369.40077609676365</v>
      </c>
      <c r="I244" s="326">
        <f>C244-IFERROR(VLOOKUP(A244,'[1]AZ DL&amp;OH FG'!$A:$F,3,0),0)</f>
        <v>-190</v>
      </c>
      <c r="J244" s="326">
        <f t="shared" si="50"/>
        <v>-593.75</v>
      </c>
      <c r="K244" s="2"/>
      <c r="L244" s="2"/>
    </row>
    <row r="245" spans="1:12">
      <c r="A245" s="4">
        <v>7544</v>
      </c>
      <c r="B245" t="s">
        <v>1640</v>
      </c>
      <c r="C245" s="229">
        <f>IFERROR(GETPIVOTDATA("Sum of qty",PT!$A$17,"product",A245,"FL/AZ","AZ"),0)</f>
        <v>0</v>
      </c>
      <c r="D245" s="125">
        <v>3.125</v>
      </c>
      <c r="E245" s="18">
        <f t="shared" si="42"/>
        <v>0</v>
      </c>
      <c r="F245" s="2"/>
      <c r="G245" s="1">
        <f>IFERROR(VLOOKUP(ROUND(A245,0),'[2]Alameda Capitalization'!$A:$M,13,0),0)</f>
        <v>0</v>
      </c>
      <c r="H245" s="2">
        <f t="shared" si="55"/>
        <v>0</v>
      </c>
      <c r="I245" s="326">
        <f>C245-IFERROR(VLOOKUP(A245,'[1]AZ DL&amp;OH FG'!$A:$F,3,0),0)</f>
        <v>0</v>
      </c>
      <c r="J245" s="326">
        <f t="shared" si="50"/>
        <v>0</v>
      </c>
      <c r="K245" s="2"/>
      <c r="L245" s="2"/>
    </row>
    <row r="246" spans="1:12">
      <c r="A246" s="4">
        <v>7546</v>
      </c>
      <c r="B246" t="s">
        <v>1641</v>
      </c>
      <c r="C246" s="229">
        <f>IFERROR(GETPIVOTDATA("Sum of qty",PT!$A$17,"product",A246,"FL/AZ","AZ"),0)</f>
        <v>0</v>
      </c>
      <c r="D246" s="125">
        <v>1.5</v>
      </c>
      <c r="E246" s="18">
        <f t="shared" si="42"/>
        <v>0</v>
      </c>
      <c r="F246" s="2"/>
      <c r="G246" s="1">
        <f>IFERROR(VLOOKUP(ROUND(A246,0),'[2]Alameda Capitalization'!$A:$M,13,0),0)</f>
        <v>0</v>
      </c>
      <c r="H246" s="2">
        <f t="shared" si="55"/>
        <v>0</v>
      </c>
      <c r="I246" s="326">
        <f>C246-IFERROR(VLOOKUP(A246,'[1]AZ DL&amp;OH FG'!$A:$F,3,0),0)</f>
        <v>0</v>
      </c>
      <c r="J246" s="326">
        <f t="shared" si="50"/>
        <v>0</v>
      </c>
      <c r="K246" s="2"/>
      <c r="L246" s="2"/>
    </row>
    <row r="247" spans="1:12">
      <c r="A247" s="4">
        <v>7554</v>
      </c>
      <c r="B247" t="s">
        <v>1642</v>
      </c>
      <c r="C247" s="229">
        <f>IFERROR(GETPIVOTDATA("Sum of qty",PT!$A$17,"product",A247,"FL/AZ","AZ"),0)</f>
        <v>1973</v>
      </c>
      <c r="D247" s="125">
        <v>3</v>
      </c>
      <c r="E247" s="18">
        <f t="shared" si="42"/>
        <v>5919</v>
      </c>
      <c r="F247" s="2"/>
      <c r="G247" s="1">
        <f>IFERROR(VLOOKUP(ROUND(A247,0),'[2]Alameda Capitalization'!$A:$M,13,0),0)</f>
        <v>5.2175250861124796E-2</v>
      </c>
      <c r="H247" s="2">
        <f t="shared" si="55"/>
        <v>102.94176994899922</v>
      </c>
      <c r="I247" s="326">
        <f>C247-IFERROR(VLOOKUP(A247,'[1]AZ DL&amp;OH FG'!$A:$F,3,0),0)</f>
        <v>514</v>
      </c>
      <c r="J247" s="326">
        <f t="shared" si="50"/>
        <v>1542</v>
      </c>
      <c r="K247" s="2"/>
      <c r="L247" s="2"/>
    </row>
    <row r="248" spans="1:12">
      <c r="A248" s="244">
        <v>7555</v>
      </c>
      <c r="B248" t="s">
        <v>1643</v>
      </c>
      <c r="C248" s="229">
        <f>IFERROR(GETPIVOTDATA("Sum of qty",PT!$A$17,"product",A248,"FL/AZ","AZ"),0)</f>
        <v>0</v>
      </c>
      <c r="D248" s="125">
        <v>3</v>
      </c>
      <c r="E248" s="18">
        <f t="shared" ref="E248" si="56">C248*D248</f>
        <v>0</v>
      </c>
      <c r="F248" s="2"/>
      <c r="G248" s="1">
        <f>IFERROR(VLOOKUP(ROUND(A248,0),'[2]Alameda Capitalization'!$A:$M,13,0),0)</f>
        <v>0</v>
      </c>
      <c r="H248" s="2">
        <f t="shared" si="55"/>
        <v>0</v>
      </c>
      <c r="I248" s="326">
        <f>C248-IFERROR(VLOOKUP(A248,'[1]AZ DL&amp;OH FG'!$A:$F,3,0),0)</f>
        <v>0</v>
      </c>
      <c r="J248" s="326">
        <f t="shared" si="50"/>
        <v>0</v>
      </c>
      <c r="K248" s="2"/>
      <c r="L248" s="2"/>
    </row>
    <row r="249" spans="1:12">
      <c r="A249" s="4">
        <v>7560</v>
      </c>
      <c r="B249" t="s">
        <v>1644</v>
      </c>
      <c r="C249" s="229">
        <f>IFERROR(GETPIVOTDATA("Sum of qty",PT!$A$17,"product",A249,"FL/AZ","AZ"),0)</f>
        <v>0</v>
      </c>
      <c r="D249" s="125">
        <v>4.5</v>
      </c>
      <c r="E249" s="18">
        <f t="shared" si="42"/>
        <v>0</v>
      </c>
      <c r="F249" s="2"/>
      <c r="G249" s="1">
        <f>IFERROR(VLOOKUP(ROUND(A249,0),'[2]Alameda Capitalization'!$A:$M,13,0),0)</f>
        <v>0</v>
      </c>
      <c r="H249" s="2">
        <f t="shared" si="55"/>
        <v>0</v>
      </c>
      <c r="I249" s="326">
        <f>C249-IFERROR(VLOOKUP(A249,'[1]AZ DL&amp;OH FG'!$A:$F,3,0),0)</f>
        <v>0</v>
      </c>
      <c r="J249" s="326">
        <f t="shared" si="50"/>
        <v>0</v>
      </c>
      <c r="K249" s="2"/>
      <c r="L249" s="2"/>
    </row>
    <row r="250" spans="1:12">
      <c r="A250" s="4">
        <v>7563</v>
      </c>
      <c r="B250" t="s">
        <v>1645</v>
      </c>
      <c r="C250" s="229">
        <f>IFERROR(GETPIVOTDATA("Sum of qty",PT!$A$17,"product",A250,"FL/AZ","AZ"),0)</f>
        <v>0</v>
      </c>
      <c r="D250" s="125">
        <v>4</v>
      </c>
      <c r="E250" s="18">
        <f t="shared" si="42"/>
        <v>0</v>
      </c>
      <c r="F250" s="2"/>
      <c r="G250" s="1">
        <f>IFERROR(VLOOKUP(ROUND(A250,0),'[2]Alameda Capitalization'!$A:$M,13,0),0)</f>
        <v>0</v>
      </c>
      <c r="H250" s="2">
        <f t="shared" si="55"/>
        <v>0</v>
      </c>
      <c r="I250" s="326">
        <f>C250-IFERROR(VLOOKUP(A250,'[1]AZ DL&amp;OH FG'!$A:$F,3,0),0)</f>
        <v>0</v>
      </c>
      <c r="J250" s="326">
        <f t="shared" si="50"/>
        <v>0</v>
      </c>
      <c r="K250" s="2"/>
      <c r="L250" s="2"/>
    </row>
    <row r="251" spans="1:12">
      <c r="A251" s="4">
        <v>7564</v>
      </c>
      <c r="B251" t="s">
        <v>1646</v>
      </c>
      <c r="C251" s="229">
        <f>IFERROR(GETPIVOTDATA("Sum of qty",PT!$A$17,"product",A251,"FL/AZ","AZ"),0)</f>
        <v>0</v>
      </c>
      <c r="D251" s="125">
        <v>3</v>
      </c>
      <c r="E251" s="18">
        <f t="shared" si="42"/>
        <v>0</v>
      </c>
      <c r="F251" s="2"/>
      <c r="G251" s="1">
        <f>IFERROR(VLOOKUP(ROUND(A251,0),'[2]Alameda Capitalization'!$A:$M,13,0),0)</f>
        <v>0</v>
      </c>
      <c r="H251" s="2">
        <f t="shared" si="55"/>
        <v>0</v>
      </c>
      <c r="I251" s="326">
        <f>C251-IFERROR(VLOOKUP(A251,'[1]AZ DL&amp;OH FG'!$A:$F,3,0),0)</f>
        <v>0</v>
      </c>
      <c r="J251" s="326">
        <f t="shared" si="50"/>
        <v>0</v>
      </c>
      <c r="K251" s="2"/>
      <c r="L251" s="2"/>
    </row>
    <row r="252" spans="1:12">
      <c r="A252" s="4">
        <v>7565</v>
      </c>
      <c r="B252" t="s">
        <v>1647</v>
      </c>
      <c r="C252" s="229">
        <f>IFERROR(GETPIVOTDATA("Sum of qty",PT!$A$17,"product",A252,"FL/AZ","AZ"),0)</f>
        <v>0</v>
      </c>
      <c r="D252" s="125">
        <v>3.125</v>
      </c>
      <c r="E252" s="18">
        <f t="shared" si="42"/>
        <v>0</v>
      </c>
      <c r="F252" s="2"/>
      <c r="G252" s="1">
        <f>IFERROR(VLOOKUP(ROUND(A252,0),'[2]Alameda Capitalization'!$A:$M,13,0),0)</f>
        <v>0</v>
      </c>
      <c r="H252" s="2">
        <f t="shared" si="55"/>
        <v>0</v>
      </c>
      <c r="I252" s="326">
        <f>C252-IFERROR(VLOOKUP(A252,'[1]AZ DL&amp;OH FG'!$A:$F,3,0),0)</f>
        <v>0</v>
      </c>
      <c r="J252" s="326">
        <f t="shared" si="50"/>
        <v>0</v>
      </c>
      <c r="K252" s="2"/>
      <c r="L252" s="2"/>
    </row>
    <row r="253" spans="1:12">
      <c r="A253" s="4">
        <v>7568</v>
      </c>
      <c r="B253" t="s">
        <v>1648</v>
      </c>
      <c r="C253" s="229">
        <f>IFERROR(GETPIVOTDATA("Sum of qty",PT!$A$17,"product",A253,"FL/AZ","AZ"),0)</f>
        <v>0</v>
      </c>
      <c r="D253" s="125">
        <v>1.5</v>
      </c>
      <c r="E253" s="18">
        <f t="shared" si="42"/>
        <v>0</v>
      </c>
      <c r="F253" s="2"/>
      <c r="G253" s="1">
        <f>IFERROR(VLOOKUP(ROUND(A253,0),'[2]Alameda Capitalization'!$A:$M,13,0),0)</f>
        <v>0</v>
      </c>
      <c r="H253" s="2">
        <f t="shared" si="55"/>
        <v>0</v>
      </c>
      <c r="I253" s="326">
        <f>C253-IFERROR(VLOOKUP(A253,'[1]AZ DL&amp;OH FG'!$A:$F,3,0),0)</f>
        <v>0</v>
      </c>
      <c r="J253" s="326">
        <f t="shared" si="50"/>
        <v>0</v>
      </c>
      <c r="K253" s="2"/>
      <c r="L253" s="2"/>
    </row>
    <row r="254" spans="1:12">
      <c r="A254" s="4">
        <v>7571</v>
      </c>
      <c r="B254" t="s">
        <v>1649</v>
      </c>
      <c r="C254" s="229">
        <f>IFERROR(GETPIVOTDATA("Sum of qty",PT!$A$17,"product",A254,"FL/AZ","AZ"),0)</f>
        <v>0</v>
      </c>
      <c r="D254" s="125">
        <v>1.4297</v>
      </c>
      <c r="E254" s="18">
        <f t="shared" si="42"/>
        <v>0</v>
      </c>
      <c r="F254" s="2"/>
      <c r="G254" s="1">
        <f>IFERROR(VLOOKUP(ROUND(A254,0),'[2]Alameda Capitalization'!$A:$M,13,0),0)</f>
        <v>0</v>
      </c>
      <c r="H254" s="2">
        <f t="shared" si="55"/>
        <v>0</v>
      </c>
      <c r="I254" s="326">
        <f>C254-IFERROR(VLOOKUP(A254,'[1]AZ DL&amp;OH FG'!$A:$F,3,0),0)</f>
        <v>0</v>
      </c>
      <c r="J254" s="326">
        <f t="shared" si="50"/>
        <v>0</v>
      </c>
      <c r="K254" s="2"/>
      <c r="L254" s="2"/>
    </row>
    <row r="255" spans="1:12">
      <c r="A255" s="4">
        <v>7591</v>
      </c>
      <c r="B255" t="s">
        <v>235</v>
      </c>
      <c r="C255" s="229">
        <f>IFERROR(GETPIVOTDATA("Sum of qty",PT!$A$17,"product",A255,"FL/AZ","AZ"),0)</f>
        <v>1545</v>
      </c>
      <c r="D255" s="125">
        <v>4</v>
      </c>
      <c r="E255" s="18">
        <f t="shared" si="42"/>
        <v>6180</v>
      </c>
      <c r="F255" s="2"/>
      <c r="G255" s="1">
        <f>IFERROR(VLOOKUP(ROUND(A255,0),'[2]Alameda Capitalization'!$A:$M,13,0),0)</f>
        <v>6.5219063576406E-2</v>
      </c>
      <c r="H255" s="2">
        <f t="shared" si="55"/>
        <v>100.76345322554727</v>
      </c>
      <c r="I255" s="326">
        <f>C255-IFERROR(VLOOKUP(A255,'[1]AZ DL&amp;OH FG'!$A:$F,3,0),0)</f>
        <v>-4197</v>
      </c>
      <c r="J255" s="326">
        <f t="shared" si="50"/>
        <v>-16788</v>
      </c>
      <c r="K255" s="2"/>
      <c r="L255" s="2"/>
    </row>
    <row r="256" spans="1:12">
      <c r="A256" s="4">
        <v>7592</v>
      </c>
      <c r="B256" t="s">
        <v>1650</v>
      </c>
      <c r="C256" s="229">
        <f>IFERROR(GETPIVOTDATA("Sum of qty",PT!$A$17,"product",A256,"FL/AZ","AZ"),0)</f>
        <v>0</v>
      </c>
      <c r="D256" s="125">
        <v>3</v>
      </c>
      <c r="E256" s="18">
        <f t="shared" si="42"/>
        <v>0</v>
      </c>
      <c r="F256" s="2"/>
      <c r="G256" s="1">
        <f>IFERROR(VLOOKUP(ROUND(A256,0),'[2]Alameda Capitalization'!$A:$M,13,0),0)</f>
        <v>0</v>
      </c>
      <c r="H256" s="2">
        <f t="shared" si="55"/>
        <v>0</v>
      </c>
      <c r="I256" s="326">
        <f>C256-IFERROR(VLOOKUP(A256,'[1]AZ DL&amp;OH FG'!$A:$F,3,0),0)</f>
        <v>0</v>
      </c>
      <c r="J256" s="326">
        <f t="shared" si="50"/>
        <v>0</v>
      </c>
      <c r="K256" s="2"/>
      <c r="L256" s="2"/>
    </row>
    <row r="257" spans="1:12">
      <c r="A257" s="4">
        <v>7593</v>
      </c>
      <c r="B257" t="s">
        <v>516</v>
      </c>
      <c r="C257" s="229">
        <f>IFERROR(GETPIVOTDATA("Sum of qty",PT!$A$17,"product",A257,"FL/AZ","AZ"),0)</f>
        <v>2103</v>
      </c>
      <c r="D257" s="125">
        <v>4</v>
      </c>
      <c r="E257" s="18">
        <f t="shared" ref="E257" si="57">C257*D257</f>
        <v>8412</v>
      </c>
      <c r="F257" s="2"/>
      <c r="G257" s="1">
        <f>IFERROR(VLOOKUP(ROUND(A257,0),'[2]Alameda Capitalization'!$A:$M,13,0),0)</f>
        <v>6.5219063576406E-2</v>
      </c>
      <c r="H257" s="2">
        <f t="shared" ref="H257" si="58">G257*C257</f>
        <v>137.15569070118181</v>
      </c>
      <c r="I257" s="326">
        <f>C257-IFERROR(VLOOKUP(A257,'[1]AZ DL&amp;OH FG'!$A:$F,3,0),0)</f>
        <v>-637</v>
      </c>
      <c r="J257" s="326">
        <f t="shared" ref="J257" si="59">I257*D257</f>
        <v>-2548</v>
      </c>
      <c r="K257" s="2"/>
      <c r="L257" s="2"/>
    </row>
    <row r="258" spans="1:12">
      <c r="A258" s="4">
        <v>7602</v>
      </c>
      <c r="B258" s="157" t="s">
        <v>328</v>
      </c>
      <c r="C258" s="229">
        <f>IFERROR(GETPIVOTDATA("Sum of qty",PT!$A$17,"product",A258,"FL/AZ","AZ"),0)</f>
        <v>289</v>
      </c>
      <c r="D258" s="125">
        <v>4</v>
      </c>
      <c r="E258" s="18">
        <f>C258*D258</f>
        <v>1156</v>
      </c>
      <c r="F258" s="2"/>
      <c r="G258" s="1">
        <f>IFERROR(VLOOKUP(ROUND(A258,0),'[2]Alameda Capitalization'!$A:$M,13,0),0)</f>
        <v>4.3479375717603998E-2</v>
      </c>
      <c r="H258" s="2">
        <f t="shared" si="55"/>
        <v>12.565539582387556</v>
      </c>
      <c r="I258" s="326">
        <f>C258-IFERROR(VLOOKUP(A258,'[1]AZ DL&amp;OH FG'!$A:$F,3,0),0)</f>
        <v>-224</v>
      </c>
      <c r="J258" s="326">
        <f t="shared" si="50"/>
        <v>-896</v>
      </c>
      <c r="K258" s="2"/>
      <c r="L258" s="2"/>
    </row>
    <row r="259" spans="1:12">
      <c r="A259" s="4">
        <v>7765</v>
      </c>
      <c r="B259" t="s">
        <v>1651</v>
      </c>
      <c r="C259" s="229">
        <f>IFERROR(GETPIVOTDATA("Sum of qty",PT!$A$17,"product",A259,"FL/AZ","AZ"),0)</f>
        <v>0</v>
      </c>
      <c r="D259" s="125">
        <v>3.125</v>
      </c>
      <c r="E259" s="18">
        <f t="shared" si="42"/>
        <v>0</v>
      </c>
      <c r="F259" s="2">
        <f>E259</f>
        <v>0</v>
      </c>
      <c r="G259" s="1">
        <f>IFERROR(VLOOKUP(ROUND(A259,0),'[2]Alameda Capitalization'!$A:$M,13,0),0)</f>
        <v>0</v>
      </c>
      <c r="H259" s="2">
        <f t="shared" si="55"/>
        <v>0</v>
      </c>
      <c r="I259" s="326">
        <f>C259-IFERROR(VLOOKUP(A259,'[1]AZ DL&amp;OH FG'!$A:$F,3,0),0)</f>
        <v>0</v>
      </c>
      <c r="J259" s="326">
        <f t="shared" si="50"/>
        <v>0</v>
      </c>
      <c r="K259" s="2"/>
      <c r="L259" s="2"/>
    </row>
    <row r="260" spans="1:12">
      <c r="A260" s="4">
        <v>7800</v>
      </c>
      <c r="B260" t="s">
        <v>1652</v>
      </c>
      <c r="C260" s="229">
        <f>IFERROR(GETPIVOTDATA("Sum of qty",PT!$A$17,"product",A260,"FL/AZ","AZ"),0)</f>
        <v>0</v>
      </c>
      <c r="D260" s="125">
        <v>0</v>
      </c>
      <c r="E260" s="18">
        <f t="shared" si="42"/>
        <v>0</v>
      </c>
      <c r="F260" s="2"/>
      <c r="G260" s="1">
        <f>IFERROR(VLOOKUP(ROUND(A260,0),'[2]Alameda Capitalization'!$A:$M,13,0),0)</f>
        <v>0</v>
      </c>
      <c r="H260" s="2">
        <f t="shared" si="55"/>
        <v>0</v>
      </c>
      <c r="I260" s="326">
        <f>C260-IFERROR(VLOOKUP(A260,'[1]AZ DL&amp;OH FG'!$A:$F,3,0),0)</f>
        <v>0</v>
      </c>
      <c r="J260" s="326">
        <f t="shared" si="50"/>
        <v>0</v>
      </c>
      <c r="K260" s="2"/>
      <c r="L260" s="2"/>
    </row>
    <row r="261" spans="1:12">
      <c r="A261" s="4">
        <v>7823</v>
      </c>
      <c r="B261" t="s">
        <v>1653</v>
      </c>
      <c r="C261" s="229">
        <f>IFERROR(GETPIVOTDATA("Sum of qty",PT!$A$17,"product",A261,"FL/AZ","AZ"),0)</f>
        <v>0</v>
      </c>
      <c r="D261" s="125">
        <v>4.3239999999999998</v>
      </c>
      <c r="E261" s="18">
        <f t="shared" si="42"/>
        <v>0</v>
      </c>
      <c r="F261" s="2">
        <f>E261</f>
        <v>0</v>
      </c>
      <c r="G261" s="1">
        <f>IFERROR(VLOOKUP(ROUND(A261,0),'[2]Alameda Capitalization'!$A:$M,13,0),0)</f>
        <v>0</v>
      </c>
      <c r="H261" s="2">
        <f t="shared" si="55"/>
        <v>0</v>
      </c>
      <c r="I261" s="326">
        <f>C261-IFERROR(VLOOKUP(A261,'[1]AZ DL&amp;OH FG'!$A:$F,3,0),0)</f>
        <v>0</v>
      </c>
      <c r="J261" s="326">
        <f t="shared" si="50"/>
        <v>0</v>
      </c>
      <c r="K261" s="2"/>
      <c r="L261" s="2"/>
    </row>
    <row r="262" spans="1:12">
      <c r="A262" s="4">
        <v>7900</v>
      </c>
      <c r="B262" t="s">
        <v>528</v>
      </c>
      <c r="C262" s="229">
        <f>IFERROR(GETPIVOTDATA("Sum of qty",PT!$A$17,"product",A262,"FL/AZ","AZ"),0)</f>
        <v>6441</v>
      </c>
      <c r="D262" s="125">
        <v>0.1429</v>
      </c>
      <c r="E262" s="18">
        <f t="shared" si="42"/>
        <v>920.41890000000001</v>
      </c>
      <c r="F262" s="2"/>
      <c r="G262" s="1">
        <f>IFERROR(VLOOKUP(ROUND(A262,0),'[2]Alameda Capitalization'!$A:$M,13,0),0)</f>
        <v>6.5219063576406004E-3</v>
      </c>
      <c r="H262" s="2">
        <f t="shared" si="55"/>
        <v>42.007598849563109</v>
      </c>
      <c r="I262" s="326">
        <f>C262-IFERROR(VLOOKUP(A262,'[1]AZ DL&amp;OH FG'!$A:$F,3,0),0)</f>
        <v>801</v>
      </c>
      <c r="J262" s="326">
        <f t="shared" si="50"/>
        <v>114.4629</v>
      </c>
      <c r="K262" s="2"/>
      <c r="L262" s="2"/>
    </row>
    <row r="263" spans="1:12">
      <c r="A263" s="4">
        <v>7903</v>
      </c>
      <c r="B263" t="s">
        <v>1654</v>
      </c>
      <c r="C263" s="229">
        <f>IFERROR(GETPIVOTDATA("Sum of qty",PT!$A$17,"product",A263,"FL/AZ","AZ"),0)</f>
        <v>0</v>
      </c>
      <c r="D263" s="125">
        <v>48</v>
      </c>
      <c r="E263" s="18">
        <f t="shared" si="42"/>
        <v>0</v>
      </c>
      <c r="F263" s="2"/>
      <c r="G263" s="1">
        <f>IFERROR(VLOOKUP(ROUND(A263,0),'[2]Alameda Capitalization'!$A:$M,13,0),0)</f>
        <v>0</v>
      </c>
      <c r="H263" s="2">
        <f t="shared" si="55"/>
        <v>0</v>
      </c>
      <c r="I263" s="326">
        <f>C263-IFERROR(VLOOKUP(A263,'[1]AZ DL&amp;OH FG'!$A:$F,3,0),0)</f>
        <v>0</v>
      </c>
      <c r="J263" s="326">
        <f t="shared" si="50"/>
        <v>0</v>
      </c>
      <c r="K263" s="2"/>
      <c r="L263" s="2"/>
    </row>
    <row r="264" spans="1:12">
      <c r="A264" s="163">
        <v>7904</v>
      </c>
      <c r="B264" t="s">
        <v>1655</v>
      </c>
      <c r="C264" s="229">
        <f>IFERROR(GETPIVOTDATA("Sum of qty",PT!$A$17,"product",A264,"FL/AZ","AZ"),0)</f>
        <v>0</v>
      </c>
      <c r="D264" s="125">
        <v>48</v>
      </c>
      <c r="E264" s="18">
        <f t="shared" ref="E264" si="60">C264*D264</f>
        <v>0</v>
      </c>
      <c r="F264" s="2">
        <f>E264</f>
        <v>0</v>
      </c>
      <c r="G264" s="1">
        <f>IFERROR(VLOOKUP(ROUND(A264,0),'[2]Alameda Capitalization'!$A:$M,13,0),0)</f>
        <v>0</v>
      </c>
      <c r="H264" s="2">
        <f t="shared" si="55"/>
        <v>0</v>
      </c>
      <c r="I264" s="326">
        <f>C264-IFERROR(VLOOKUP(A264,'[1]AZ DL&amp;OH FG'!$A:$F,3,0),0)</f>
        <v>0</v>
      </c>
      <c r="J264" s="326">
        <f t="shared" si="50"/>
        <v>0</v>
      </c>
      <c r="K264" s="2"/>
      <c r="L264" s="2"/>
    </row>
    <row r="265" spans="1:12">
      <c r="A265" s="4">
        <v>7921</v>
      </c>
      <c r="B265" t="s">
        <v>1656</v>
      </c>
      <c r="C265" s="229">
        <f>IFERROR(GETPIVOTDATA("Sum of qty",PT!$A$17,"product",A265,"FL/AZ","AZ"),0)</f>
        <v>0</v>
      </c>
      <c r="D265" s="125">
        <v>48</v>
      </c>
      <c r="E265" s="18">
        <f t="shared" si="42"/>
        <v>0</v>
      </c>
      <c r="F265" s="2"/>
      <c r="G265" s="1">
        <f>IFERROR(VLOOKUP(ROUND(A265,0),'[2]Alameda Capitalization'!$A:$M,13,0),0)</f>
        <v>0</v>
      </c>
      <c r="H265" s="2">
        <f t="shared" si="55"/>
        <v>0</v>
      </c>
      <c r="I265" s="326">
        <f>C265-IFERROR(VLOOKUP(A265,'[1]AZ DL&amp;OH FG'!$A:$F,3,0),0)</f>
        <v>0</v>
      </c>
      <c r="J265" s="326">
        <f t="shared" si="50"/>
        <v>0</v>
      </c>
      <c r="K265" s="2"/>
      <c r="L265" s="2"/>
    </row>
    <row r="266" spans="1:12">
      <c r="A266" s="4">
        <v>7940</v>
      </c>
      <c r="B266" t="s">
        <v>1657</v>
      </c>
      <c r="C266" s="229">
        <f>IFERROR(GETPIVOTDATA("Sum of qty",PT!$A$17,"product",A266,"FL/AZ","AZ"),0)</f>
        <v>0</v>
      </c>
      <c r="D266" s="125">
        <v>48</v>
      </c>
      <c r="E266" s="18">
        <f>C266*D266</f>
        <v>0</v>
      </c>
      <c r="F266" s="2"/>
      <c r="G266" s="1">
        <f>IFERROR(VLOOKUP(ROUND(A266,0),'[2]Alameda Capitalization'!$A:$M,13,0),0)</f>
        <v>6.5219063576406002</v>
      </c>
      <c r="H266" s="2">
        <f t="shared" si="55"/>
        <v>0</v>
      </c>
      <c r="I266" s="326">
        <f>C266-IFERROR(VLOOKUP(A266,'[1]AZ DL&amp;OH FG'!$A:$F,3,0),0)</f>
        <v>0</v>
      </c>
      <c r="J266" s="326">
        <f t="shared" si="50"/>
        <v>0</v>
      </c>
      <c r="K266" s="2"/>
      <c r="L266" s="2"/>
    </row>
    <row r="267" spans="1:12">
      <c r="A267" s="4">
        <v>7951</v>
      </c>
      <c r="B267" t="s">
        <v>1658</v>
      </c>
      <c r="C267" s="229">
        <f>IFERROR(GETPIVOTDATA("Sum of qty",PT!$A$17,"product",A267,"FL/AZ","AZ"),0)</f>
        <v>0</v>
      </c>
      <c r="D267" s="125">
        <v>48</v>
      </c>
      <c r="E267" s="18">
        <f>C267*D267</f>
        <v>0</v>
      </c>
      <c r="F267" s="2">
        <f>E267</f>
        <v>0</v>
      </c>
      <c r="G267" s="1">
        <f>IFERROR(VLOOKUP(ROUND(A267,0),'[2]Alameda Capitalization'!$A:$M,13,0),0)</f>
        <v>0</v>
      </c>
      <c r="H267" s="2">
        <f t="shared" si="55"/>
        <v>0</v>
      </c>
      <c r="I267" s="326">
        <f>C267-IFERROR(VLOOKUP(A267,'[1]AZ DL&amp;OH FG'!$A:$F,3,0),0)</f>
        <v>0</v>
      </c>
      <c r="J267" s="326">
        <f t="shared" si="50"/>
        <v>0</v>
      </c>
      <c r="K267" s="2"/>
      <c r="L267" s="2"/>
    </row>
    <row r="268" spans="1:12">
      <c r="A268" s="4">
        <v>7952</v>
      </c>
      <c r="B268" t="s">
        <v>1659</v>
      </c>
      <c r="C268" s="229">
        <f>IFERROR(GETPIVOTDATA("Sum of qty",PT!$A$17,"product",A268,"FL/AZ","AZ"),0)</f>
        <v>0</v>
      </c>
      <c r="D268" s="125">
        <v>48</v>
      </c>
      <c r="E268" s="18">
        <f t="shared" si="42"/>
        <v>0</v>
      </c>
      <c r="F268" s="2"/>
      <c r="G268" s="1">
        <f>IFERROR(VLOOKUP(ROUND(A268,0),'[2]Alameda Capitalization'!$A:$M,13,0),0)</f>
        <v>0</v>
      </c>
      <c r="H268" s="2">
        <f t="shared" si="55"/>
        <v>0</v>
      </c>
      <c r="I268" s="326">
        <f>C268-IFERROR(VLOOKUP(A268,'[1]AZ DL&amp;OH FG'!$A:$F,3,0),0)</f>
        <v>0</v>
      </c>
      <c r="J268" s="326">
        <f t="shared" si="50"/>
        <v>0</v>
      </c>
      <c r="K268" s="2"/>
      <c r="L268" s="2"/>
    </row>
    <row r="269" spans="1:12">
      <c r="A269" s="4">
        <v>7961</v>
      </c>
      <c r="B269" t="s">
        <v>1660</v>
      </c>
      <c r="C269" s="229">
        <f>IFERROR(GETPIVOTDATA("Sum of qty",PT!$A$17,"product",A269,"FL/AZ","AZ"),0)</f>
        <v>0</v>
      </c>
      <c r="D269" s="125">
        <v>48</v>
      </c>
      <c r="E269" s="18">
        <f t="shared" ref="E269" si="61">C269*D269</f>
        <v>0</v>
      </c>
      <c r="F269" s="2">
        <f>E269</f>
        <v>0</v>
      </c>
      <c r="G269" s="1">
        <f>IFERROR(VLOOKUP(ROUND(A269,0),'[2]Alameda Capitalization'!$A:$M,13,0),0)</f>
        <v>0.43479375717604002</v>
      </c>
      <c r="H269" s="2">
        <f t="shared" si="55"/>
        <v>0</v>
      </c>
      <c r="I269" s="326">
        <f>C269-IFERROR(VLOOKUP(A269,'[1]AZ DL&amp;OH FG'!$A:$F,3,0),0)</f>
        <v>0</v>
      </c>
      <c r="J269" s="326">
        <f t="shared" si="50"/>
        <v>0</v>
      </c>
      <c r="K269" s="2"/>
      <c r="L269" s="2"/>
    </row>
    <row r="270" spans="1:12">
      <c r="A270" s="4">
        <v>8202</v>
      </c>
      <c r="B270" t="s">
        <v>1661</v>
      </c>
      <c r="C270" s="229">
        <f>IFERROR(GETPIVOTDATA("Sum of qty",PT!$A$17,"product",A270,"FL/AZ","AZ"),0)</f>
        <v>0</v>
      </c>
      <c r="D270" s="125">
        <v>4</v>
      </c>
      <c r="E270" s="18">
        <f t="shared" si="42"/>
        <v>0</v>
      </c>
      <c r="F270" s="2">
        <f>E270</f>
        <v>0</v>
      </c>
      <c r="G270" s="1">
        <f>IFERROR(VLOOKUP(ROUND(A270,0),'[2]Alameda Capitalization'!$A:$M,13,0),0)</f>
        <v>0</v>
      </c>
      <c r="H270" s="2">
        <f t="shared" si="55"/>
        <v>0</v>
      </c>
      <c r="I270" s="326">
        <f>C270-IFERROR(VLOOKUP(A270,'[1]AZ DL&amp;OH FG'!$A:$F,3,0),0)</f>
        <v>0</v>
      </c>
      <c r="J270" s="326">
        <f t="shared" si="50"/>
        <v>0</v>
      </c>
      <c r="K270" s="2"/>
      <c r="L270" s="2"/>
    </row>
    <row r="271" spans="1:12">
      <c r="A271" s="244">
        <v>8225</v>
      </c>
      <c r="B271" t="s">
        <v>105</v>
      </c>
      <c r="C271" s="229">
        <f>IFERROR(GETPIVOTDATA("Sum of qty",PT!$A$17,"product",A271,"FL/AZ","AZ"),0)</f>
        <v>330</v>
      </c>
      <c r="D271" s="125">
        <f>30.5*0.046875</f>
        <v>1.4296875</v>
      </c>
      <c r="E271" s="18">
        <f t="shared" ref="E271" si="62">C271*D271</f>
        <v>471.796875</v>
      </c>
      <c r="F271" s="2">
        <f>E271</f>
        <v>471.796875</v>
      </c>
      <c r="G271" s="1">
        <f>IFERROR(VLOOKUP(ROUND(A271,0),'[2]Alameda Capitalization'!$A:$M,13,0),0)</f>
        <v>0.21739687858802001</v>
      </c>
      <c r="H271" s="2">
        <f t="shared" si="55"/>
        <v>71.740969934046603</v>
      </c>
      <c r="I271" s="326">
        <f>C271-IFERROR(VLOOKUP(A271,'[1]AZ DL&amp;OH FG'!$A:$F,3,0),0)</f>
        <v>120</v>
      </c>
      <c r="J271" s="326">
        <f t="shared" si="50"/>
        <v>171.5625</v>
      </c>
      <c r="K271" s="2"/>
      <c r="L271" s="2"/>
    </row>
    <row r="272" spans="1:12">
      <c r="A272" s="4">
        <v>8270</v>
      </c>
      <c r="B272" t="s">
        <v>1662</v>
      </c>
      <c r="C272" s="229">
        <f>IFERROR(GETPIVOTDATA("Sum of qty",PT!$A$17,"product",A272,"FL/AZ","AZ"),0)</f>
        <v>0</v>
      </c>
      <c r="D272" s="125">
        <v>1.429</v>
      </c>
      <c r="E272" s="18">
        <f t="shared" si="42"/>
        <v>0</v>
      </c>
      <c r="F272" s="2">
        <f>E272</f>
        <v>0</v>
      </c>
      <c r="G272" s="1">
        <f>IFERROR(VLOOKUP(ROUND(A272,0),'[2]Alameda Capitalization'!$A:$M,13,0),0)</f>
        <v>0</v>
      </c>
      <c r="H272" s="2">
        <f t="shared" si="55"/>
        <v>0</v>
      </c>
      <c r="I272" s="326">
        <f>C272-IFERROR(VLOOKUP(A272,'[1]AZ DL&amp;OH FG'!$A:$F,3,0),0)</f>
        <v>0</v>
      </c>
      <c r="J272" s="326">
        <f t="shared" si="50"/>
        <v>0</v>
      </c>
      <c r="K272" s="2"/>
      <c r="L272" s="2"/>
    </row>
    <row r="273" spans="1:12">
      <c r="A273" s="4">
        <v>8272</v>
      </c>
      <c r="B273" t="s">
        <v>1663</v>
      </c>
      <c r="C273" s="229">
        <f>IFERROR(GETPIVOTDATA("Sum of qty",PT!$A$17,"product",A273,"FL/AZ","AZ"),0)</f>
        <v>0</v>
      </c>
      <c r="D273" s="125">
        <v>1.4297</v>
      </c>
      <c r="E273" s="18">
        <f t="shared" si="42"/>
        <v>0</v>
      </c>
      <c r="F273" s="2">
        <f>E273</f>
        <v>0</v>
      </c>
      <c r="G273" s="1">
        <f>IFERROR(VLOOKUP(ROUND(A273,0),'[2]Alameda Capitalization'!$A:$M,13,0),0)</f>
        <v>0</v>
      </c>
      <c r="H273" s="2">
        <f t="shared" si="55"/>
        <v>0</v>
      </c>
      <c r="I273" s="326">
        <f>C273-IFERROR(VLOOKUP(A273,'[1]AZ DL&amp;OH FG'!$A:$F,3,0),0)</f>
        <v>0</v>
      </c>
      <c r="J273" s="326">
        <f t="shared" si="50"/>
        <v>0</v>
      </c>
      <c r="K273" s="2"/>
      <c r="L273" s="2"/>
    </row>
    <row r="274" spans="1:12">
      <c r="A274" s="4">
        <v>8404</v>
      </c>
      <c r="B274" t="s">
        <v>1664</v>
      </c>
      <c r="C274" s="229">
        <f>IFERROR(GETPIVOTDATA("Sum of qty",PT!$A$17,"product",A274,"FL/AZ","AZ"),0)</f>
        <v>0</v>
      </c>
      <c r="D274" s="125">
        <v>3</v>
      </c>
      <c r="E274" s="18">
        <f t="shared" si="42"/>
        <v>0</v>
      </c>
      <c r="F274" s="2"/>
      <c r="G274" s="1">
        <f>IFERROR(VLOOKUP(ROUND(A274,0),'[2]Alameda Capitalization'!$A:$M,13,0),0)</f>
        <v>0</v>
      </c>
      <c r="H274" s="2">
        <f t="shared" si="55"/>
        <v>0</v>
      </c>
      <c r="I274" s="326">
        <f>C274-IFERROR(VLOOKUP(A274,'[1]AZ DL&amp;OH FG'!$A:$F,3,0),0)</f>
        <v>0</v>
      </c>
      <c r="J274" s="326">
        <f t="shared" si="50"/>
        <v>0</v>
      </c>
      <c r="K274" s="2"/>
      <c r="L274" s="2"/>
    </row>
    <row r="275" spans="1:12">
      <c r="A275" s="4">
        <v>8424</v>
      </c>
      <c r="B275" t="s">
        <v>1665</v>
      </c>
      <c r="C275" s="229">
        <f>IFERROR(GETPIVOTDATA("Sum of qty",PT!$A$17,"product",A275,"FL/AZ","AZ"),0)</f>
        <v>0</v>
      </c>
      <c r="D275" s="125">
        <v>4.5</v>
      </c>
      <c r="E275" s="18">
        <f t="shared" si="42"/>
        <v>0</v>
      </c>
      <c r="F275" s="2"/>
      <c r="G275" s="1">
        <f>IFERROR(VLOOKUP(ROUND(A275,0),'[2]Alameda Capitalization'!$A:$M,13,0),0)</f>
        <v>0</v>
      </c>
      <c r="H275" s="2">
        <f t="shared" si="55"/>
        <v>0</v>
      </c>
      <c r="I275" s="326">
        <f>C275-IFERROR(VLOOKUP(A275,'[1]AZ DL&amp;OH FG'!$A:$F,3,0),0)</f>
        <v>0</v>
      </c>
      <c r="J275" s="326">
        <f t="shared" si="50"/>
        <v>0</v>
      </c>
      <c r="K275" s="2"/>
      <c r="L275" s="2"/>
    </row>
    <row r="276" spans="1:12">
      <c r="A276" s="4">
        <v>8425</v>
      </c>
      <c r="B276" t="s">
        <v>1666</v>
      </c>
      <c r="C276" s="229">
        <f>IFERROR(GETPIVOTDATA("Sum of qty",PT!$A$17,"product",A276,"FL/AZ","AZ"),0)</f>
        <v>0</v>
      </c>
      <c r="D276" s="125">
        <v>3</v>
      </c>
      <c r="E276" s="18">
        <f t="shared" ref="E276:E351" si="63">C276*D276</f>
        <v>0</v>
      </c>
      <c r="F276" s="2"/>
      <c r="G276" s="1">
        <f>IFERROR(VLOOKUP(ROUND(A276,0),'[2]Alameda Capitalization'!$A:$M,13,0),0)</f>
        <v>0</v>
      </c>
      <c r="H276" s="2">
        <f t="shared" si="55"/>
        <v>0</v>
      </c>
      <c r="I276" s="326">
        <f>C276-IFERROR(VLOOKUP(A276,'[1]AZ DL&amp;OH FG'!$A:$F,3,0),0)</f>
        <v>0</v>
      </c>
      <c r="J276" s="326">
        <f t="shared" si="50"/>
        <v>0</v>
      </c>
      <c r="K276" s="2"/>
      <c r="L276" s="2"/>
    </row>
    <row r="277" spans="1:12">
      <c r="A277" s="4">
        <v>8502</v>
      </c>
      <c r="B277" t="s">
        <v>1667</v>
      </c>
      <c r="C277" s="229">
        <f>IFERROR(GETPIVOTDATA("Sum of qty",PT!$A$17,"product",A277,"FL/AZ","AZ"),0)</f>
        <v>0</v>
      </c>
      <c r="D277" s="125">
        <v>4</v>
      </c>
      <c r="E277" s="18">
        <f t="shared" si="63"/>
        <v>0</v>
      </c>
      <c r="F277" s="2"/>
      <c r="G277" s="1">
        <f>IFERROR(VLOOKUP(ROUND(A277,0),'[2]Alameda Capitalization'!$A:$M,13,0),0)</f>
        <v>0</v>
      </c>
      <c r="H277" s="2">
        <f t="shared" si="55"/>
        <v>0</v>
      </c>
      <c r="I277" s="326">
        <f>C277-IFERROR(VLOOKUP(A277,'[1]AZ DL&amp;OH FG'!$A:$F,3,0),0)</f>
        <v>0</v>
      </c>
      <c r="J277" s="326">
        <f t="shared" si="50"/>
        <v>0</v>
      </c>
      <c r="K277" s="2"/>
      <c r="L277" s="2"/>
    </row>
    <row r="278" spans="1:12">
      <c r="A278" s="4">
        <v>8503</v>
      </c>
      <c r="B278" t="s">
        <v>1668</v>
      </c>
      <c r="C278" s="229">
        <f>IFERROR(GETPIVOTDATA("Sum of qty",PT!$A$17,"product",A278,"FL/AZ","AZ"),0)</f>
        <v>0</v>
      </c>
      <c r="D278" s="125">
        <v>3</v>
      </c>
      <c r="E278" s="18">
        <f t="shared" si="63"/>
        <v>0</v>
      </c>
      <c r="F278" s="2"/>
      <c r="G278" s="1">
        <f>IFERROR(VLOOKUP(ROUND(A278,0),'[2]Alameda Capitalization'!$A:$M,13,0),0)</f>
        <v>0</v>
      </c>
      <c r="H278" s="2">
        <f t="shared" si="55"/>
        <v>0</v>
      </c>
      <c r="I278" s="326">
        <f>C278-IFERROR(VLOOKUP(A278,'[1]AZ DL&amp;OH FG'!$A:$F,3,0),0)</f>
        <v>0</v>
      </c>
      <c r="J278" s="326">
        <f t="shared" ref="J278:J342" si="64">I278*D278</f>
        <v>0</v>
      </c>
      <c r="K278" s="2"/>
      <c r="L278" s="2"/>
    </row>
    <row r="279" spans="1:12">
      <c r="A279" s="4">
        <v>8506</v>
      </c>
      <c r="B279" t="s">
        <v>1669</v>
      </c>
      <c r="C279" s="229">
        <f>IFERROR(GETPIVOTDATA("Sum of qty",PT!$A$17,"product",A279,"FL/AZ","AZ"),0)</f>
        <v>0</v>
      </c>
      <c r="D279" s="125">
        <v>3</v>
      </c>
      <c r="E279" s="18">
        <f t="shared" si="63"/>
        <v>0</v>
      </c>
      <c r="F279" s="2"/>
      <c r="G279" s="1">
        <f>IFERROR(VLOOKUP(ROUND(A279,0),'[2]Alameda Capitalization'!$A:$M,13,0),0)</f>
        <v>5.2175250861124796E-2</v>
      </c>
      <c r="H279" s="2">
        <f t="shared" si="55"/>
        <v>0</v>
      </c>
      <c r="I279" s="326">
        <f>C279-IFERROR(VLOOKUP(A279,'[1]AZ DL&amp;OH FG'!$A:$F,3,0),0)</f>
        <v>0</v>
      </c>
      <c r="J279" s="326">
        <f t="shared" si="64"/>
        <v>0</v>
      </c>
      <c r="K279" s="2"/>
      <c r="L279" s="2"/>
    </row>
    <row r="280" spans="1:12">
      <c r="A280" s="4">
        <v>8513</v>
      </c>
      <c r="B280" t="s">
        <v>1670</v>
      </c>
      <c r="C280" s="229">
        <f>IFERROR(GETPIVOTDATA("Sum of qty",PT!$A$17,"product",A280,"FL/AZ","AZ"),0)</f>
        <v>656</v>
      </c>
      <c r="D280" s="125">
        <v>3</v>
      </c>
      <c r="E280" s="18">
        <f t="shared" si="63"/>
        <v>1968</v>
      </c>
      <c r="F280" s="2"/>
      <c r="G280" s="1">
        <f>IFERROR(VLOOKUP(ROUND(A280,0),'[2]Alameda Capitalization'!$A:$M,13,0),0)</f>
        <v>5.2175250861124796E-2</v>
      </c>
      <c r="H280" s="2">
        <f t="shared" si="55"/>
        <v>34.22696456489787</v>
      </c>
      <c r="I280" s="326">
        <f>C280-IFERROR(VLOOKUP(A280,'[1]AZ DL&amp;OH FG'!$A:$F,3,0),0)</f>
        <v>-219</v>
      </c>
      <c r="J280" s="326">
        <f t="shared" si="64"/>
        <v>-657</v>
      </c>
      <c r="K280" s="2"/>
      <c r="L280" s="2"/>
    </row>
    <row r="281" spans="1:12">
      <c r="A281" s="4">
        <v>8521</v>
      </c>
      <c r="B281" t="s">
        <v>1671</v>
      </c>
      <c r="C281" s="229">
        <f>IFERROR(GETPIVOTDATA("Sum of qty",PT!$A$17,"product",A281,"FL/AZ","AZ"),0)</f>
        <v>0</v>
      </c>
      <c r="D281" s="125">
        <v>2.3437999999999999</v>
      </c>
      <c r="E281" s="18">
        <f t="shared" si="63"/>
        <v>0</v>
      </c>
      <c r="F281" s="2"/>
      <c r="G281" s="1">
        <f>IFERROR(VLOOKUP(ROUND(A281,0),'[2]Alameda Capitalization'!$A:$M,13,0),0)</f>
        <v>0</v>
      </c>
      <c r="H281" s="2">
        <f t="shared" si="55"/>
        <v>0</v>
      </c>
      <c r="I281" s="326">
        <f>C281-IFERROR(VLOOKUP(A281,'[1]AZ DL&amp;OH FG'!$A:$F,3,0),0)</f>
        <v>0</v>
      </c>
      <c r="J281" s="326">
        <f t="shared" si="64"/>
        <v>0</v>
      </c>
      <c r="K281" s="2"/>
      <c r="L281" s="2"/>
    </row>
    <row r="282" spans="1:12">
      <c r="A282" s="4">
        <v>8526</v>
      </c>
      <c r="B282" t="s">
        <v>1672</v>
      </c>
      <c r="C282" s="229">
        <f>IFERROR(GETPIVOTDATA("Sum of qty",PT!$A$17,"product",A282,"FL/AZ","AZ"),0)</f>
        <v>0</v>
      </c>
      <c r="D282" s="125">
        <v>4.5</v>
      </c>
      <c r="E282" s="18">
        <f t="shared" si="63"/>
        <v>0</v>
      </c>
      <c r="F282" s="2"/>
      <c r="G282" s="1">
        <f>IFERROR(VLOOKUP(ROUND(A282,0),'[2]Alameda Capitalization'!$A:$M,13,0),0)</f>
        <v>0</v>
      </c>
      <c r="H282" s="2">
        <f t="shared" si="55"/>
        <v>0</v>
      </c>
      <c r="I282" s="326">
        <f>C282-IFERROR(VLOOKUP(A282,'[1]AZ DL&amp;OH FG'!$A:$F,3,0),0)</f>
        <v>0</v>
      </c>
      <c r="J282" s="326">
        <f t="shared" si="64"/>
        <v>0</v>
      </c>
      <c r="K282" s="2"/>
      <c r="L282" s="2"/>
    </row>
    <row r="283" spans="1:12">
      <c r="A283" s="4">
        <v>8527</v>
      </c>
      <c r="B283" t="s">
        <v>1673</v>
      </c>
      <c r="C283" s="229">
        <f>IFERROR(GETPIVOTDATA("Sum of qty",PT!$A$17,"product",A283,"FL/AZ","AZ"),0)</f>
        <v>0</v>
      </c>
      <c r="D283" s="125">
        <v>4</v>
      </c>
      <c r="E283" s="18">
        <f t="shared" si="63"/>
        <v>0</v>
      </c>
      <c r="F283" s="2"/>
      <c r="G283" s="1">
        <f>IFERROR(VLOOKUP(ROUND(A283,0),'[2]Alameda Capitalization'!$A:$M,13,0),0)</f>
        <v>0</v>
      </c>
      <c r="H283" s="2">
        <f t="shared" si="55"/>
        <v>0</v>
      </c>
      <c r="I283" s="326">
        <f>C283-IFERROR(VLOOKUP(A283,'[1]AZ DL&amp;OH FG'!$A:$F,3,0),0)</f>
        <v>0</v>
      </c>
      <c r="J283" s="326">
        <f t="shared" si="64"/>
        <v>0</v>
      </c>
      <c r="K283" s="2"/>
      <c r="L283" s="2"/>
    </row>
    <row r="284" spans="1:12">
      <c r="A284" s="4">
        <v>8530</v>
      </c>
      <c r="B284" t="s">
        <v>1674</v>
      </c>
      <c r="C284" s="229">
        <f>IFERROR(GETPIVOTDATA("Sum of qty",PT!$A$17,"product",A284,"FL/AZ","AZ"),0)</f>
        <v>0</v>
      </c>
      <c r="D284" s="125">
        <v>3.125</v>
      </c>
      <c r="E284" s="18">
        <f t="shared" si="63"/>
        <v>0</v>
      </c>
      <c r="F284" s="2"/>
      <c r="G284" s="1">
        <f>IFERROR(VLOOKUP(ROUND(A284,0),'[2]Alameda Capitalization'!$A:$M,13,0),0)</f>
        <v>0</v>
      </c>
      <c r="H284" s="2">
        <f t="shared" si="55"/>
        <v>0</v>
      </c>
      <c r="I284" s="326">
        <f>C284-IFERROR(VLOOKUP(A284,'[1]AZ DL&amp;OH FG'!$A:$F,3,0),0)</f>
        <v>0</v>
      </c>
      <c r="J284" s="326">
        <f t="shared" si="64"/>
        <v>0</v>
      </c>
      <c r="K284" s="2"/>
      <c r="L284" s="2"/>
    </row>
    <row r="285" spans="1:12">
      <c r="A285" s="244">
        <v>8554</v>
      </c>
      <c r="B285" t="s">
        <v>292</v>
      </c>
      <c r="C285" s="229">
        <f>IFERROR(GETPIVOTDATA("Sum of qty",PT!$A$17,"product",A285,"FL/AZ","AZ"),0)</f>
        <v>0</v>
      </c>
      <c r="D285" s="125">
        <v>3</v>
      </c>
      <c r="E285" s="18">
        <f t="shared" ref="E285" si="65">C285*D285</f>
        <v>0</v>
      </c>
      <c r="F285" s="2"/>
      <c r="G285" s="1">
        <f>IFERROR(VLOOKUP(ROUND(A285,0),'[2]Alameda Capitalization'!$A:$M,13,0),0)</f>
        <v>0</v>
      </c>
      <c r="H285" s="2">
        <f t="shared" ref="H285" si="66">G285*C285</f>
        <v>0</v>
      </c>
      <c r="I285" s="326">
        <f>C285-IFERROR(VLOOKUP(A285,'[1]AZ DL&amp;OH FG'!$A:$F,3,0),0)</f>
        <v>0</v>
      </c>
      <c r="J285" s="326">
        <f t="shared" si="64"/>
        <v>0</v>
      </c>
      <c r="K285" s="2"/>
      <c r="L285" s="2"/>
    </row>
    <row r="286" spans="1:12">
      <c r="A286" s="4">
        <v>8564</v>
      </c>
      <c r="B286" t="s">
        <v>1675</v>
      </c>
      <c r="C286" s="229">
        <f>IFERROR(GETPIVOTDATA("Sum of qty",PT!$A$17,"product",A286,"FL/AZ","AZ"),0)</f>
        <v>0</v>
      </c>
      <c r="D286" s="125">
        <v>3</v>
      </c>
      <c r="E286" s="18">
        <f t="shared" si="63"/>
        <v>0</v>
      </c>
      <c r="F286" s="2"/>
      <c r="G286" s="1">
        <f>IFERROR(VLOOKUP(ROUND(A286,0),'[2]Alameda Capitalization'!$A:$M,13,0),0)</f>
        <v>0</v>
      </c>
      <c r="H286" s="2">
        <f t="shared" si="55"/>
        <v>0</v>
      </c>
      <c r="I286" s="326">
        <f>C286-IFERROR(VLOOKUP(A286,'[1]AZ DL&amp;OH FG'!$A:$F,3,0),0)</f>
        <v>0</v>
      </c>
      <c r="J286" s="326">
        <f t="shared" si="64"/>
        <v>0</v>
      </c>
      <c r="K286" s="2"/>
      <c r="L286" s="2"/>
    </row>
    <row r="287" spans="1:12">
      <c r="A287" s="4">
        <v>8592</v>
      </c>
      <c r="B287" t="s">
        <v>1676</v>
      </c>
      <c r="C287" s="229">
        <f>IFERROR(GETPIVOTDATA("Sum of qty",PT!$A$17,"product",A287,"FL/AZ","AZ"),0)</f>
        <v>0</v>
      </c>
      <c r="D287" s="125">
        <v>3</v>
      </c>
      <c r="E287" s="18">
        <f t="shared" si="63"/>
        <v>0</v>
      </c>
      <c r="F287" s="2"/>
      <c r="G287" s="1">
        <f>IFERROR(VLOOKUP(ROUND(A287,0),'[2]Alameda Capitalization'!$A:$M,13,0),0)</f>
        <v>5.2175250861124796E-2</v>
      </c>
      <c r="H287" s="2">
        <f t="shared" ref="H287:H354" si="67">G287*C287</f>
        <v>0</v>
      </c>
      <c r="I287" s="326">
        <f>C287-IFERROR(VLOOKUP(A287,'[1]AZ DL&amp;OH FG'!$A:$F,3,0),0)</f>
        <v>0</v>
      </c>
      <c r="J287" s="326">
        <f t="shared" si="64"/>
        <v>0</v>
      </c>
      <c r="K287" s="2"/>
      <c r="L287" s="2"/>
    </row>
    <row r="288" spans="1:12">
      <c r="A288" s="4">
        <v>8800</v>
      </c>
      <c r="B288" t="s">
        <v>1677</v>
      </c>
      <c r="C288" s="229">
        <f>IFERROR(GETPIVOTDATA("Sum of qty",PT!$A$17,"product",A288,"FL/AZ","AZ"),0)</f>
        <v>0</v>
      </c>
      <c r="D288" s="125"/>
      <c r="E288" s="18">
        <f t="shared" si="63"/>
        <v>0</v>
      </c>
      <c r="F288" s="2"/>
      <c r="G288" s="1">
        <f>IFERROR(VLOOKUP(ROUND(A288,0),'[2]Alameda Capitalization'!$A:$M,13,0),0)</f>
        <v>0</v>
      </c>
      <c r="H288" s="2">
        <f t="shared" si="67"/>
        <v>0</v>
      </c>
      <c r="I288" s="326">
        <f>C288-IFERROR(VLOOKUP(A288,'[1]AZ DL&amp;OH FG'!$A:$F,3,0),0)</f>
        <v>0</v>
      </c>
      <c r="J288" s="326">
        <f t="shared" si="64"/>
        <v>0</v>
      </c>
      <c r="K288" s="2"/>
      <c r="L288" s="2"/>
    </row>
    <row r="289" spans="1:12">
      <c r="A289" s="4">
        <v>8900</v>
      </c>
      <c r="B289" t="s">
        <v>1678</v>
      </c>
      <c r="C289" s="229">
        <f>IFERROR(GETPIVOTDATA("Sum of qty",PT!$A$17,"product",A289,"FL/AZ","AZ"),0)</f>
        <v>0</v>
      </c>
      <c r="D289" s="125"/>
      <c r="E289" s="18">
        <f t="shared" si="63"/>
        <v>0</v>
      </c>
      <c r="F289" s="2"/>
      <c r="G289" s="1">
        <f>IFERROR(VLOOKUP(ROUND(A289,0),'[2]Alameda Capitalization'!$A:$M,13,0),0)</f>
        <v>0</v>
      </c>
      <c r="H289" s="2">
        <f t="shared" si="67"/>
        <v>0</v>
      </c>
      <c r="I289" s="326">
        <f>C289-IFERROR(VLOOKUP(A289,'[1]AZ DL&amp;OH FG'!$A:$F,3,0),0)</f>
        <v>0</v>
      </c>
      <c r="J289" s="326">
        <f t="shared" si="64"/>
        <v>0</v>
      </c>
      <c r="K289" s="2"/>
      <c r="L289" s="2"/>
    </row>
    <row r="290" spans="1:12">
      <c r="A290" s="4">
        <v>8930</v>
      </c>
      <c r="B290" t="s">
        <v>1679</v>
      </c>
      <c r="C290" s="229">
        <f>IFERROR(GETPIVOTDATA("Sum of qty",PT!$A$17,"product",A290,"FL/AZ","AZ"),0)</f>
        <v>0</v>
      </c>
      <c r="D290" s="125">
        <v>48</v>
      </c>
      <c r="E290" s="18">
        <f t="shared" si="63"/>
        <v>0</v>
      </c>
      <c r="F290" s="2"/>
      <c r="G290" s="1">
        <f>IFERROR(VLOOKUP(ROUND(A290,0),'[2]Alameda Capitalization'!$A:$M,13,0),0)</f>
        <v>0</v>
      </c>
      <c r="H290" s="2">
        <f t="shared" si="67"/>
        <v>0</v>
      </c>
      <c r="I290" s="326">
        <f>C290-IFERROR(VLOOKUP(A290,'[1]AZ DL&amp;OH FG'!$A:$F,3,0),0)</f>
        <v>0</v>
      </c>
      <c r="J290" s="326">
        <f t="shared" si="64"/>
        <v>0</v>
      </c>
      <c r="K290" s="2"/>
      <c r="L290" s="2"/>
    </row>
    <row r="291" spans="1:12">
      <c r="A291" s="163">
        <v>8951</v>
      </c>
      <c r="B291" t="s">
        <v>1680</v>
      </c>
      <c r="C291" s="229">
        <f>IFERROR(GETPIVOTDATA("Sum of qty",PT!$A$17,"product",A291,"FL/AZ","AZ"),0)</f>
        <v>0</v>
      </c>
      <c r="D291" s="125">
        <v>48</v>
      </c>
      <c r="E291" s="18">
        <f t="shared" ref="E291" si="68">C291*D291</f>
        <v>0</v>
      </c>
      <c r="F291" s="2">
        <f>E291</f>
        <v>0</v>
      </c>
      <c r="G291" s="1">
        <f>IFERROR(VLOOKUP(ROUND(A291,0),'[2]Alameda Capitalization'!$A:$M,13,0),0)</f>
        <v>6.5219063576406002</v>
      </c>
      <c r="H291" s="2">
        <f t="shared" si="67"/>
        <v>0</v>
      </c>
      <c r="I291" s="326">
        <f>C291-IFERROR(VLOOKUP(A291,'[1]AZ DL&amp;OH FG'!$A:$F,3,0),0)</f>
        <v>0</v>
      </c>
      <c r="J291" s="326">
        <f t="shared" si="64"/>
        <v>0</v>
      </c>
      <c r="K291" s="2"/>
      <c r="L291" s="2"/>
    </row>
    <row r="292" spans="1:12">
      <c r="A292" s="4">
        <v>8952</v>
      </c>
      <c r="B292" t="s">
        <v>1681</v>
      </c>
      <c r="C292" s="229">
        <f>IFERROR(GETPIVOTDATA("Sum of qty",PT!$A$17,"product",A292,"FL/AZ","AZ"),0)</f>
        <v>0</v>
      </c>
      <c r="D292" s="125">
        <v>48</v>
      </c>
      <c r="E292" s="18">
        <f t="shared" si="63"/>
        <v>0</v>
      </c>
      <c r="F292" s="2"/>
      <c r="G292" s="1">
        <f>IFERROR(VLOOKUP(ROUND(A292,0),'[2]Alameda Capitalization'!$A:$M,13,0),0)</f>
        <v>0.97828595364608995</v>
      </c>
      <c r="H292" s="2">
        <f t="shared" si="67"/>
        <v>0</v>
      </c>
      <c r="I292" s="326">
        <f>C292-IFERROR(VLOOKUP(A292,'[1]AZ DL&amp;OH FG'!$A:$F,3,0),0)</f>
        <v>0</v>
      </c>
      <c r="J292" s="326">
        <f t="shared" si="64"/>
        <v>0</v>
      </c>
      <c r="K292" s="2"/>
      <c r="L292" s="2"/>
    </row>
    <row r="293" spans="1:12">
      <c r="A293" s="4">
        <v>9001</v>
      </c>
      <c r="B293" t="s">
        <v>1682</v>
      </c>
      <c r="C293" s="229">
        <f>IFERROR(GETPIVOTDATA("Sum of qty",PT!$A$17,"product",A293,"FL/AZ","AZ"),0)</f>
        <v>0</v>
      </c>
      <c r="D293" s="125">
        <v>4</v>
      </c>
      <c r="E293" s="18">
        <f t="shared" si="63"/>
        <v>0</v>
      </c>
      <c r="F293" s="2"/>
      <c r="G293" s="1">
        <f>IFERROR(VLOOKUP(ROUND(A293,0),'[2]Alameda Capitalization'!$A:$M,13,0),0)</f>
        <v>0</v>
      </c>
      <c r="H293" s="2">
        <f t="shared" si="67"/>
        <v>0</v>
      </c>
      <c r="I293" s="326">
        <f>C293-IFERROR(VLOOKUP(A293,'[1]AZ DL&amp;OH FG'!$A:$F,3,0),0)</f>
        <v>0</v>
      </c>
      <c r="J293" s="326">
        <f t="shared" si="64"/>
        <v>0</v>
      </c>
      <c r="K293" s="2"/>
      <c r="L293" s="2"/>
    </row>
    <row r="294" spans="1:12">
      <c r="A294" s="4">
        <v>9002</v>
      </c>
      <c r="B294" t="s">
        <v>586</v>
      </c>
      <c r="C294" s="229">
        <f>IFERROR(GETPIVOTDATA("Sum of qty",PT!$A$17,"product",A294,"FL/AZ","AZ"),0)</f>
        <v>869</v>
      </c>
      <c r="D294" s="125">
        <v>4</v>
      </c>
      <c r="E294" s="18">
        <f t="shared" si="63"/>
        <v>3476</v>
      </c>
      <c r="F294" s="2"/>
      <c r="G294" s="1">
        <f>IFERROR(VLOOKUP(ROUND(A294,0),'[2]Alameda Capitalization'!$A:$M,13,0),0)</f>
        <v>6.5219063576406E-2</v>
      </c>
      <c r="H294" s="2">
        <f t="shared" si="67"/>
        <v>56.675366247896811</v>
      </c>
      <c r="I294" s="326">
        <f>C294-IFERROR(VLOOKUP(A294,'[1]AZ DL&amp;OH FG'!$A:$F,3,0),0)</f>
        <v>473</v>
      </c>
      <c r="J294" s="326">
        <f t="shared" si="64"/>
        <v>1892</v>
      </c>
      <c r="K294" s="2"/>
      <c r="L294" s="2"/>
    </row>
    <row r="295" spans="1:12">
      <c r="A295" s="4">
        <v>9006</v>
      </c>
      <c r="B295" t="s">
        <v>587</v>
      </c>
      <c r="C295" s="229">
        <f>IFERROR(GETPIVOTDATA("Sum of qty",PT!$A$17,"product",A295,"FL/AZ","AZ"),0)</f>
        <v>922</v>
      </c>
      <c r="D295" s="125">
        <v>4</v>
      </c>
      <c r="E295" s="18">
        <f t="shared" si="63"/>
        <v>3688</v>
      </c>
      <c r="F295" s="2"/>
      <c r="G295" s="1">
        <f>IFERROR(VLOOKUP(ROUND(A295,0),'[2]Alameda Capitalization'!$A:$M,13,0),0)</f>
        <v>6.5219063576406E-2</v>
      </c>
      <c r="H295" s="2">
        <f t="shared" si="67"/>
        <v>60.131976617446334</v>
      </c>
      <c r="I295" s="326">
        <f>C295-IFERROR(VLOOKUP(A295,'[1]AZ DL&amp;OH FG'!$A:$F,3,0),0)</f>
        <v>181</v>
      </c>
      <c r="J295" s="326">
        <f t="shared" si="64"/>
        <v>724</v>
      </c>
      <c r="K295" s="2"/>
      <c r="L295" s="2"/>
    </row>
    <row r="296" spans="1:12">
      <c r="A296" s="159" t="s">
        <v>1683</v>
      </c>
      <c r="C296" s="229">
        <f>IFERROR(GETPIVOTDATA("Sum of qty",PT!$A$17,"product",A296,"FL/AZ","AZ"),0)</f>
        <v>0</v>
      </c>
      <c r="D296" s="125">
        <v>4</v>
      </c>
      <c r="E296" s="18">
        <f>C296*D296</f>
        <v>0</v>
      </c>
      <c r="F296" s="2"/>
      <c r="G296" s="1">
        <f>IFERROR(VLOOKUP(ROUND(A296,0),'[2]Alameda Capitalization'!$A:$M,13,0),0)</f>
        <v>0</v>
      </c>
      <c r="H296" s="2">
        <f t="shared" si="67"/>
        <v>0</v>
      </c>
      <c r="I296" s="326">
        <f>C296-IFERROR(VLOOKUP(A296,'[1]AZ DL&amp;OH FG'!$A:$F,3,0),0)</f>
        <v>0</v>
      </c>
      <c r="J296" s="326">
        <f t="shared" si="64"/>
        <v>0</v>
      </c>
      <c r="K296" s="2"/>
      <c r="L296" s="2"/>
    </row>
    <row r="297" spans="1:12">
      <c r="A297" s="4">
        <v>9014</v>
      </c>
      <c r="B297" t="s">
        <v>1684</v>
      </c>
      <c r="C297" s="229">
        <f>IFERROR(GETPIVOTDATA("Sum of qty",PT!$A$17,"product",A297,"FL/AZ","AZ"),0)</f>
        <v>0</v>
      </c>
      <c r="D297" s="125">
        <v>2.3437999999999999</v>
      </c>
      <c r="E297" s="18">
        <f t="shared" si="63"/>
        <v>0</v>
      </c>
      <c r="F297" s="2"/>
      <c r="G297" s="1">
        <f>IFERROR(VLOOKUP(ROUND(A297,0),'[2]Alameda Capitalization'!$A:$M,13,0),0)</f>
        <v>0</v>
      </c>
      <c r="H297" s="2">
        <f t="shared" si="67"/>
        <v>0</v>
      </c>
      <c r="I297" s="326">
        <f>C297-IFERROR(VLOOKUP(A297,'[1]AZ DL&amp;OH FG'!$A:$F,3,0),0)</f>
        <v>0</v>
      </c>
      <c r="J297" s="326">
        <f t="shared" si="64"/>
        <v>0</v>
      </c>
      <c r="K297" s="2"/>
      <c r="L297" s="2"/>
    </row>
    <row r="298" spans="1:12">
      <c r="A298" s="4">
        <v>9015</v>
      </c>
      <c r="B298" t="s">
        <v>1685</v>
      </c>
      <c r="C298" s="229">
        <f>IFERROR(GETPIVOTDATA("Sum of qty",PT!$A$17,"product",A298,"FL/AZ","AZ"),0)</f>
        <v>0</v>
      </c>
      <c r="D298" s="125">
        <v>3</v>
      </c>
      <c r="E298" s="18">
        <f t="shared" si="63"/>
        <v>0</v>
      </c>
      <c r="F298" s="2"/>
      <c r="G298" s="1">
        <f>IFERROR(VLOOKUP(ROUND(A298,0),'[2]Alameda Capitalization'!$A:$M,13,0),0)</f>
        <v>0</v>
      </c>
      <c r="H298" s="2">
        <f t="shared" si="67"/>
        <v>0</v>
      </c>
      <c r="I298" s="326">
        <f>C298-IFERROR(VLOOKUP(A298,'[1]AZ DL&amp;OH FG'!$A:$F,3,0),0)</f>
        <v>0</v>
      </c>
      <c r="J298" s="326">
        <f t="shared" si="64"/>
        <v>0</v>
      </c>
      <c r="K298" s="2"/>
      <c r="L298" s="2"/>
    </row>
    <row r="299" spans="1:12">
      <c r="A299" s="244">
        <v>9016</v>
      </c>
      <c r="B299" t="s">
        <v>1686</v>
      </c>
      <c r="C299" s="229">
        <f>IFERROR(GETPIVOTDATA("Sum of qty",PT!$A$17,"product",A299,"FL/AZ","AZ"),0)</f>
        <v>0</v>
      </c>
      <c r="D299" s="125">
        <v>1.5</v>
      </c>
      <c r="E299" s="18">
        <f t="shared" ref="E299" si="69">C299*D299</f>
        <v>0</v>
      </c>
      <c r="F299" s="2"/>
      <c r="G299" s="1">
        <f>IFERROR(VLOOKUP(ROUND(A299,0),'[2]Alameda Capitalization'!$A:$M,13,0),0)</f>
        <v>0</v>
      </c>
      <c r="H299" s="2">
        <f t="shared" si="67"/>
        <v>0</v>
      </c>
      <c r="I299" s="326">
        <f>C299-IFERROR(VLOOKUP(A299,'[1]AZ DL&amp;OH FG'!$A:$F,3,0),0)</f>
        <v>0</v>
      </c>
      <c r="J299" s="326">
        <f t="shared" si="64"/>
        <v>0</v>
      </c>
      <c r="K299" s="2"/>
      <c r="L299" s="2"/>
    </row>
    <row r="300" spans="1:12">
      <c r="A300" s="4">
        <v>9017</v>
      </c>
      <c r="B300" t="s">
        <v>1687</v>
      </c>
      <c r="C300" s="229">
        <f>IFERROR(GETPIVOTDATA("Sum of qty",PT!$A$17,"product",A300,"FL/AZ","AZ"),0)</f>
        <v>0</v>
      </c>
      <c r="D300" s="125">
        <v>4.5</v>
      </c>
      <c r="E300" s="18">
        <f t="shared" si="63"/>
        <v>0</v>
      </c>
      <c r="F300" s="2"/>
      <c r="G300" s="1">
        <f>IFERROR(VLOOKUP(ROUND(A300,0),'[2]Alameda Capitalization'!$A:$M,13,0),0)</f>
        <v>0</v>
      </c>
      <c r="H300" s="2">
        <f t="shared" si="67"/>
        <v>0</v>
      </c>
      <c r="I300" s="326">
        <f>C300-IFERROR(VLOOKUP(A300,'[1]AZ DL&amp;OH FG'!$A:$F,3,0),0)</f>
        <v>0</v>
      </c>
      <c r="J300" s="326">
        <f t="shared" si="64"/>
        <v>0</v>
      </c>
      <c r="K300" s="2"/>
      <c r="L300" s="2"/>
    </row>
    <row r="301" spans="1:12">
      <c r="A301" s="4">
        <v>9019</v>
      </c>
      <c r="B301" t="s">
        <v>1688</v>
      </c>
      <c r="C301" s="229">
        <f>IFERROR(GETPIVOTDATA("Sum of qty",PT!$A$17,"product",A301,"FL/AZ","AZ"),0)</f>
        <v>0</v>
      </c>
      <c r="D301" s="125">
        <v>3</v>
      </c>
      <c r="E301" s="18">
        <f t="shared" si="63"/>
        <v>0</v>
      </c>
      <c r="F301" s="2"/>
      <c r="G301" s="1">
        <f>IFERROR(VLOOKUP(ROUND(A301,0),'[2]Alameda Capitalization'!$A:$M,13,0),0)</f>
        <v>0</v>
      </c>
      <c r="H301" s="2">
        <f t="shared" si="67"/>
        <v>0</v>
      </c>
      <c r="I301" s="326">
        <f>C301-IFERROR(VLOOKUP(A301,'[1]AZ DL&amp;OH FG'!$A:$F,3,0),0)</f>
        <v>0</v>
      </c>
      <c r="J301" s="326">
        <f t="shared" si="64"/>
        <v>0</v>
      </c>
      <c r="K301" s="2"/>
      <c r="L301" s="2"/>
    </row>
    <row r="302" spans="1:12">
      <c r="A302" s="4">
        <v>9027</v>
      </c>
      <c r="B302" t="s">
        <v>1689</v>
      </c>
      <c r="C302" s="229">
        <f>IFERROR(GETPIVOTDATA("Sum of qty",PT!$A$17,"product",A302,"FL/AZ","AZ"),0)</f>
        <v>0</v>
      </c>
      <c r="D302" s="125">
        <v>4</v>
      </c>
      <c r="E302" s="18">
        <f t="shared" si="63"/>
        <v>0</v>
      </c>
      <c r="F302" s="2"/>
      <c r="G302" s="1">
        <f>IFERROR(VLOOKUP(ROUND(A302,0),'[2]Alameda Capitalization'!$A:$M,13,0),0)</f>
        <v>0</v>
      </c>
      <c r="H302" s="2">
        <f t="shared" si="67"/>
        <v>0</v>
      </c>
      <c r="I302" s="326">
        <f>C302-IFERROR(VLOOKUP(A302,'[1]AZ DL&amp;OH FG'!$A:$F,3,0),0)</f>
        <v>0</v>
      </c>
      <c r="J302" s="326">
        <f t="shared" si="64"/>
        <v>0</v>
      </c>
      <c r="K302" s="2"/>
      <c r="L302" s="2"/>
    </row>
    <row r="303" spans="1:12">
      <c r="A303" s="4">
        <v>9031</v>
      </c>
      <c r="B303" t="s">
        <v>1690</v>
      </c>
      <c r="C303" s="229">
        <f>IFERROR(GETPIVOTDATA("Sum of qty",PT!$A$17,"product",A303,"FL/AZ","AZ"),0)</f>
        <v>0</v>
      </c>
      <c r="D303" s="125">
        <v>2.3437999999999999</v>
      </c>
      <c r="E303" s="18">
        <f t="shared" si="63"/>
        <v>0</v>
      </c>
      <c r="F303" s="2"/>
      <c r="G303" s="1">
        <f>IFERROR(VLOOKUP(ROUND(A303,0),'[2]Alameda Capitalization'!$A:$M,13,0),0)</f>
        <v>0</v>
      </c>
      <c r="H303" s="2">
        <f t="shared" si="67"/>
        <v>0</v>
      </c>
      <c r="I303" s="326">
        <f>C303-IFERROR(VLOOKUP(A303,'[1]AZ DL&amp;OH FG'!$A:$F,3,0),0)</f>
        <v>0</v>
      </c>
      <c r="J303" s="326">
        <f t="shared" si="64"/>
        <v>0</v>
      </c>
      <c r="K303" s="2"/>
      <c r="L303" s="2"/>
    </row>
    <row r="304" spans="1:12">
      <c r="A304" s="4">
        <v>9035</v>
      </c>
      <c r="B304" t="s">
        <v>1691</v>
      </c>
      <c r="C304" s="229">
        <f>IFERROR(GETPIVOTDATA("Sum of qty",PT!$A$17,"product",A304,"FL/AZ","AZ"),0)</f>
        <v>0</v>
      </c>
      <c r="D304" s="125">
        <v>3.125</v>
      </c>
      <c r="E304" s="18">
        <f t="shared" si="63"/>
        <v>0</v>
      </c>
      <c r="F304" s="2"/>
      <c r="G304" s="1">
        <f>IFERROR(VLOOKUP(ROUND(A304,0),'[2]Alameda Capitalization'!$A:$M,13,0),0)</f>
        <v>0</v>
      </c>
      <c r="H304" s="2">
        <f t="shared" si="67"/>
        <v>0</v>
      </c>
      <c r="I304" s="326">
        <f>C304-IFERROR(VLOOKUP(A304,'[1]AZ DL&amp;OH FG'!$A:$F,3,0),0)</f>
        <v>0</v>
      </c>
      <c r="J304" s="326">
        <f t="shared" si="64"/>
        <v>0</v>
      </c>
      <c r="K304" s="2"/>
      <c r="L304" s="2"/>
    </row>
    <row r="305" spans="1:12">
      <c r="A305" s="4">
        <v>9037</v>
      </c>
      <c r="B305" t="s">
        <v>1692</v>
      </c>
      <c r="C305" s="229">
        <f>IFERROR(GETPIVOTDATA("Sum of qty",PT!$A$17,"product",A305,"FL/AZ","AZ"),0)</f>
        <v>0</v>
      </c>
      <c r="D305" s="125">
        <v>3</v>
      </c>
      <c r="E305" s="18">
        <f t="shared" si="63"/>
        <v>0</v>
      </c>
      <c r="F305" s="2"/>
      <c r="G305" s="1">
        <f>IFERROR(VLOOKUP(ROUND(A305,0),'[2]Alameda Capitalization'!$A:$M,13,0),0)</f>
        <v>0</v>
      </c>
      <c r="H305" s="2">
        <f t="shared" si="67"/>
        <v>0</v>
      </c>
      <c r="I305" s="326">
        <f>C305-IFERROR(VLOOKUP(A305,'[1]AZ DL&amp;OH FG'!$A:$F,3,0),0)</f>
        <v>0</v>
      </c>
      <c r="J305" s="326">
        <f t="shared" si="64"/>
        <v>0</v>
      </c>
      <c r="K305" s="2"/>
      <c r="L305" s="2"/>
    </row>
    <row r="306" spans="1:12">
      <c r="A306" s="4">
        <v>9038</v>
      </c>
      <c r="B306" t="s">
        <v>1693</v>
      </c>
      <c r="C306" s="229">
        <f>IFERROR(GETPIVOTDATA("Sum of qty",PT!$A$17,"product",A306,"FL/AZ","AZ"),0)</f>
        <v>0</v>
      </c>
      <c r="D306" s="125">
        <v>3</v>
      </c>
      <c r="E306" s="18">
        <f t="shared" ref="E306" si="70">C306*D306</f>
        <v>0</v>
      </c>
      <c r="F306" s="2"/>
      <c r="G306" s="1">
        <f>IFERROR(VLOOKUP(ROUND(A306,0),'[2]Alameda Capitalization'!$A:$M,13,0),0)</f>
        <v>0</v>
      </c>
      <c r="H306" s="2">
        <f t="shared" si="67"/>
        <v>0</v>
      </c>
      <c r="I306" s="326">
        <f>C306-IFERROR(VLOOKUP(A306,'[1]AZ DL&amp;OH FG'!$A:$F,3,0),0)</f>
        <v>0</v>
      </c>
      <c r="J306" s="326">
        <f t="shared" si="64"/>
        <v>0</v>
      </c>
      <c r="K306" s="2"/>
      <c r="L306" s="2"/>
    </row>
    <row r="307" spans="1:12">
      <c r="A307" s="4">
        <v>9040</v>
      </c>
      <c r="B307" t="s">
        <v>1694</v>
      </c>
      <c r="C307" s="229">
        <f>IFERROR(GETPIVOTDATA("Sum of qty",PT!$A$17,"product",A307,"FL/AZ","AZ"),0)</f>
        <v>0</v>
      </c>
      <c r="D307" s="125">
        <v>3.125</v>
      </c>
      <c r="E307" s="18">
        <f t="shared" si="63"/>
        <v>0</v>
      </c>
      <c r="F307" s="2"/>
      <c r="G307" s="1">
        <f>IFERROR(VLOOKUP(ROUND(A307,0),'[2]Alameda Capitalization'!$A:$M,13,0),0)</f>
        <v>0</v>
      </c>
      <c r="H307" s="2">
        <f t="shared" si="67"/>
        <v>0</v>
      </c>
      <c r="I307" s="326">
        <f>C307-IFERROR(VLOOKUP(A307,'[1]AZ DL&amp;OH FG'!$A:$F,3,0),0)</f>
        <v>0</v>
      </c>
      <c r="J307" s="326">
        <f t="shared" si="64"/>
        <v>0</v>
      </c>
      <c r="K307" s="2"/>
      <c r="L307" s="2"/>
    </row>
    <row r="308" spans="1:12">
      <c r="A308" s="4">
        <v>9064</v>
      </c>
      <c r="B308" t="s">
        <v>1695</v>
      </c>
      <c r="C308" s="229">
        <f>IFERROR(GETPIVOTDATA("Sum of qty",PT!$A$17,"product",A308,"FL/AZ","AZ"),0)</f>
        <v>0</v>
      </c>
      <c r="D308" s="125">
        <v>3</v>
      </c>
      <c r="E308" s="18">
        <f t="shared" si="63"/>
        <v>0</v>
      </c>
      <c r="F308" s="2"/>
      <c r="G308" s="1">
        <f>IFERROR(VLOOKUP(ROUND(A308,0),'[2]Alameda Capitalization'!$A:$M,13,0),0)</f>
        <v>0</v>
      </c>
      <c r="H308" s="2">
        <f t="shared" si="67"/>
        <v>0</v>
      </c>
      <c r="I308" s="326">
        <f>C308-IFERROR(VLOOKUP(A308,'[1]AZ DL&amp;OH FG'!$A:$F,3,0),0)</f>
        <v>0</v>
      </c>
      <c r="J308" s="326">
        <f t="shared" si="64"/>
        <v>0</v>
      </c>
      <c r="K308" s="2"/>
      <c r="L308" s="2"/>
    </row>
    <row r="309" spans="1:12">
      <c r="A309" s="4">
        <v>9091</v>
      </c>
      <c r="B309" t="s">
        <v>699</v>
      </c>
      <c r="C309" s="229">
        <f>IFERROR(GETPIVOTDATA("Sum of qty",PT!$A$17,"product",A309,"FL/AZ","AZ"),0)</f>
        <v>1243</v>
      </c>
      <c r="D309" s="125">
        <v>4</v>
      </c>
      <c r="E309" s="18">
        <f t="shared" si="63"/>
        <v>4972</v>
      </c>
      <c r="F309" s="2"/>
      <c r="G309" s="1">
        <f>IFERROR(VLOOKUP(ROUND(A309,0),'[2]Alameda Capitalization'!$A:$M,13,0),0)</f>
        <v>6.5219063576406E-2</v>
      </c>
      <c r="H309" s="2">
        <f t="shared" si="67"/>
        <v>81.067296025472658</v>
      </c>
      <c r="I309" s="326">
        <f>C309-IFERROR(VLOOKUP(A309,'[1]AZ DL&amp;OH FG'!$A:$F,3,0),0)</f>
        <v>-8</v>
      </c>
      <c r="J309" s="326">
        <f t="shared" si="64"/>
        <v>-32</v>
      </c>
      <c r="K309" s="2"/>
      <c r="L309" s="2"/>
    </row>
    <row r="310" spans="1:12">
      <c r="A310" s="4">
        <v>9102</v>
      </c>
      <c r="B310" t="s">
        <v>705</v>
      </c>
      <c r="C310" s="229">
        <f>IFERROR(GETPIVOTDATA("Sum of qty",PT!$A$17,"product",A310,"FL/AZ","AZ"),0)</f>
        <v>67</v>
      </c>
      <c r="D310" s="125">
        <v>4</v>
      </c>
      <c r="E310" s="18">
        <f t="shared" si="63"/>
        <v>268</v>
      </c>
      <c r="F310" s="2"/>
      <c r="G310" s="1">
        <f>IFERROR(VLOOKUP(ROUND(A310,0),'[2]Alameda Capitalization'!$A:$M,13,0),0)</f>
        <v>8.6958751435207995E-2</v>
      </c>
      <c r="H310" s="2">
        <f t="shared" si="67"/>
        <v>5.8262363461589359</v>
      </c>
      <c r="I310" s="326">
        <f>C310-IFERROR(VLOOKUP(A310,'[1]AZ DL&amp;OH FG'!$A:$F,3,0),0)</f>
        <v>-629</v>
      </c>
      <c r="J310" s="326">
        <f t="shared" si="64"/>
        <v>-2516</v>
      </c>
      <c r="K310" s="2"/>
      <c r="L310" s="2"/>
    </row>
    <row r="311" spans="1:12">
      <c r="A311" s="4">
        <v>9105</v>
      </c>
      <c r="B311" t="s">
        <v>1696</v>
      </c>
      <c r="C311" s="229">
        <f>IFERROR(GETPIVOTDATA("Sum of qty",PT!$A$17,"product",A311,"FL/AZ","AZ"),0)</f>
        <v>0</v>
      </c>
      <c r="D311" s="125">
        <v>3</v>
      </c>
      <c r="E311" s="18">
        <f t="shared" si="63"/>
        <v>0</v>
      </c>
      <c r="F311" s="2">
        <f>E311</f>
        <v>0</v>
      </c>
      <c r="G311" s="1">
        <f>IFERROR(VLOOKUP(ROUND(A311,0),'[2]Alameda Capitalization'!$A:$M,13,0),0)</f>
        <v>0</v>
      </c>
      <c r="H311" s="2">
        <f t="shared" si="67"/>
        <v>0</v>
      </c>
      <c r="I311" s="326">
        <f>C311-IFERROR(VLOOKUP(A311,'[1]AZ DL&amp;OH FG'!$A:$F,3,0),0)</f>
        <v>0</v>
      </c>
      <c r="J311" s="326">
        <f t="shared" si="64"/>
        <v>0</v>
      </c>
      <c r="K311" s="2"/>
      <c r="L311" s="2"/>
    </row>
    <row r="312" spans="1:12">
      <c r="A312" s="163">
        <v>9112</v>
      </c>
      <c r="B312" t="s">
        <v>1697</v>
      </c>
      <c r="C312" s="229">
        <f>IFERROR(GETPIVOTDATA("Sum of qty",PT!$A$17,"product",A312,"FL/AZ","AZ"),0)</f>
        <v>0</v>
      </c>
      <c r="D312" s="125">
        <v>3</v>
      </c>
      <c r="E312" s="18">
        <f t="shared" ref="E312" si="71">C312*D312</f>
        <v>0</v>
      </c>
      <c r="F312" s="2"/>
      <c r="G312" s="1">
        <f>IFERROR(VLOOKUP(ROUND(A312,0),'[2]Alameda Capitalization'!$A:$M,13,0),0)</f>
        <v>0</v>
      </c>
      <c r="H312" s="2">
        <f t="shared" si="67"/>
        <v>0</v>
      </c>
      <c r="I312" s="326">
        <f>C312-IFERROR(VLOOKUP(A312,'[1]AZ DL&amp;OH FG'!$A:$F,3,0),0)</f>
        <v>0</v>
      </c>
      <c r="J312" s="326">
        <f t="shared" si="64"/>
        <v>0</v>
      </c>
      <c r="K312" s="2"/>
      <c r="L312" s="2"/>
    </row>
    <row r="313" spans="1:12">
      <c r="A313" s="4">
        <v>9115</v>
      </c>
      <c r="B313" t="s">
        <v>1698</v>
      </c>
      <c r="C313" s="229">
        <f>IFERROR(GETPIVOTDATA("Sum of qty",PT!$A$17,"product",A313,"FL/AZ","AZ"),0)</f>
        <v>0</v>
      </c>
      <c r="D313" s="125">
        <v>3</v>
      </c>
      <c r="E313" s="18">
        <f t="shared" si="63"/>
        <v>0</v>
      </c>
      <c r="F313" s="2">
        <f>E313</f>
        <v>0</v>
      </c>
      <c r="G313" s="1">
        <f>IFERROR(VLOOKUP(ROUND(A313,0),'[2]Alameda Capitalization'!$A:$M,13,0),0)</f>
        <v>0</v>
      </c>
      <c r="H313" s="2">
        <f t="shared" si="67"/>
        <v>0</v>
      </c>
      <c r="I313" s="326">
        <f>C313-IFERROR(VLOOKUP(A313,'[1]AZ DL&amp;OH FG'!$A:$F,3,0),0)</f>
        <v>0</v>
      </c>
      <c r="J313" s="326">
        <f t="shared" si="64"/>
        <v>0</v>
      </c>
      <c r="K313" s="2"/>
      <c r="L313" s="2"/>
    </row>
    <row r="314" spans="1:12">
      <c r="A314" s="4">
        <v>9121</v>
      </c>
      <c r="B314" t="s">
        <v>1699</v>
      </c>
      <c r="C314" s="229">
        <f>IFERROR(GETPIVOTDATA("Sum of qty",PT!$A$17,"product",A314,"FL/AZ","AZ"),0)</f>
        <v>0</v>
      </c>
      <c r="D314" s="125">
        <v>4</v>
      </c>
      <c r="E314" s="18">
        <f t="shared" si="63"/>
        <v>0</v>
      </c>
      <c r="F314" s="2"/>
      <c r="G314" s="1">
        <f>IFERROR(VLOOKUP(ROUND(A314,0),'[2]Alameda Capitalization'!$A:$M,13,0),0)</f>
        <v>0</v>
      </c>
      <c r="H314" s="2">
        <f t="shared" si="67"/>
        <v>0</v>
      </c>
      <c r="I314" s="326">
        <f>C314-IFERROR(VLOOKUP(A314,'[1]AZ DL&amp;OH FG'!$A:$F,3,0),0)</f>
        <v>0</v>
      </c>
      <c r="J314" s="326">
        <f t="shared" si="64"/>
        <v>0</v>
      </c>
      <c r="K314" s="2"/>
      <c r="L314" s="2"/>
    </row>
    <row r="315" spans="1:12">
      <c r="A315" s="4">
        <v>9123</v>
      </c>
      <c r="B315" t="s">
        <v>1700</v>
      </c>
      <c r="C315" s="229">
        <f>IFERROR(GETPIVOTDATA("Sum of qty",PT!$A$17,"product",A315,"FL/AZ","AZ"),0)</f>
        <v>1847</v>
      </c>
      <c r="D315" s="125">
        <v>4</v>
      </c>
      <c r="E315" s="18">
        <f t="shared" si="63"/>
        <v>7388</v>
      </c>
      <c r="F315" s="2">
        <f>E315</f>
        <v>7388</v>
      </c>
      <c r="G315" s="1">
        <f>IFERROR(VLOOKUP(ROUND(A315,0),'[2]Alameda Capitalization'!$A:$M,13,0),0)</f>
        <v>0.43479375717604002</v>
      </c>
      <c r="H315" s="2">
        <f>G315*C315</f>
        <v>803.06406950414589</v>
      </c>
      <c r="I315" s="326">
        <f>C315-IFERROR(VLOOKUP(A315,'[1]AZ DL&amp;OH FG'!$A:$F,3,0),0)</f>
        <v>-1158</v>
      </c>
      <c r="J315" s="326">
        <f t="shared" si="64"/>
        <v>-4632</v>
      </c>
      <c r="K315" s="2"/>
      <c r="L315" s="2"/>
    </row>
    <row r="316" spans="1:12">
      <c r="A316" s="4">
        <v>9131</v>
      </c>
      <c r="B316" t="s">
        <v>1118</v>
      </c>
      <c r="C316" s="229">
        <f>IFERROR(GETPIVOTDATA("Sum of qty",PT!$A$17,"product",A316,"FL/AZ","AZ"),0)</f>
        <v>396</v>
      </c>
      <c r="D316" s="125">
        <v>3</v>
      </c>
      <c r="E316" s="18">
        <f t="shared" si="63"/>
        <v>1188</v>
      </c>
      <c r="F316" s="2">
        <f t="shared" ref="F316:F334" si="72">E316</f>
        <v>1188</v>
      </c>
      <c r="G316" s="1">
        <f>IFERROR(VLOOKUP(ROUND(A316,0),'[2]Alameda Capitalization'!$A:$M,13,0),0)</f>
        <v>0.43479375717604002</v>
      </c>
      <c r="H316" s="2">
        <f t="shared" si="67"/>
        <v>172.17832784171185</v>
      </c>
      <c r="I316" s="326">
        <f>C316-IFERROR(VLOOKUP(A316,'[1]AZ DL&amp;OH FG'!$A:$F,3,0),0)</f>
        <v>149</v>
      </c>
      <c r="J316" s="326">
        <f t="shared" si="64"/>
        <v>447</v>
      </c>
      <c r="K316" s="2"/>
      <c r="L316" s="2"/>
    </row>
    <row r="317" spans="1:12">
      <c r="A317" s="244">
        <v>9132</v>
      </c>
      <c r="B317" t="s">
        <v>1701</v>
      </c>
      <c r="C317" s="229">
        <f>IFERROR(GETPIVOTDATA("Sum of qty",PT!$A$17,"product",A317,"FL/AZ","AZ"),0)</f>
        <v>0</v>
      </c>
      <c r="D317" s="125">
        <v>4</v>
      </c>
      <c r="E317" s="18">
        <f t="shared" ref="E317" si="73">C317*D317</f>
        <v>0</v>
      </c>
      <c r="F317" s="2">
        <f t="shared" ref="F317" si="74">E317</f>
        <v>0</v>
      </c>
      <c r="G317" s="1">
        <f>IFERROR(VLOOKUP(ROUND(A317,0),'[2]Alameda Capitalization'!$A:$M,13,0),0)</f>
        <v>0.43479375717604002</v>
      </c>
      <c r="H317" s="2">
        <f t="shared" ref="H317" si="75">G317*C317</f>
        <v>0</v>
      </c>
      <c r="I317" s="326">
        <f>C317-IFERROR(VLOOKUP(A317,'[1]AZ DL&amp;OH FG'!$A:$F,3,0),0)</f>
        <v>0</v>
      </c>
      <c r="J317" s="326">
        <f t="shared" si="64"/>
        <v>0</v>
      </c>
      <c r="K317" s="2"/>
      <c r="L317" s="2"/>
    </row>
    <row r="318" spans="1:12">
      <c r="A318" s="4">
        <v>9133</v>
      </c>
      <c r="B318" t="s">
        <v>1702</v>
      </c>
      <c r="C318" s="229">
        <f>IFERROR(GETPIVOTDATA("Sum of qty",PT!$A$17,"product",A318,"FL/AZ","AZ"),0)</f>
        <v>0</v>
      </c>
      <c r="D318" s="125">
        <v>4</v>
      </c>
      <c r="E318" s="18">
        <f t="shared" si="63"/>
        <v>0</v>
      </c>
      <c r="F318" s="2">
        <f t="shared" si="72"/>
        <v>0</v>
      </c>
      <c r="G318" s="1">
        <f>IFERROR(VLOOKUP(ROUND(A318,0),'[2]Alameda Capitalization'!$A:$M,13,0),0)</f>
        <v>0</v>
      </c>
      <c r="H318" s="2">
        <f t="shared" si="67"/>
        <v>0</v>
      </c>
      <c r="I318" s="326">
        <f>C318-IFERROR(VLOOKUP(A318,'[1]AZ DL&amp;OH FG'!$A:$F,3,0),0)</f>
        <v>0</v>
      </c>
      <c r="J318" s="326">
        <f t="shared" si="64"/>
        <v>0</v>
      </c>
      <c r="K318" s="2"/>
      <c r="L318" s="2"/>
    </row>
    <row r="319" spans="1:12">
      <c r="A319" s="4">
        <v>9134</v>
      </c>
      <c r="B319" t="s">
        <v>1703</v>
      </c>
      <c r="C319" s="229">
        <f>IFERROR(GETPIVOTDATA("Sum of qty",PT!$A$17,"product",A319,"FL/AZ","AZ"),0)</f>
        <v>0</v>
      </c>
      <c r="D319" s="125">
        <v>3</v>
      </c>
      <c r="E319" s="18">
        <f t="shared" si="63"/>
        <v>0</v>
      </c>
      <c r="F319" s="2">
        <f t="shared" si="72"/>
        <v>0</v>
      </c>
      <c r="G319" s="1">
        <f>IFERROR(VLOOKUP(ROUND(A319,0),'[2]Alameda Capitalization'!$A:$M,13,0),0)</f>
        <v>0</v>
      </c>
      <c r="H319" s="2">
        <f t="shared" si="67"/>
        <v>0</v>
      </c>
      <c r="I319" s="326">
        <f>C319-IFERROR(VLOOKUP(A319,'[1]AZ DL&amp;OH FG'!$A:$F,3,0),0)</f>
        <v>0</v>
      </c>
      <c r="J319" s="326">
        <f t="shared" si="64"/>
        <v>0</v>
      </c>
      <c r="K319" s="2"/>
      <c r="L319" s="2"/>
    </row>
    <row r="320" spans="1:12">
      <c r="A320" s="4">
        <v>9143</v>
      </c>
      <c r="B320" t="s">
        <v>1704</v>
      </c>
      <c r="C320" s="229">
        <f>IFERROR(GETPIVOTDATA("Sum of qty",PT!$A$17,"product",A320,"FL/AZ","AZ"),0)</f>
        <v>0</v>
      </c>
      <c r="D320" s="125">
        <v>1.4410000000000001</v>
      </c>
      <c r="E320" s="18">
        <f t="shared" si="63"/>
        <v>0</v>
      </c>
      <c r="F320" s="2">
        <f t="shared" si="72"/>
        <v>0</v>
      </c>
      <c r="G320" s="1">
        <f>IFERROR(VLOOKUP(ROUND(A320,0),'[2]Alameda Capitalization'!$A:$M,13,0),0)</f>
        <v>0</v>
      </c>
      <c r="H320" s="2">
        <f t="shared" si="67"/>
        <v>0</v>
      </c>
      <c r="I320" s="326">
        <f>C320-IFERROR(VLOOKUP(A320,'[1]AZ DL&amp;OH FG'!$A:$F,3,0),0)</f>
        <v>0</v>
      </c>
      <c r="J320" s="326">
        <f t="shared" si="64"/>
        <v>0</v>
      </c>
      <c r="K320" s="2"/>
      <c r="L320" s="2"/>
    </row>
    <row r="321" spans="1:12">
      <c r="A321" s="4">
        <v>9144</v>
      </c>
      <c r="B321" t="s">
        <v>1705</v>
      </c>
      <c r="C321" s="229">
        <f>IFERROR(GETPIVOTDATA("Sum of qty",PT!$A$17,"product",A321,"FL/AZ","AZ"),0)</f>
        <v>0</v>
      </c>
      <c r="D321" s="125">
        <v>1.4410000000000001</v>
      </c>
      <c r="E321" s="18">
        <f t="shared" si="63"/>
        <v>0</v>
      </c>
      <c r="F321" s="2">
        <f t="shared" si="72"/>
        <v>0</v>
      </c>
      <c r="G321" s="1">
        <f>IFERROR(VLOOKUP(ROUND(A321,0),'[2]Alameda Capitalization'!$A:$M,13,0),0)</f>
        <v>0</v>
      </c>
      <c r="H321" s="2">
        <f t="shared" si="67"/>
        <v>0</v>
      </c>
      <c r="I321" s="326">
        <f>C321-IFERROR(VLOOKUP(A321,'[1]AZ DL&amp;OH FG'!$A:$F,3,0),0)</f>
        <v>0</v>
      </c>
      <c r="J321" s="326">
        <f t="shared" si="64"/>
        <v>0</v>
      </c>
      <c r="K321" s="2"/>
      <c r="L321" s="2"/>
    </row>
    <row r="322" spans="1:12">
      <c r="A322" s="4">
        <v>9145</v>
      </c>
      <c r="B322" t="s">
        <v>1706</v>
      </c>
      <c r="C322" s="229">
        <f>IFERROR(GETPIVOTDATA("Sum of qty",PT!$A$17,"product",A322,"FL/AZ","AZ"),0)</f>
        <v>0</v>
      </c>
      <c r="D322" s="125">
        <v>1.4410000000000001</v>
      </c>
      <c r="E322" s="18">
        <f t="shared" si="63"/>
        <v>0</v>
      </c>
      <c r="F322" s="2">
        <f t="shared" si="72"/>
        <v>0</v>
      </c>
      <c r="G322" s="1">
        <f>IFERROR(VLOOKUP(ROUND(A322,0),'[2]Alameda Capitalization'!$A:$M,13,0),0)</f>
        <v>0</v>
      </c>
      <c r="H322" s="2">
        <f t="shared" si="67"/>
        <v>0</v>
      </c>
      <c r="I322" s="326">
        <f>C322-IFERROR(VLOOKUP(A322,'[1]AZ DL&amp;OH FG'!$A:$F,3,0),0)</f>
        <v>0</v>
      </c>
      <c r="J322" s="326">
        <f t="shared" si="64"/>
        <v>0</v>
      </c>
      <c r="K322" s="2"/>
      <c r="L322" s="2"/>
    </row>
    <row r="323" spans="1:12">
      <c r="A323" s="4">
        <v>9146</v>
      </c>
      <c r="B323" t="s">
        <v>1707</v>
      </c>
      <c r="C323" s="229">
        <f>IFERROR(GETPIVOTDATA("Sum of qty",PT!$A$17,"product",A323,"FL/AZ","AZ"),0)</f>
        <v>0</v>
      </c>
      <c r="D323" s="125">
        <v>3</v>
      </c>
      <c r="E323" s="18">
        <f t="shared" si="63"/>
        <v>0</v>
      </c>
      <c r="F323" s="2">
        <f t="shared" si="72"/>
        <v>0</v>
      </c>
      <c r="G323" s="1">
        <f>IFERROR(VLOOKUP(ROUND(A323,0),'[2]Alameda Capitalization'!$A:$M,13,0),0)</f>
        <v>0</v>
      </c>
      <c r="H323" s="2">
        <f t="shared" si="67"/>
        <v>0</v>
      </c>
      <c r="I323" s="326">
        <f>C323-IFERROR(VLOOKUP(A323,'[1]AZ DL&amp;OH FG'!$A:$F,3,0),0)</f>
        <v>0</v>
      </c>
      <c r="J323" s="326">
        <f t="shared" si="64"/>
        <v>0</v>
      </c>
      <c r="K323" s="2"/>
      <c r="L323" s="2"/>
    </row>
    <row r="324" spans="1:12">
      <c r="A324" s="4">
        <v>9161</v>
      </c>
      <c r="B324" t="s">
        <v>1708</v>
      </c>
      <c r="C324" s="229">
        <f>IFERROR(GETPIVOTDATA("Sum of qty",PT!$A$17,"product",A324,"FL/AZ","AZ"),0)</f>
        <v>0</v>
      </c>
      <c r="D324" s="125">
        <v>4.5</v>
      </c>
      <c r="E324" s="18">
        <f>C324*D324</f>
        <v>0</v>
      </c>
      <c r="F324" s="2"/>
      <c r="G324" s="1">
        <f>IFERROR(VLOOKUP(ROUND(A324,0),'[2]Alameda Capitalization'!$A:$M,13,0),0)</f>
        <v>0</v>
      </c>
      <c r="H324" s="2">
        <f t="shared" si="67"/>
        <v>0</v>
      </c>
      <c r="I324" s="326">
        <f>C324-IFERROR(VLOOKUP(A324,'[1]AZ DL&amp;OH FG'!$A:$F,3,0),0)</f>
        <v>0</v>
      </c>
      <c r="J324" s="326">
        <f t="shared" si="64"/>
        <v>0</v>
      </c>
      <c r="K324" s="2"/>
      <c r="L324" s="2"/>
    </row>
    <row r="325" spans="1:12">
      <c r="A325" s="163">
        <v>9163</v>
      </c>
      <c r="B325" s="157" t="s">
        <v>1709</v>
      </c>
      <c r="C325" s="229">
        <f>IFERROR(GETPIVOTDATA("Sum of qty",PT!$A$17,"product",A325,"FL/AZ","AZ"),0)</f>
        <v>0</v>
      </c>
      <c r="D325" s="125">
        <v>3</v>
      </c>
      <c r="E325" s="18">
        <f>C325*D325</f>
        <v>0</v>
      </c>
      <c r="F325" s="2">
        <f>E325</f>
        <v>0</v>
      </c>
      <c r="G325" s="1">
        <f>IFERROR(VLOOKUP(ROUND(A325,0),'[2]Alameda Capitalization'!$A:$M,13,0),0)</f>
        <v>0.34783500574083204</v>
      </c>
      <c r="H325" s="2">
        <f t="shared" ref="H325" si="76">G325*C325</f>
        <v>0</v>
      </c>
      <c r="I325" s="326">
        <f>C325-IFERROR(VLOOKUP(A325,'[1]AZ DL&amp;OH FG'!$A:$F,3,0),0)</f>
        <v>0</v>
      </c>
      <c r="J325" s="326">
        <f t="shared" si="64"/>
        <v>0</v>
      </c>
      <c r="K325" s="2"/>
      <c r="L325" s="2"/>
    </row>
    <row r="326" spans="1:12">
      <c r="A326" s="4">
        <v>9164</v>
      </c>
      <c r="B326" t="s">
        <v>1710</v>
      </c>
      <c r="C326" s="229">
        <f>IFERROR(GETPIVOTDATA("Sum of qty",PT!$A$17,"product",A326,"FL/AZ","AZ"),0)</f>
        <v>0</v>
      </c>
      <c r="D326" s="125">
        <v>3</v>
      </c>
      <c r="E326" s="18">
        <f>C326*D326</f>
        <v>0</v>
      </c>
      <c r="F326" s="2">
        <f>E326</f>
        <v>0</v>
      </c>
      <c r="G326" s="1">
        <f>IFERROR(VLOOKUP(ROUND(A326,0),'[2]Alameda Capitalization'!$A:$M,13,0),0)</f>
        <v>0.34783500574083204</v>
      </c>
      <c r="H326" s="2">
        <f t="shared" si="67"/>
        <v>0</v>
      </c>
      <c r="I326" s="326">
        <f>C326-IFERROR(VLOOKUP(A326,'[1]AZ DL&amp;OH FG'!$A:$F,3,0),0)</f>
        <v>0</v>
      </c>
      <c r="J326" s="326">
        <f t="shared" si="64"/>
        <v>0</v>
      </c>
      <c r="K326" s="2"/>
      <c r="L326" s="2"/>
    </row>
    <row r="327" spans="1:12">
      <c r="A327" s="4">
        <v>9165</v>
      </c>
      <c r="B327" t="s">
        <v>1711</v>
      </c>
      <c r="C327" s="229">
        <f>IFERROR(GETPIVOTDATA("Sum of qty",PT!$A$17,"product",A327,"FL/AZ","AZ"),0)</f>
        <v>0</v>
      </c>
      <c r="D327" s="125">
        <v>3</v>
      </c>
      <c r="E327" s="18">
        <f>C327*D327</f>
        <v>0</v>
      </c>
      <c r="F327" s="2">
        <f>E327</f>
        <v>0</v>
      </c>
      <c r="G327" s="1">
        <f>IFERROR(VLOOKUP(ROUND(A327,0),'[2]Alameda Capitalization'!$A:$M,13,0),0)</f>
        <v>0.34783500574083204</v>
      </c>
      <c r="H327" s="2">
        <f t="shared" si="67"/>
        <v>0</v>
      </c>
      <c r="I327" s="326">
        <f>C327-IFERROR(VLOOKUP(A327,'[1]AZ DL&amp;OH FG'!$A:$F,3,0),0)</f>
        <v>0</v>
      </c>
      <c r="J327" s="326">
        <f t="shared" si="64"/>
        <v>0</v>
      </c>
      <c r="K327" s="2"/>
      <c r="L327" s="2"/>
    </row>
    <row r="328" spans="1:12">
      <c r="A328" s="4">
        <v>9166</v>
      </c>
      <c r="B328" t="s">
        <v>237</v>
      </c>
      <c r="C328" s="229">
        <f>IFERROR(GETPIVOTDATA("Sum of qty",PT!$A$17,"product",A328,"FL/AZ","AZ"),0)</f>
        <v>2956</v>
      </c>
      <c r="D328" s="125">
        <v>3</v>
      </c>
      <c r="E328" s="18">
        <f>C328*D328</f>
        <v>8868</v>
      </c>
      <c r="F328" s="2">
        <f>E328</f>
        <v>8868</v>
      </c>
      <c r="G328" s="1">
        <f>IFERROR(VLOOKUP(ROUND(A328,0),'[2]Alameda Capitalization'!$A:$M,13,0),0)</f>
        <v>0.34783500574083204</v>
      </c>
      <c r="H328" s="2">
        <f t="shared" ref="H328" si="77">G328*C328</f>
        <v>1028.2002769698995</v>
      </c>
      <c r="I328" s="326">
        <f>C328-IFERROR(VLOOKUP(A328,'[1]AZ DL&amp;OH FG'!$A:$F,3,0),0)</f>
        <v>681</v>
      </c>
      <c r="J328" s="326">
        <f t="shared" ref="J328" si="78">I328*D328</f>
        <v>2043</v>
      </c>
      <c r="K328" s="2"/>
      <c r="L328" s="2"/>
    </row>
    <row r="329" spans="1:12">
      <c r="A329" s="4">
        <v>9170</v>
      </c>
      <c r="B329" t="s">
        <v>1712</v>
      </c>
      <c r="C329" s="229">
        <f>IFERROR(GETPIVOTDATA("Sum of qty",PT!$A$17,"product",A329,"FL/AZ","AZ"),0)</f>
        <v>0</v>
      </c>
      <c r="D329" s="125">
        <v>3</v>
      </c>
      <c r="E329" s="18">
        <f t="shared" si="63"/>
        <v>0</v>
      </c>
      <c r="F329" s="2">
        <f t="shared" si="72"/>
        <v>0</v>
      </c>
      <c r="G329" s="1">
        <f>IFERROR(VLOOKUP(ROUND(A329,0),'[2]Alameda Capitalization'!$A:$M,13,0),0)</f>
        <v>0</v>
      </c>
      <c r="H329" s="2">
        <f t="shared" si="67"/>
        <v>0</v>
      </c>
      <c r="I329" s="326">
        <f>C329-IFERROR(VLOOKUP(A329,'[1]AZ DL&amp;OH FG'!$A:$F,3,0),0)</f>
        <v>0</v>
      </c>
      <c r="J329" s="326">
        <f t="shared" si="64"/>
        <v>0</v>
      </c>
      <c r="K329" s="2"/>
      <c r="L329" s="2"/>
    </row>
    <row r="330" spans="1:12">
      <c r="A330" s="4">
        <v>9223</v>
      </c>
      <c r="B330" t="s">
        <v>1713</v>
      </c>
      <c r="C330" s="229">
        <f>IFERROR(GETPIVOTDATA("Sum of qty",PT!$A$17,"product",A330,"FL/AZ","AZ"),0)</f>
        <v>0</v>
      </c>
      <c r="D330" s="125">
        <v>4.3239999999999998</v>
      </c>
      <c r="E330" s="18">
        <f t="shared" si="63"/>
        <v>0</v>
      </c>
      <c r="F330" s="2">
        <f t="shared" si="72"/>
        <v>0</v>
      </c>
      <c r="G330" s="1">
        <f>IFERROR(VLOOKUP(ROUND(A330,0),'[2]Alameda Capitalization'!$A:$M,13,0),0)</f>
        <v>0</v>
      </c>
      <c r="H330" s="2">
        <f t="shared" si="67"/>
        <v>0</v>
      </c>
      <c r="I330" s="326">
        <f>C330-IFERROR(VLOOKUP(A330,'[1]AZ DL&amp;OH FG'!$A:$F,3,0),0)</f>
        <v>0</v>
      </c>
      <c r="J330" s="326">
        <f t="shared" si="64"/>
        <v>0</v>
      </c>
      <c r="K330" s="2"/>
      <c r="L330" s="2"/>
    </row>
    <row r="331" spans="1:12">
      <c r="A331" s="4">
        <v>9225</v>
      </c>
      <c r="B331" t="s">
        <v>1714</v>
      </c>
      <c r="C331" s="229">
        <f>IFERROR(GETPIVOTDATA("Sum of qty",PT!$A$17,"product",A331,"FL/AZ","AZ"),0)</f>
        <v>0</v>
      </c>
      <c r="D331" s="125">
        <v>4.3239999999999998</v>
      </c>
      <c r="E331" s="18">
        <f t="shared" si="63"/>
        <v>0</v>
      </c>
      <c r="F331" s="2">
        <f t="shared" si="72"/>
        <v>0</v>
      </c>
      <c r="G331" s="1">
        <f>IFERROR(VLOOKUP(ROUND(A331,0),'[2]Alameda Capitalization'!$A:$M,13,0),0)</f>
        <v>0</v>
      </c>
      <c r="H331" s="2">
        <f t="shared" si="67"/>
        <v>0</v>
      </c>
      <c r="I331" s="326">
        <f>C331-IFERROR(VLOOKUP(A331,'[1]AZ DL&amp;OH FG'!$A:$F,3,0),0)</f>
        <v>0</v>
      </c>
      <c r="J331" s="326">
        <f t="shared" si="64"/>
        <v>0</v>
      </c>
      <c r="K331" s="2"/>
      <c r="L331" s="2"/>
    </row>
    <row r="332" spans="1:12">
      <c r="A332" s="4">
        <v>9226</v>
      </c>
      <c r="B332" t="s">
        <v>1715</v>
      </c>
      <c r="C332" s="229">
        <f>IFERROR(GETPIVOTDATA("Sum of qty",PT!$A$17,"product",A332,"FL/AZ","AZ"),0)</f>
        <v>0</v>
      </c>
      <c r="D332" s="125">
        <v>4.5</v>
      </c>
      <c r="E332" s="18">
        <f t="shared" si="63"/>
        <v>0</v>
      </c>
      <c r="F332" s="2">
        <f t="shared" si="72"/>
        <v>0</v>
      </c>
      <c r="G332" s="1">
        <f>IFERROR(VLOOKUP(ROUND(A332,0),'[2]Alameda Capitalization'!$A:$M,13,0),0)</f>
        <v>0</v>
      </c>
      <c r="H332" s="2">
        <f t="shared" si="67"/>
        <v>0</v>
      </c>
      <c r="I332" s="326">
        <f>C332-IFERROR(VLOOKUP(A332,'[1]AZ DL&amp;OH FG'!$A:$F,3,0),0)</f>
        <v>0</v>
      </c>
      <c r="J332" s="326">
        <f t="shared" si="64"/>
        <v>0</v>
      </c>
      <c r="K332" s="2"/>
      <c r="L332" s="2"/>
    </row>
    <row r="333" spans="1:12">
      <c r="A333" s="4">
        <v>9314</v>
      </c>
      <c r="B333" t="s">
        <v>1716</v>
      </c>
      <c r="C333" s="229">
        <f>IFERROR(GETPIVOTDATA("Sum of qty",PT!$A$17,"product",A333,"FL/AZ","AZ"),0)</f>
        <v>1137</v>
      </c>
      <c r="D333" s="125">
        <v>3</v>
      </c>
      <c r="E333" s="18">
        <f t="shared" si="63"/>
        <v>3411</v>
      </c>
      <c r="F333" s="2"/>
      <c r="G333" s="1">
        <f>IFERROR(VLOOKUP(ROUND(A333,0),'[2]Alameda Capitalization'!$A:$M,13,0),0)</f>
        <v>5.2175250861124796E-2</v>
      </c>
      <c r="H333" s="2">
        <f t="shared" si="67"/>
        <v>59.323260229098892</v>
      </c>
      <c r="I333" s="326">
        <f>C333-IFERROR(VLOOKUP(A333,'[1]AZ DL&amp;OH FG'!$A:$F,3,0),0)</f>
        <v>1078</v>
      </c>
      <c r="J333" s="326">
        <f t="shared" si="64"/>
        <v>3234</v>
      </c>
      <c r="K333" s="2"/>
      <c r="L333" s="2"/>
    </row>
    <row r="334" spans="1:12">
      <c r="A334" s="4">
        <v>9324</v>
      </c>
      <c r="B334" t="s">
        <v>1717</v>
      </c>
      <c r="C334" s="229">
        <f>IFERROR(GETPIVOTDATA("Sum of qty",PT!$A$17,"product",A334,"FL/AZ","AZ"),0)</f>
        <v>0</v>
      </c>
      <c r="D334" s="125">
        <v>3</v>
      </c>
      <c r="E334" s="18">
        <f t="shared" si="63"/>
        <v>0</v>
      </c>
      <c r="F334" s="2">
        <f t="shared" si="72"/>
        <v>0</v>
      </c>
      <c r="G334" s="1">
        <f>IFERROR(VLOOKUP(ROUND(A334,0),'[2]Alameda Capitalization'!$A:$M,13,0),0)</f>
        <v>5.2175250861124796E-2</v>
      </c>
      <c r="H334" s="2">
        <f t="shared" si="67"/>
        <v>0</v>
      </c>
      <c r="I334" s="326">
        <f>C334-IFERROR(VLOOKUP(A334,'[1]AZ DL&amp;OH FG'!$A:$F,3,0),0)</f>
        <v>0</v>
      </c>
      <c r="J334" s="326">
        <f t="shared" si="64"/>
        <v>0</v>
      </c>
      <c r="K334" s="2"/>
      <c r="L334" s="2"/>
    </row>
    <row r="335" spans="1:12">
      <c r="A335" s="163">
        <v>9334</v>
      </c>
      <c r="B335" t="s">
        <v>1718</v>
      </c>
      <c r="C335" s="229">
        <f>IFERROR(GETPIVOTDATA("Sum of qty",PT!$A$17,"product",A335,"FL/AZ","AZ"),0)</f>
        <v>0</v>
      </c>
      <c r="D335" s="125">
        <v>3</v>
      </c>
      <c r="E335" s="18">
        <f t="shared" ref="E335" si="79">C335*D335</f>
        <v>0</v>
      </c>
      <c r="F335" s="2"/>
      <c r="G335" s="1">
        <f>IFERROR(VLOOKUP(ROUND(A335,0),'[2]Alameda Capitalization'!$A:$M,13,0),0)</f>
        <v>5.2175250861124796E-2</v>
      </c>
      <c r="H335" s="2">
        <f t="shared" si="67"/>
        <v>0</v>
      </c>
      <c r="I335" s="326">
        <f>C335-IFERROR(VLOOKUP(A335,'[1]AZ DL&amp;OH FG'!$A:$F,3,0),0)</f>
        <v>0</v>
      </c>
      <c r="J335" s="326">
        <f t="shared" si="64"/>
        <v>0</v>
      </c>
      <c r="K335" s="2"/>
      <c r="L335" s="2"/>
    </row>
    <row r="336" spans="1:12">
      <c r="A336" s="4">
        <v>9454</v>
      </c>
      <c r="B336" t="s">
        <v>447</v>
      </c>
      <c r="C336" s="229">
        <f>IFERROR(GETPIVOTDATA("Sum of qty",PT!$A$17,"product",A336,"FL/AZ","AZ"),0)</f>
        <v>272</v>
      </c>
      <c r="D336" s="125">
        <v>4</v>
      </c>
      <c r="E336" s="18">
        <f t="shared" si="63"/>
        <v>1088</v>
      </c>
      <c r="F336" s="2"/>
      <c r="G336" s="1">
        <f>IFERROR(VLOOKUP(ROUND(A336,0),'[2]Alameda Capitalization'!$A:$M,13,0),0)</f>
        <v>8.6958751435207995E-2</v>
      </c>
      <c r="H336" s="2">
        <f t="shared" si="67"/>
        <v>23.652780390376574</v>
      </c>
      <c r="I336" s="326">
        <f>C336-IFERROR(VLOOKUP(A336,'[1]AZ DL&amp;OH FG'!$A:$F,3,0),0)</f>
        <v>-63</v>
      </c>
      <c r="J336" s="326">
        <f t="shared" si="64"/>
        <v>-252</v>
      </c>
      <c r="K336" s="2"/>
      <c r="L336" s="2"/>
    </row>
    <row r="337" spans="1:12">
      <c r="A337" s="4">
        <v>9455</v>
      </c>
      <c r="B337" t="s">
        <v>1719</v>
      </c>
      <c r="C337" s="229">
        <f>IFERROR(GETPIVOTDATA("Sum of qty",PT!$A$17,"product",A337,"FL/AZ","AZ"),0)</f>
        <v>0</v>
      </c>
      <c r="D337" s="125">
        <v>4.5</v>
      </c>
      <c r="E337" s="18">
        <f t="shared" si="63"/>
        <v>0</v>
      </c>
      <c r="F337" s="2">
        <f>E337</f>
        <v>0</v>
      </c>
      <c r="G337" s="1">
        <f>IFERROR(VLOOKUP(ROUND(A337,0),'[2]Alameda Capitalization'!$A:$M,13,0),0)</f>
        <v>0</v>
      </c>
      <c r="H337" s="2">
        <f t="shared" si="67"/>
        <v>0</v>
      </c>
      <c r="I337" s="326">
        <f>C337-IFERROR(VLOOKUP(A337,'[1]AZ DL&amp;OH FG'!$A:$F,3,0),0)</f>
        <v>0</v>
      </c>
      <c r="J337" s="326">
        <f t="shared" si="64"/>
        <v>0</v>
      </c>
      <c r="K337" s="2"/>
      <c r="L337" s="2"/>
    </row>
    <row r="338" spans="1:12">
      <c r="A338" s="4">
        <v>9456</v>
      </c>
      <c r="B338" t="s">
        <v>1720</v>
      </c>
      <c r="C338" s="229">
        <f>IFERROR(GETPIVOTDATA("Sum of qty",PT!$A$17,"product",A338,"FL/AZ","AZ"),0)</f>
        <v>473</v>
      </c>
      <c r="D338" s="125">
        <v>4.5</v>
      </c>
      <c r="E338" s="18">
        <f t="shared" si="63"/>
        <v>2128.5</v>
      </c>
      <c r="F338" s="2">
        <f>E338</f>
        <v>2128.5</v>
      </c>
      <c r="G338" s="1">
        <f>IFERROR(VLOOKUP(ROUND(A338,0),'[2]Alameda Capitalization'!$A:$M,13,0),0)</f>
        <v>0.54349219647004998</v>
      </c>
      <c r="H338" s="2">
        <f t="shared" si="67"/>
        <v>257.07180893033365</v>
      </c>
      <c r="I338" s="326">
        <f>C338-IFERROR(VLOOKUP(A338,'[1]AZ DL&amp;OH FG'!$A:$F,3,0),0)</f>
        <v>-322</v>
      </c>
      <c r="J338" s="326">
        <f t="shared" si="64"/>
        <v>-1449</v>
      </c>
      <c r="K338" s="2"/>
      <c r="L338" s="2"/>
    </row>
    <row r="339" spans="1:12">
      <c r="A339" s="4">
        <v>9504</v>
      </c>
      <c r="B339" t="s">
        <v>1721</v>
      </c>
      <c r="C339" s="229">
        <f>IFERROR(GETPIVOTDATA("Sum of qty",PT!$A$17,"product",A339,"FL/AZ","AZ"),0)</f>
        <v>0</v>
      </c>
      <c r="D339" s="125">
        <v>4</v>
      </c>
      <c r="E339" s="18">
        <f t="shared" si="63"/>
        <v>0</v>
      </c>
      <c r="F339" s="2"/>
      <c r="G339" s="1">
        <f>IFERROR(VLOOKUP(ROUND(A339,0),'[2]Alameda Capitalization'!$A:$M,13,0),0)</f>
        <v>0</v>
      </c>
      <c r="H339" s="2">
        <f t="shared" si="67"/>
        <v>0</v>
      </c>
      <c r="I339" s="326">
        <f>C339-IFERROR(VLOOKUP(A339,'[1]AZ DL&amp;OH FG'!$A:$F,3,0),0)</f>
        <v>0</v>
      </c>
      <c r="J339" s="326">
        <f t="shared" si="64"/>
        <v>0</v>
      </c>
      <c r="K339" s="2"/>
      <c r="L339" s="2"/>
    </row>
    <row r="340" spans="1:12">
      <c r="A340" s="4">
        <v>9515</v>
      </c>
      <c r="B340" t="s">
        <v>1722</v>
      </c>
      <c r="C340" s="229">
        <f>IFERROR(GETPIVOTDATA("Sum of qty",PT!$A$17,"product",A340,"FL/AZ","AZ"),0)</f>
        <v>0</v>
      </c>
      <c r="D340" s="125">
        <v>3</v>
      </c>
      <c r="E340" s="18">
        <f t="shared" si="63"/>
        <v>0</v>
      </c>
      <c r="F340" s="2"/>
      <c r="G340" s="1">
        <f>IFERROR(VLOOKUP(ROUND(A340,0),'[2]Alameda Capitalization'!$A:$M,13,0),0)</f>
        <v>0</v>
      </c>
      <c r="H340" s="2">
        <f t="shared" si="67"/>
        <v>0</v>
      </c>
      <c r="I340" s="326">
        <f>C340-IFERROR(VLOOKUP(A340,'[1]AZ DL&amp;OH FG'!$A:$F,3,0),0)</f>
        <v>0</v>
      </c>
      <c r="J340" s="326">
        <f t="shared" si="64"/>
        <v>0</v>
      </c>
      <c r="K340" s="2"/>
      <c r="L340" s="2"/>
    </row>
    <row r="341" spans="1:12">
      <c r="A341" s="163">
        <v>9516</v>
      </c>
      <c r="B341" t="s">
        <v>1723</v>
      </c>
      <c r="C341" s="229">
        <f>IFERROR(GETPIVOTDATA("Sum of qty",PT!$A$17,"product",A341,"FL/AZ","AZ"),0)</f>
        <v>0</v>
      </c>
      <c r="D341" s="125">
        <v>1.5</v>
      </c>
      <c r="E341" s="18">
        <f t="shared" ref="E341" si="80">C341*D341</f>
        <v>0</v>
      </c>
      <c r="F341" s="2"/>
      <c r="G341" s="1">
        <f>IFERROR(VLOOKUP(ROUND(A341,0),'[2]Alameda Capitalization'!$A:$M,13,0),0)</f>
        <v>0</v>
      </c>
      <c r="H341" s="2">
        <f t="shared" ref="H341" si="81">G341*C341</f>
        <v>0</v>
      </c>
      <c r="I341" s="326">
        <f>C341-IFERROR(VLOOKUP(A341,'[1]AZ DL&amp;OH FG'!$A:$F,3,0),0)</f>
        <v>0</v>
      </c>
      <c r="J341" s="326">
        <f t="shared" si="64"/>
        <v>0</v>
      </c>
      <c r="K341" s="2"/>
      <c r="L341" s="2"/>
    </row>
    <row r="342" spans="1:12">
      <c r="A342" s="4">
        <v>9517</v>
      </c>
      <c r="B342" t="s">
        <v>1724</v>
      </c>
      <c r="C342" s="229">
        <f>IFERROR(GETPIVOTDATA("Sum of qty",PT!$A$17,"product",A342,"FL/AZ","AZ"),0)</f>
        <v>0</v>
      </c>
      <c r="D342" s="125">
        <v>3.5</v>
      </c>
      <c r="E342" s="18">
        <f t="shared" si="63"/>
        <v>0</v>
      </c>
      <c r="F342" s="2"/>
      <c r="G342" s="1">
        <f>IFERROR(VLOOKUP(ROUND(A342,0),'[2]Alameda Capitalization'!$A:$M,13,0),0)</f>
        <v>0</v>
      </c>
      <c r="H342" s="2">
        <f t="shared" si="67"/>
        <v>0</v>
      </c>
      <c r="I342" s="326">
        <f>C342-IFERROR(VLOOKUP(A342,'[1]AZ DL&amp;OH FG'!$A:$F,3,0),0)</f>
        <v>0</v>
      </c>
      <c r="J342" s="326">
        <f t="shared" si="64"/>
        <v>0</v>
      </c>
      <c r="K342" s="2"/>
      <c r="L342" s="2"/>
    </row>
    <row r="343" spans="1:12">
      <c r="A343" s="4">
        <v>9520</v>
      </c>
      <c r="B343" t="s">
        <v>1725</v>
      </c>
      <c r="C343" s="229">
        <f>IFERROR(GETPIVOTDATA("Sum of qty",PT!$A$17,"product",A343,"FL/AZ","AZ"),0)</f>
        <v>0</v>
      </c>
      <c r="D343" s="125">
        <v>4.5</v>
      </c>
      <c r="E343" s="18">
        <f t="shared" si="63"/>
        <v>0</v>
      </c>
      <c r="F343" s="2"/>
      <c r="G343" s="1">
        <f>IFERROR(VLOOKUP(ROUND(A343,0),'[2]Alameda Capitalization'!$A:$M,13,0),0)</f>
        <v>0</v>
      </c>
      <c r="H343" s="2">
        <f t="shared" si="67"/>
        <v>0</v>
      </c>
      <c r="I343" s="326">
        <f>C343-IFERROR(VLOOKUP(A343,'[1]AZ DL&amp;OH FG'!$A:$F,3,0),0)</f>
        <v>0</v>
      </c>
      <c r="J343" s="326">
        <f t="shared" ref="J343:J385" si="82">I343*D343</f>
        <v>0</v>
      </c>
      <c r="K343" s="2"/>
      <c r="L343" s="2"/>
    </row>
    <row r="344" spans="1:12">
      <c r="A344" s="4">
        <v>9630</v>
      </c>
      <c r="B344" t="s">
        <v>1726</v>
      </c>
      <c r="C344" s="229">
        <f>IFERROR(GETPIVOTDATA("Sum of qty",PT!$A$17,"product",A344,"FL/AZ","AZ"),0)</f>
        <v>0</v>
      </c>
      <c r="D344" s="125">
        <v>3</v>
      </c>
      <c r="E344" s="18">
        <f t="shared" si="63"/>
        <v>0</v>
      </c>
      <c r="F344" s="2"/>
      <c r="G344" s="1">
        <f>IFERROR(VLOOKUP(ROUND(A344,0),'[2]Alameda Capitalization'!$A:$M,13,0),0)</f>
        <v>0</v>
      </c>
      <c r="H344" s="2">
        <f t="shared" si="67"/>
        <v>0</v>
      </c>
      <c r="I344" s="326">
        <f>C344-IFERROR(VLOOKUP(A344,'[1]AZ DL&amp;OH FG'!$A:$F,3,0),0)</f>
        <v>0</v>
      </c>
      <c r="J344" s="326">
        <f t="shared" si="82"/>
        <v>0</v>
      </c>
      <c r="K344" s="2"/>
      <c r="L344" s="2"/>
    </row>
    <row r="345" spans="1:12">
      <c r="A345" s="4">
        <v>9660</v>
      </c>
      <c r="B345" t="s">
        <v>1727</v>
      </c>
      <c r="C345" s="229">
        <f>IFERROR(GETPIVOTDATA("Sum of qty",PT!$A$17,"product",A345,"FL/AZ","AZ"),0)</f>
        <v>1625</v>
      </c>
      <c r="D345" s="125">
        <v>3</v>
      </c>
      <c r="E345" s="18">
        <f t="shared" si="63"/>
        <v>4875</v>
      </c>
      <c r="F345" s="2">
        <f>E345</f>
        <v>4875</v>
      </c>
      <c r="G345" s="1">
        <f>IFERROR(VLOOKUP(ROUND(A345,0),'[2]Alameda Capitalization'!$A:$M,13,0),0)</f>
        <v>0.43479375717604002</v>
      </c>
      <c r="H345" s="2">
        <f t="shared" si="67"/>
        <v>706.53985541106499</v>
      </c>
      <c r="I345" s="326">
        <f>C345-IFERROR(VLOOKUP(A345,'[1]AZ DL&amp;OH FG'!$A:$F,3,0),0)</f>
        <v>953</v>
      </c>
      <c r="J345" s="326">
        <f t="shared" si="82"/>
        <v>2859</v>
      </c>
      <c r="K345" s="2"/>
      <c r="L345" s="2"/>
    </row>
    <row r="346" spans="1:12">
      <c r="A346" s="4">
        <v>9662</v>
      </c>
      <c r="B346" t="s">
        <v>1728</v>
      </c>
      <c r="C346" s="229">
        <f>IFERROR(GETPIVOTDATA("Sum of qty",PT!$A$17,"product",A346,"FL/AZ","AZ"),0)</f>
        <v>0</v>
      </c>
      <c r="D346" s="125">
        <v>2.88</v>
      </c>
      <c r="E346" s="18">
        <f t="shared" si="63"/>
        <v>0</v>
      </c>
      <c r="F346" s="2">
        <f>E346</f>
        <v>0</v>
      </c>
      <c r="G346" s="1">
        <f>IFERROR(VLOOKUP(ROUND(A346,0),'[2]Alameda Capitalization'!$A:$M,13,0),0)</f>
        <v>0</v>
      </c>
      <c r="H346" s="2">
        <f t="shared" si="67"/>
        <v>0</v>
      </c>
      <c r="I346" s="326">
        <f>C346-IFERROR(VLOOKUP(A346,'[1]AZ DL&amp;OH FG'!$A:$F,3,0),0)</f>
        <v>0</v>
      </c>
      <c r="J346" s="326">
        <f t="shared" si="82"/>
        <v>0</v>
      </c>
      <c r="K346" s="2"/>
      <c r="L346" s="2"/>
    </row>
    <row r="347" spans="1:12">
      <c r="A347" s="4">
        <v>9664</v>
      </c>
      <c r="B347" t="s">
        <v>1729</v>
      </c>
      <c r="C347" s="229">
        <f>IFERROR(GETPIVOTDATA("Sum of qty",PT!$A$17,"product",A347,"FL/AZ","AZ"),0)</f>
        <v>0</v>
      </c>
      <c r="D347" s="125">
        <v>3</v>
      </c>
      <c r="E347" s="18">
        <f t="shared" si="63"/>
        <v>0</v>
      </c>
      <c r="F347" s="2">
        <f>E347</f>
        <v>0</v>
      </c>
      <c r="G347" s="1">
        <f>IFERROR(VLOOKUP(ROUND(A347,0),'[2]Alameda Capitalization'!$A:$M,13,0),0)</f>
        <v>0</v>
      </c>
      <c r="H347" s="2">
        <f t="shared" si="67"/>
        <v>0</v>
      </c>
      <c r="I347" s="326">
        <f>C347-IFERROR(VLOOKUP(A347,'[1]AZ DL&amp;OH FG'!$A:$F,3,0),0)</f>
        <v>0</v>
      </c>
      <c r="J347" s="326">
        <f t="shared" si="82"/>
        <v>0</v>
      </c>
      <c r="K347" s="2"/>
      <c r="L347" s="2"/>
    </row>
    <row r="348" spans="1:12">
      <c r="A348" s="4">
        <v>9709</v>
      </c>
      <c r="B348" t="s">
        <v>1730</v>
      </c>
      <c r="C348" s="229">
        <f>IFERROR(GETPIVOTDATA("Sum of qty",PT!$A$17,"product",A348,"FL/AZ","AZ"),0)</f>
        <v>0</v>
      </c>
      <c r="D348" s="125">
        <v>4</v>
      </c>
      <c r="E348" s="18">
        <f t="shared" si="63"/>
        <v>0</v>
      </c>
      <c r="F348" s="2"/>
      <c r="G348" s="1">
        <f>IFERROR(VLOOKUP(ROUND(A348,0),'[2]Alameda Capitalization'!$A:$M,13,0),0)</f>
        <v>0</v>
      </c>
      <c r="H348" s="2">
        <f t="shared" si="67"/>
        <v>0</v>
      </c>
      <c r="I348" s="326">
        <f>C348-IFERROR(VLOOKUP(A348,'[1]AZ DL&amp;OH FG'!$A:$F,3,0),0)</f>
        <v>0</v>
      </c>
      <c r="J348" s="326">
        <f t="shared" si="82"/>
        <v>0</v>
      </c>
      <c r="K348" s="2"/>
      <c r="L348" s="2"/>
    </row>
    <row r="349" spans="1:12">
      <c r="A349" s="4">
        <v>9710</v>
      </c>
      <c r="B349" t="s">
        <v>1731</v>
      </c>
      <c r="C349" s="229">
        <f>IFERROR(GETPIVOTDATA("Sum of qty",PT!$A$17,"product",A349,"FL/AZ","AZ"),0)</f>
        <v>0</v>
      </c>
      <c r="D349" s="125">
        <v>4</v>
      </c>
      <c r="E349" s="18">
        <f t="shared" si="63"/>
        <v>0</v>
      </c>
      <c r="F349" s="2"/>
      <c r="G349" s="1">
        <f>IFERROR(VLOOKUP(ROUND(A349,0),'[2]Alameda Capitalization'!$A:$M,13,0),0)</f>
        <v>8.6958751435207995E-2</v>
      </c>
      <c r="H349" s="2">
        <f t="shared" si="67"/>
        <v>0</v>
      </c>
      <c r="I349" s="326">
        <f>C349-IFERROR(VLOOKUP(A349,'[1]AZ DL&amp;OH FG'!$A:$F,3,0),0)</f>
        <v>0</v>
      </c>
      <c r="J349" s="326">
        <f t="shared" si="82"/>
        <v>0</v>
      </c>
      <c r="K349" s="2"/>
      <c r="L349" s="2"/>
    </row>
    <row r="350" spans="1:12">
      <c r="A350" s="4">
        <v>9802</v>
      </c>
      <c r="B350" t="s">
        <v>1732</v>
      </c>
      <c r="C350" s="229">
        <f>IFERROR(GETPIVOTDATA("Sum of qty",PT!$A$17,"product",A350,"FL/AZ","AZ"),0)</f>
        <v>0</v>
      </c>
      <c r="D350" s="125">
        <v>4</v>
      </c>
      <c r="E350" s="18">
        <f t="shared" si="63"/>
        <v>0</v>
      </c>
      <c r="F350" s="2">
        <f t="shared" ref="F350:F357" si="83">E350</f>
        <v>0</v>
      </c>
      <c r="G350" s="1">
        <f>IFERROR(VLOOKUP(ROUND(A350,0),'[2]Alameda Capitalization'!$A:$M,13,0),0)</f>
        <v>0</v>
      </c>
      <c r="H350" s="2">
        <f t="shared" si="67"/>
        <v>0</v>
      </c>
      <c r="I350" s="326">
        <f>C350-IFERROR(VLOOKUP(A350,'[1]AZ DL&amp;OH FG'!$A:$F,3,0),0)</f>
        <v>0</v>
      </c>
      <c r="J350" s="326">
        <f t="shared" si="82"/>
        <v>0</v>
      </c>
      <c r="K350" s="2"/>
      <c r="L350" s="2"/>
    </row>
    <row r="351" spans="1:12">
      <c r="A351" s="4">
        <v>9814</v>
      </c>
      <c r="B351" t="s">
        <v>1733</v>
      </c>
      <c r="C351" s="229">
        <f>IFERROR(GETPIVOTDATA("Sum of qty",PT!$A$17,"product",A351,"FL/AZ","AZ"),0)</f>
        <v>170</v>
      </c>
      <c r="D351" s="125">
        <v>4.5</v>
      </c>
      <c r="E351" s="18">
        <f t="shared" si="63"/>
        <v>765</v>
      </c>
      <c r="F351" s="2">
        <f t="shared" si="83"/>
        <v>765</v>
      </c>
      <c r="G351" s="1">
        <f>IFERROR(VLOOKUP(ROUND(A351,0),'[2]Alameda Capitalization'!$A:$M,13,0),0)</f>
        <v>0.54349219647004998</v>
      </c>
      <c r="H351" s="2">
        <f t="shared" si="67"/>
        <v>92.393673399908494</v>
      </c>
      <c r="I351" s="326">
        <f>C351-IFERROR(VLOOKUP(A351,'[1]AZ DL&amp;OH FG'!$A:$F,3,0),0)</f>
        <v>-648</v>
      </c>
      <c r="J351" s="326">
        <f t="shared" si="82"/>
        <v>-2916</v>
      </c>
      <c r="K351" s="2"/>
      <c r="L351" s="2"/>
    </row>
    <row r="352" spans="1:12">
      <c r="A352" s="4">
        <v>9816</v>
      </c>
      <c r="B352" t="s">
        <v>1734</v>
      </c>
      <c r="C352" s="229">
        <f>IFERROR(GETPIVOTDATA("Sum of qty",PT!$A$17,"product",A352,"FL/AZ","AZ"),0)</f>
        <v>0</v>
      </c>
      <c r="D352" s="126">
        <v>4.5</v>
      </c>
      <c r="E352" s="18">
        <f t="shared" ref="E352:E384" si="84">C352*D352</f>
        <v>0</v>
      </c>
      <c r="F352" s="2">
        <f t="shared" si="83"/>
        <v>0</v>
      </c>
      <c r="G352" s="1">
        <f>IFERROR(VLOOKUP(ROUND(A352,0),'[2]Alameda Capitalization'!$A:$M,13,0),0)</f>
        <v>0</v>
      </c>
      <c r="H352" s="2">
        <f t="shared" si="67"/>
        <v>0</v>
      </c>
      <c r="I352" s="326">
        <f>C352-IFERROR(VLOOKUP(A352,'[1]AZ DL&amp;OH FG'!$A:$F,3,0),0)</f>
        <v>0</v>
      </c>
      <c r="J352" s="326">
        <f t="shared" si="82"/>
        <v>0</v>
      </c>
      <c r="K352" s="2"/>
      <c r="L352" s="2"/>
    </row>
    <row r="353" spans="1:12">
      <c r="A353" s="244">
        <v>9818</v>
      </c>
      <c r="B353" t="s">
        <v>600</v>
      </c>
      <c r="C353" s="229">
        <f>IFERROR(GETPIVOTDATA("Sum of qty",PT!$A$17,"product",A353,"FL/AZ","AZ"),0)</f>
        <v>550</v>
      </c>
      <c r="D353" s="126">
        <v>4.5</v>
      </c>
      <c r="E353" s="18">
        <f t="shared" ref="E353" si="85">C353*D353</f>
        <v>2475</v>
      </c>
      <c r="F353" s="2">
        <f t="shared" ref="F353" si="86">E353</f>
        <v>2475</v>
      </c>
      <c r="G353" s="1">
        <f>IFERROR(VLOOKUP(ROUND(A353,0),'[2]Alameda Capitalization'!$A:$M,13,0),0)</f>
        <v>0.43479375717604002</v>
      </c>
      <c r="H353" s="2">
        <f t="shared" si="67"/>
        <v>239.136566446822</v>
      </c>
      <c r="I353" s="326">
        <f>C353-IFERROR(VLOOKUP(A353,'[1]AZ DL&amp;OH FG'!$A:$F,3,0),0)</f>
        <v>-216</v>
      </c>
      <c r="J353" s="326">
        <f t="shared" si="82"/>
        <v>-972</v>
      </c>
      <c r="K353" s="2"/>
      <c r="L353" s="2"/>
    </row>
    <row r="354" spans="1:12">
      <c r="A354" s="4">
        <v>9820</v>
      </c>
      <c r="B354" t="s">
        <v>1735</v>
      </c>
      <c r="C354" s="229">
        <f>IFERROR(GETPIVOTDATA("Sum of qty",PT!$A$17,"product",A354,"FL/AZ","AZ"),0)</f>
        <v>5828</v>
      </c>
      <c r="D354" s="126">
        <v>3</v>
      </c>
      <c r="E354" s="18">
        <f t="shared" si="84"/>
        <v>17484</v>
      </c>
      <c r="F354" s="2">
        <f t="shared" si="83"/>
        <v>17484</v>
      </c>
      <c r="G354" s="1">
        <f>IFERROR(VLOOKUP(ROUND(A354,0),'[2]Alameda Capitalization'!$A:$M,13,0),0)</f>
        <v>0.43479375717604002</v>
      </c>
      <c r="H354" s="2">
        <f t="shared" si="67"/>
        <v>2533.9780168219613</v>
      </c>
      <c r="I354" s="326">
        <f>C354-IFERROR(VLOOKUP(A354,'[1]AZ DL&amp;OH FG'!$A:$F,3,0),0)</f>
        <v>3667</v>
      </c>
      <c r="J354" s="326">
        <f t="shared" si="82"/>
        <v>11001</v>
      </c>
      <c r="K354" s="2"/>
      <c r="L354" s="2"/>
    </row>
    <row r="355" spans="1:12">
      <c r="A355" s="4">
        <v>9822</v>
      </c>
      <c r="B355" t="s">
        <v>1736</v>
      </c>
      <c r="C355" s="229">
        <f>IFERROR(GETPIVOTDATA("Sum of qty",PT!$A$17,"product",A355,"FL/AZ","AZ"),0)</f>
        <v>0</v>
      </c>
      <c r="D355" s="125">
        <v>3</v>
      </c>
      <c r="E355" s="18">
        <f t="shared" si="84"/>
        <v>0</v>
      </c>
      <c r="F355" s="2">
        <f t="shared" si="83"/>
        <v>0</v>
      </c>
      <c r="G355" s="1">
        <f>IFERROR(VLOOKUP(ROUND(A355,0),'[2]Alameda Capitalization'!$A:$M,13,0),0)</f>
        <v>0</v>
      </c>
      <c r="H355" s="2">
        <f t="shared" ref="H355:H384" si="87">G355*C355</f>
        <v>0</v>
      </c>
      <c r="I355" s="326">
        <f>C355-IFERROR(VLOOKUP(A355,'[1]AZ DL&amp;OH FG'!$A:$F,3,0),0)</f>
        <v>0</v>
      </c>
      <c r="J355" s="326">
        <f t="shared" si="82"/>
        <v>0</v>
      </c>
      <c r="K355" s="2"/>
      <c r="L355" s="2"/>
    </row>
    <row r="356" spans="1:12">
      <c r="A356" s="4">
        <v>9823</v>
      </c>
      <c r="B356" t="s">
        <v>137</v>
      </c>
      <c r="C356" s="229">
        <f>IFERROR(GETPIVOTDATA("Sum of qty",PT!$A$17,"product",A356,"FL/AZ","AZ"),0)</f>
        <v>0</v>
      </c>
      <c r="D356" s="126">
        <v>3</v>
      </c>
      <c r="E356" s="18">
        <f t="shared" si="84"/>
        <v>0</v>
      </c>
      <c r="F356" s="2">
        <f t="shared" si="83"/>
        <v>0</v>
      </c>
      <c r="G356" s="1">
        <f>IFERROR(VLOOKUP(ROUND(A356,0),'[2]Alameda Capitalization'!$A:$M,13,0),0)</f>
        <v>0.43479375717604002</v>
      </c>
      <c r="H356" s="2">
        <f t="shared" si="87"/>
        <v>0</v>
      </c>
      <c r="I356" s="326">
        <f>C356-IFERROR(VLOOKUP(A356,'[1]AZ DL&amp;OH FG'!$A:$F,3,0),0)</f>
        <v>0</v>
      </c>
      <c r="J356" s="326">
        <f t="shared" si="82"/>
        <v>0</v>
      </c>
      <c r="K356" s="2"/>
      <c r="L356" s="2"/>
    </row>
    <row r="357" spans="1:12">
      <c r="A357" s="4">
        <v>9824</v>
      </c>
      <c r="B357" t="s">
        <v>1737</v>
      </c>
      <c r="C357" s="229">
        <f>IFERROR(GETPIVOTDATA("Sum of qty",PT!$A$17,"product",A357,"FL/AZ","AZ"),0)</f>
        <v>0</v>
      </c>
      <c r="D357" s="126">
        <v>3</v>
      </c>
      <c r="E357" s="18">
        <f t="shared" si="84"/>
        <v>0</v>
      </c>
      <c r="F357" s="2">
        <f t="shared" si="83"/>
        <v>0</v>
      </c>
      <c r="G357" s="1">
        <f>IFERROR(VLOOKUP(ROUND(A357,0),'[2]Alameda Capitalization'!$A:$M,13,0),0)</f>
        <v>0</v>
      </c>
      <c r="H357" s="2">
        <f t="shared" si="87"/>
        <v>0</v>
      </c>
      <c r="I357" s="326">
        <f>C357-IFERROR(VLOOKUP(A357,'[1]AZ DL&amp;OH FG'!$A:$F,3,0),0)</f>
        <v>0</v>
      </c>
      <c r="J357" s="326">
        <f t="shared" si="82"/>
        <v>0</v>
      </c>
      <c r="K357" s="2"/>
      <c r="L357" s="2"/>
    </row>
    <row r="358" spans="1:12">
      <c r="A358" s="4">
        <v>9830</v>
      </c>
      <c r="B358" t="s">
        <v>1738</v>
      </c>
      <c r="C358" s="229">
        <f>IFERROR(GETPIVOTDATA("Sum of qty",PT!$A$17,"product",A358,"FL/AZ","AZ"),0)</f>
        <v>0</v>
      </c>
      <c r="D358" s="125">
        <v>3</v>
      </c>
      <c r="E358" s="18">
        <f t="shared" si="84"/>
        <v>0</v>
      </c>
      <c r="F358" s="2"/>
      <c r="G358" s="1">
        <f>IFERROR(VLOOKUP(ROUND(A358,0),'[2]Alameda Capitalization'!$A:$M,13,0),0)</f>
        <v>0</v>
      </c>
      <c r="H358" s="2">
        <f t="shared" si="87"/>
        <v>0</v>
      </c>
      <c r="I358" s="326">
        <f>C358-IFERROR(VLOOKUP(A358,'[1]AZ DL&amp;OH FG'!$A:$F,3,0),0)</f>
        <v>0</v>
      </c>
      <c r="J358" s="326">
        <f t="shared" si="82"/>
        <v>0</v>
      </c>
      <c r="K358" s="2"/>
      <c r="L358" s="2"/>
    </row>
    <row r="359" spans="1:12">
      <c r="A359" s="4">
        <v>9834</v>
      </c>
      <c r="B359" t="s">
        <v>1739</v>
      </c>
      <c r="C359" s="229">
        <f>IFERROR(GETPIVOTDATA("Sum of qty",PT!$A$17,"product",A359,"FL/AZ","AZ"),0)</f>
        <v>0</v>
      </c>
      <c r="D359" s="126">
        <v>3</v>
      </c>
      <c r="E359" s="18">
        <f>C359*D359</f>
        <v>0</v>
      </c>
      <c r="F359" s="2">
        <f>E359</f>
        <v>0</v>
      </c>
      <c r="G359" s="1">
        <f>IFERROR(VLOOKUP(ROUND(A359,0),'[2]Alameda Capitalization'!$A:$M,13,0),0)</f>
        <v>0</v>
      </c>
      <c r="H359" s="2">
        <f t="shared" si="87"/>
        <v>0</v>
      </c>
      <c r="I359" s="326">
        <f>C359-IFERROR(VLOOKUP(A359,'[1]AZ DL&amp;OH FG'!$A:$F,3,0),0)</f>
        <v>0</v>
      </c>
      <c r="J359" s="326">
        <f t="shared" si="82"/>
        <v>0</v>
      </c>
      <c r="K359" s="2"/>
      <c r="L359" s="2"/>
    </row>
    <row r="360" spans="1:12">
      <c r="A360" s="244">
        <v>9942</v>
      </c>
      <c r="B360" t="s">
        <v>1740</v>
      </c>
      <c r="C360" s="229">
        <f>IFERROR(GETPIVOTDATA("Sum of qty",PT!$A$17,"product",A360,"FL/AZ","AZ"),0)</f>
        <v>0</v>
      </c>
      <c r="D360" s="125">
        <v>48</v>
      </c>
      <c r="E360" s="18">
        <f t="shared" ref="E360:E363" si="88">C360*D360</f>
        <v>0</v>
      </c>
      <c r="F360" s="2"/>
      <c r="G360" s="1">
        <f>IFERROR(VLOOKUP(ROUND(A360,0),'[2]Alameda Capitalization'!$A:$M,13,0),0)</f>
        <v>1.30438127152812</v>
      </c>
      <c r="H360" s="2">
        <f t="shared" ref="H360" si="89">G360*C360</f>
        <v>0</v>
      </c>
      <c r="I360" s="326">
        <f>C360-IFERROR(VLOOKUP(A360,'[1]AZ DL&amp;OH FG'!$A:$F,3,0),0)</f>
        <v>0</v>
      </c>
      <c r="J360" s="326">
        <f>I360*D360</f>
        <v>0</v>
      </c>
      <c r="K360" s="2"/>
      <c r="L360" s="2"/>
    </row>
    <row r="361" spans="1:12">
      <c r="A361" s="244">
        <v>9952</v>
      </c>
      <c r="B361" t="s">
        <v>1741</v>
      </c>
      <c r="C361" s="229">
        <f>IFERROR(GETPIVOTDATA("Sum of qty",PT!$A$17,"product",A361,"FL/AZ","AZ"),0)</f>
        <v>0</v>
      </c>
      <c r="D361" s="126">
        <v>48</v>
      </c>
      <c r="E361" s="18">
        <f t="shared" si="88"/>
        <v>0</v>
      </c>
      <c r="F361" s="2"/>
      <c r="G361" s="1">
        <f>IFERROR(VLOOKUP(ROUND(A361,0),'[2]Alameda Capitalization'!$A:$M,13,0),0)</f>
        <v>1.30438127152812</v>
      </c>
      <c r="H361" s="2">
        <f>G361*C361</f>
        <v>0</v>
      </c>
      <c r="I361" s="326">
        <f>C361-IFERROR(VLOOKUP(A361,'[1]AZ DL&amp;OH FG'!$A:$F,3,0),0)</f>
        <v>0</v>
      </c>
      <c r="J361" s="326">
        <f t="shared" ref="J361" si="90">I361*D361</f>
        <v>0</v>
      </c>
      <c r="K361" s="2"/>
      <c r="L361" s="2"/>
    </row>
    <row r="362" spans="1:12">
      <c r="A362" s="244">
        <v>9945</v>
      </c>
      <c r="B362" t="s">
        <v>186</v>
      </c>
      <c r="C362" s="229">
        <f>IFERROR(GETPIVOTDATA("Sum of qty",PT!$A$17,"product",A362,"FL/AZ","AZ"),0)</f>
        <v>0</v>
      </c>
      <c r="D362" s="126">
        <v>270</v>
      </c>
      <c r="E362" s="18">
        <f t="shared" si="88"/>
        <v>0</v>
      </c>
      <c r="F362" s="2"/>
      <c r="G362" s="1">
        <f>IFERROR(VLOOKUP(ROUND(A362,0),'[2]Alameda Capitalization'!$A:$M,13,0),0)</f>
        <v>2.60876254305624</v>
      </c>
      <c r="H362" s="2">
        <f>G362*C362</f>
        <v>0</v>
      </c>
      <c r="I362" s="326">
        <f>C362-IFERROR(VLOOKUP(A362,'[1]AZ DL&amp;OH FG'!$A:$F,3,0),0)</f>
        <v>0</v>
      </c>
      <c r="J362" s="326">
        <f t="shared" ref="J362:J363" si="91">I362*D362</f>
        <v>0</v>
      </c>
      <c r="K362" s="2"/>
      <c r="L362" s="2"/>
    </row>
    <row r="363" spans="1:12">
      <c r="A363" s="244">
        <v>9955</v>
      </c>
      <c r="B363" t="s">
        <v>469</v>
      </c>
      <c r="C363" s="229">
        <f>IFERROR(GETPIVOTDATA("Sum of qty",PT!$A$17,"product",A363,"FL/AZ","AZ"),0)</f>
        <v>8</v>
      </c>
      <c r="D363" s="126">
        <v>270</v>
      </c>
      <c r="E363" s="18">
        <f t="shared" si="88"/>
        <v>2160</v>
      </c>
      <c r="F363" s="2"/>
      <c r="G363" s="1">
        <f>IFERROR(VLOOKUP(ROUND(A363,0),'[2]Alameda Capitalization'!$A:$M,13,0),0)</f>
        <v>2.60876254305624</v>
      </c>
      <c r="H363" s="2">
        <f>G363*C363</f>
        <v>20.87010034444992</v>
      </c>
      <c r="I363" s="326">
        <f>C363-IFERROR(VLOOKUP(A363,'[1]AZ DL&amp;OH FG'!$A:$F,3,0),0)</f>
        <v>3</v>
      </c>
      <c r="J363" s="326">
        <f t="shared" si="91"/>
        <v>810</v>
      </c>
      <c r="K363" s="2"/>
      <c r="L363" s="2"/>
    </row>
    <row r="364" spans="1:12">
      <c r="A364" s="4" t="s">
        <v>1742</v>
      </c>
      <c r="B364" t="s">
        <v>1743</v>
      </c>
      <c r="C364" s="229">
        <f>IFERROR(GETPIVOTDATA("Sum of qty",PT!$A$17,"product",A364,"FL/AZ","AZ"),0)</f>
        <v>0</v>
      </c>
      <c r="D364" s="125">
        <v>4</v>
      </c>
      <c r="E364" s="18">
        <f t="shared" si="84"/>
        <v>0</v>
      </c>
      <c r="F364" s="2"/>
      <c r="G364" s="1">
        <f>IFERROR(VLOOKUP(ROUND(A364,0),'[2]Alameda Capitalization'!$A:$M,13,0),0)</f>
        <v>0</v>
      </c>
      <c r="H364" s="2">
        <f t="shared" si="87"/>
        <v>0</v>
      </c>
      <c r="I364" s="326">
        <f>C364-IFERROR(VLOOKUP(A364,'[1]AZ DL&amp;OH FG'!$A:$F,3,0),0)</f>
        <v>0</v>
      </c>
      <c r="J364" s="326">
        <f t="shared" si="82"/>
        <v>0</v>
      </c>
      <c r="K364" s="2"/>
      <c r="L364" s="2"/>
    </row>
    <row r="365" spans="1:12">
      <c r="A365" s="4" t="s">
        <v>312</v>
      </c>
      <c r="B365" t="s">
        <v>1744</v>
      </c>
      <c r="C365" s="229">
        <f>IFERROR(GETPIVOTDATA("Sum of qty",PT!$A$17,"product",A365,"FL/AZ","AZ"),0)</f>
        <v>571</v>
      </c>
      <c r="D365" s="125">
        <v>4</v>
      </c>
      <c r="E365" s="18">
        <f t="shared" si="84"/>
        <v>2284</v>
      </c>
      <c r="F365" s="2">
        <f>E365</f>
        <v>2284</v>
      </c>
      <c r="G365" s="1">
        <f>IFERROR(VLOOKUP(ROUND(A365,0),'[2]Alameda Capitalization'!$A:$M,13,0),0)</f>
        <v>0</v>
      </c>
      <c r="H365" s="2">
        <f t="shared" si="87"/>
        <v>0</v>
      </c>
      <c r="I365" s="326">
        <f>C365-IFERROR(VLOOKUP(A365,'[1]AZ DL&amp;OH FG'!$A:$F,3,0),0)</f>
        <v>235</v>
      </c>
      <c r="J365" s="326">
        <f t="shared" si="82"/>
        <v>940</v>
      </c>
      <c r="K365" s="2"/>
      <c r="L365" s="2"/>
    </row>
    <row r="366" spans="1:12">
      <c r="A366" s="4" t="s">
        <v>1745</v>
      </c>
      <c r="B366" t="s">
        <v>1744</v>
      </c>
      <c r="C366" s="229">
        <f>IFERROR(GETPIVOTDATA("Sum of qty",PT!$A$17,"product",A366,"FL/AZ","AZ"),0)</f>
        <v>0</v>
      </c>
      <c r="D366" s="125">
        <v>4</v>
      </c>
      <c r="E366" s="18">
        <f t="shared" si="84"/>
        <v>0</v>
      </c>
      <c r="F366" s="2">
        <f>E366</f>
        <v>0</v>
      </c>
      <c r="G366" s="1">
        <f>IFERROR(VLOOKUP(ROUND(A366,0),'[2]Alameda Capitalization'!$A:$M,13,0),0)</f>
        <v>0</v>
      </c>
      <c r="H366" s="2">
        <f t="shared" si="87"/>
        <v>0</v>
      </c>
      <c r="I366" s="326">
        <f>C366-IFERROR(VLOOKUP(A366,'[1]AZ DL&amp;OH FG'!$A:$F,3,0),0)</f>
        <v>0</v>
      </c>
      <c r="J366" s="326">
        <f t="shared" si="82"/>
        <v>0</v>
      </c>
      <c r="K366" s="2"/>
      <c r="L366" s="2"/>
    </row>
    <row r="367" spans="1:12">
      <c r="A367" s="4" t="s">
        <v>1746</v>
      </c>
      <c r="B367" t="s">
        <v>89</v>
      </c>
      <c r="C367" s="229">
        <f>IFERROR(GETPIVOTDATA("Sum of qty",PT!$A$17,"product",A367,"FL/AZ","AZ"),0)</f>
        <v>0</v>
      </c>
      <c r="D367" s="125">
        <v>3</v>
      </c>
      <c r="E367" s="18">
        <f t="shared" si="84"/>
        <v>0</v>
      </c>
      <c r="F367" s="2"/>
      <c r="G367" s="1">
        <f>IFERROR(VLOOKUP(ROUND(A367,0),'[2]Alameda Capitalization'!$A:$M,13,0),0)</f>
        <v>0</v>
      </c>
      <c r="H367" s="2">
        <f t="shared" si="87"/>
        <v>0</v>
      </c>
      <c r="I367" s="326">
        <f>C367-IFERROR(VLOOKUP(A367,'[1]AZ DL&amp;OH FG'!$A:$F,3,0),0)</f>
        <v>0</v>
      </c>
      <c r="J367" s="326">
        <f t="shared" si="82"/>
        <v>0</v>
      </c>
      <c r="K367" s="2"/>
      <c r="L367" s="2"/>
    </row>
    <row r="368" spans="1:12">
      <c r="A368" s="159" t="s">
        <v>1747</v>
      </c>
      <c r="B368" t="s">
        <v>111</v>
      </c>
      <c r="C368" s="229">
        <f>IFERROR(GETPIVOTDATA("Sum of qty",PT!$A$17,"product",A368,"FL/AZ","AZ"),0)</f>
        <v>0</v>
      </c>
      <c r="D368" s="125">
        <v>3</v>
      </c>
      <c r="E368" s="18">
        <f t="shared" si="84"/>
        <v>0</v>
      </c>
      <c r="F368" s="2"/>
      <c r="G368" s="1">
        <f>IFERROR(VLOOKUP(ROUND(A368,0),'[2]Alameda Capitalization'!$A:$M,13,0),0)</f>
        <v>0</v>
      </c>
      <c r="H368" s="2">
        <f t="shared" si="87"/>
        <v>0</v>
      </c>
      <c r="I368" s="326">
        <f>C368-IFERROR(VLOOKUP(A368,'[1]AZ DL&amp;OH FG'!$A:$F,3,0),0)</f>
        <v>0</v>
      </c>
      <c r="J368" s="326">
        <f t="shared" si="82"/>
        <v>0</v>
      </c>
      <c r="K368" s="2"/>
      <c r="L368" s="2"/>
    </row>
    <row r="369" spans="1:12">
      <c r="A369" s="4" t="s">
        <v>1748</v>
      </c>
      <c r="B369" t="s">
        <v>111</v>
      </c>
      <c r="C369" s="229">
        <f>IFERROR(GETPIVOTDATA("Sum of qty",PT!$A$17,"product",A369,"FL/AZ","AZ"),0)</f>
        <v>0</v>
      </c>
      <c r="D369" s="125">
        <v>3</v>
      </c>
      <c r="E369" s="18">
        <f t="shared" si="84"/>
        <v>0</v>
      </c>
      <c r="F369" s="2"/>
      <c r="G369" s="1">
        <f>IFERROR(VLOOKUP(ROUND(A369,0),'[2]Alameda Capitalization'!$A:$M,13,0),0)</f>
        <v>0</v>
      </c>
      <c r="H369" s="2">
        <f t="shared" si="87"/>
        <v>0</v>
      </c>
      <c r="I369" s="326">
        <f>C369-IFERROR(VLOOKUP(A369,'[1]AZ DL&amp;OH FG'!$A:$F,3,0),0)</f>
        <v>0</v>
      </c>
      <c r="J369" s="326">
        <f t="shared" si="82"/>
        <v>0</v>
      </c>
      <c r="K369" s="2"/>
      <c r="L369" s="2"/>
    </row>
    <row r="370" spans="1:12">
      <c r="A370" s="4" t="s">
        <v>1749</v>
      </c>
      <c r="B370" t="s">
        <v>1750</v>
      </c>
      <c r="C370" s="229">
        <f>IFERROR(GETPIVOTDATA("Sum of qty",PT!$A$17,"product",A370,"FL/AZ","AZ"),0)</f>
        <v>0</v>
      </c>
      <c r="D370" s="125">
        <v>3.8437999999999999</v>
      </c>
      <c r="E370" s="18">
        <f t="shared" si="84"/>
        <v>0</v>
      </c>
      <c r="F370" s="2">
        <f>E370</f>
        <v>0</v>
      </c>
      <c r="G370" s="1">
        <f>IFERROR(VLOOKUP(ROUND(A370,0),'[2]Alameda Capitalization'!$A:$M,13,0),0)</f>
        <v>0</v>
      </c>
      <c r="H370" s="2">
        <f t="shared" si="87"/>
        <v>0</v>
      </c>
      <c r="I370" s="326">
        <f>C370-IFERROR(VLOOKUP(A370,'[1]AZ DL&amp;OH FG'!$A:$F,3,0),0)</f>
        <v>0</v>
      </c>
      <c r="J370" s="326">
        <f t="shared" si="82"/>
        <v>0</v>
      </c>
      <c r="K370" s="2"/>
      <c r="L370" s="2"/>
    </row>
    <row r="371" spans="1:12">
      <c r="A371" s="4" t="s">
        <v>1751</v>
      </c>
      <c r="B371" t="s">
        <v>1561</v>
      </c>
      <c r="C371" s="229">
        <f>IFERROR(GETPIVOTDATA("Sum of qty",PT!$A$17,"product",A371,"FL/AZ","AZ"),0)</f>
        <v>0</v>
      </c>
      <c r="D371" s="125">
        <v>4</v>
      </c>
      <c r="E371" s="18">
        <f t="shared" si="84"/>
        <v>0</v>
      </c>
      <c r="F371" s="2"/>
      <c r="G371" s="1">
        <f>IFERROR(VLOOKUP(ROUND(A371,0),'[2]Alameda Capitalization'!$A:$M,13,0),0)</f>
        <v>0</v>
      </c>
      <c r="H371" s="2">
        <f t="shared" si="87"/>
        <v>0</v>
      </c>
      <c r="I371" s="326">
        <f>C371-IFERROR(VLOOKUP(A371,'[1]AZ DL&amp;OH FG'!$A:$F,3,0),0)</f>
        <v>0</v>
      </c>
      <c r="J371" s="326">
        <f t="shared" si="82"/>
        <v>0</v>
      </c>
      <c r="K371" s="2"/>
      <c r="L371" s="2"/>
    </row>
    <row r="372" spans="1:12">
      <c r="A372" s="4" t="s">
        <v>369</v>
      </c>
      <c r="B372" t="s">
        <v>370</v>
      </c>
      <c r="C372" s="229">
        <f>IFERROR(GETPIVOTDATA("Sum of qty",PT!$A$17,"product",A372,"FL/AZ","AZ"),0)</f>
        <v>144</v>
      </c>
      <c r="D372" s="125">
        <v>4</v>
      </c>
      <c r="E372" s="18">
        <f t="shared" si="84"/>
        <v>576</v>
      </c>
      <c r="F372" s="2">
        <f>E372</f>
        <v>576</v>
      </c>
      <c r="G372" s="1">
        <f>IFERROR(VLOOKUP(ROUND(A372,0),'[2]Alameda Capitalization'!$A:$M,13,0),0)</f>
        <v>0</v>
      </c>
      <c r="H372" s="2">
        <f t="shared" si="87"/>
        <v>0</v>
      </c>
      <c r="I372" s="326">
        <f>C372-IFERROR(VLOOKUP(A372,'[1]AZ DL&amp;OH FG'!$A:$F,3,0),0)</f>
        <v>85</v>
      </c>
      <c r="J372" s="326">
        <f t="shared" si="82"/>
        <v>340</v>
      </c>
      <c r="K372" s="2"/>
      <c r="L372" s="2"/>
    </row>
    <row r="373" spans="1:12">
      <c r="A373" s="4" t="s">
        <v>1752</v>
      </c>
      <c r="B373" t="s">
        <v>1753</v>
      </c>
      <c r="C373" s="229">
        <f>IFERROR(GETPIVOTDATA("Sum of qty",PT!$A$17,"product",A373,"FL/AZ","AZ"),0)</f>
        <v>0</v>
      </c>
      <c r="D373" s="125">
        <v>4</v>
      </c>
      <c r="E373" s="18">
        <f t="shared" si="84"/>
        <v>0</v>
      </c>
      <c r="F373" s="2"/>
      <c r="G373" s="1">
        <f>IFERROR(VLOOKUP(ROUND(A373,0),'[2]Alameda Capitalization'!$A:$M,13,0),0)</f>
        <v>0</v>
      </c>
      <c r="H373" s="2">
        <f t="shared" si="87"/>
        <v>0</v>
      </c>
      <c r="I373" s="326">
        <f>C373-IFERROR(VLOOKUP(A373,'[1]AZ DL&amp;OH FG'!$A:$F,3,0),0)</f>
        <v>0</v>
      </c>
      <c r="J373" s="326">
        <f t="shared" si="82"/>
        <v>0</v>
      </c>
      <c r="K373" s="2"/>
      <c r="L373" s="2"/>
    </row>
    <row r="374" spans="1:12">
      <c r="A374" s="4" t="s">
        <v>1754</v>
      </c>
      <c r="B374" t="s">
        <v>1755</v>
      </c>
      <c r="C374" s="229">
        <f>IFERROR(GETPIVOTDATA("Sum of qty",PT!$A$17,"product",A374,"FL/AZ","AZ"),0)</f>
        <v>0</v>
      </c>
      <c r="D374" s="125">
        <v>4</v>
      </c>
      <c r="E374" s="18">
        <f t="shared" si="84"/>
        <v>0</v>
      </c>
      <c r="F374" s="2">
        <f>E374</f>
        <v>0</v>
      </c>
      <c r="G374" s="1">
        <f>IFERROR(VLOOKUP(ROUND(A374,0),'[2]Alameda Capitalization'!$A:$M,13,0),0)</f>
        <v>0</v>
      </c>
      <c r="H374" s="2">
        <f t="shared" si="87"/>
        <v>0</v>
      </c>
      <c r="I374" s="326">
        <f>C374-IFERROR(VLOOKUP(A374,'[1]AZ DL&amp;OH FG'!$A:$F,3,0),0)</f>
        <v>0</v>
      </c>
      <c r="J374" s="326">
        <f t="shared" si="82"/>
        <v>0</v>
      </c>
      <c r="K374" s="2"/>
      <c r="L374" s="2"/>
    </row>
    <row r="375" spans="1:12">
      <c r="A375" s="4" t="s">
        <v>1756</v>
      </c>
      <c r="B375" t="s">
        <v>637</v>
      </c>
      <c r="C375" s="229">
        <f>IFERROR(GETPIVOTDATA("Sum of qty",PT!$A$17,"product",A375,"FL/AZ","AZ"),0)</f>
        <v>0</v>
      </c>
      <c r="D375" s="125">
        <v>3</v>
      </c>
      <c r="E375" s="18">
        <f t="shared" si="84"/>
        <v>0</v>
      </c>
      <c r="F375" s="2"/>
      <c r="G375" s="1">
        <f>IFERROR(VLOOKUP(ROUND(A375,0),'[2]Alameda Capitalization'!$A:$M,13,0),0)</f>
        <v>0</v>
      </c>
      <c r="H375" s="2">
        <f t="shared" si="87"/>
        <v>0</v>
      </c>
      <c r="I375" s="326">
        <f>C375-IFERROR(VLOOKUP(A375,'[1]AZ DL&amp;OH FG'!$A:$F,3,0),0)</f>
        <v>0</v>
      </c>
      <c r="J375" s="326">
        <f t="shared" si="82"/>
        <v>0</v>
      </c>
      <c r="K375" s="2"/>
      <c r="L375" s="2"/>
    </row>
    <row r="376" spans="1:12">
      <c r="A376" s="4" t="s">
        <v>1757</v>
      </c>
      <c r="B376" t="s">
        <v>1758</v>
      </c>
      <c r="C376" s="229">
        <f>IFERROR(GETPIVOTDATA("Sum of qty",PT!$A$17,"product",A376,"FL/AZ","AZ"),0)</f>
        <v>0</v>
      </c>
      <c r="D376" s="125">
        <v>3</v>
      </c>
      <c r="E376" s="18">
        <f t="shared" si="84"/>
        <v>0</v>
      </c>
      <c r="F376" s="2"/>
      <c r="G376" s="1">
        <f>IFERROR(VLOOKUP(ROUND(A376,0),'[2]Alameda Capitalization'!$A:$M,13,0),0)</f>
        <v>0</v>
      </c>
      <c r="H376" s="2">
        <f t="shared" si="87"/>
        <v>0</v>
      </c>
      <c r="I376" s="326">
        <f>C376-IFERROR(VLOOKUP(A376,'[1]AZ DL&amp;OH FG'!$A:$F,3,0),0)</f>
        <v>0</v>
      </c>
      <c r="J376" s="326">
        <f t="shared" si="82"/>
        <v>0</v>
      </c>
      <c r="K376" s="2"/>
      <c r="L376" s="2"/>
    </row>
    <row r="377" spans="1:12">
      <c r="A377" s="4" t="s">
        <v>1759</v>
      </c>
      <c r="B377" t="s">
        <v>1760</v>
      </c>
      <c r="C377" s="229">
        <f>IFERROR(GETPIVOTDATA("Sum of qty",PT!$A$17,"product",A377,"FL/AZ","AZ"),0)</f>
        <v>0</v>
      </c>
      <c r="D377" s="125">
        <v>3</v>
      </c>
      <c r="E377" s="18">
        <f t="shared" si="84"/>
        <v>0</v>
      </c>
      <c r="F377" s="2"/>
      <c r="G377" s="1">
        <f>IFERROR(VLOOKUP(ROUND(A377,0),'[2]Alameda Capitalization'!$A:$M,13,0),0)</f>
        <v>0</v>
      </c>
      <c r="H377" s="2">
        <f t="shared" si="87"/>
        <v>0</v>
      </c>
      <c r="I377" s="326">
        <f>C377-IFERROR(VLOOKUP(A377,'[1]AZ DL&amp;OH FG'!$A:$F,3,0),0)</f>
        <v>0</v>
      </c>
      <c r="J377" s="326">
        <f t="shared" si="82"/>
        <v>0</v>
      </c>
      <c r="K377" s="2"/>
      <c r="L377" s="2"/>
    </row>
    <row r="378" spans="1:12">
      <c r="A378" s="4" t="s">
        <v>1761</v>
      </c>
      <c r="B378" t="s">
        <v>1762</v>
      </c>
      <c r="C378" s="229">
        <f>IFERROR(GETPIVOTDATA("Sum of qty",PT!$A$17,"product",A378,"FL/AZ","AZ"),0)</f>
        <v>0</v>
      </c>
      <c r="D378" s="125">
        <v>4</v>
      </c>
      <c r="E378" s="18">
        <f t="shared" si="84"/>
        <v>0</v>
      </c>
      <c r="F378" s="2"/>
      <c r="G378" s="1">
        <f>IFERROR(VLOOKUP(ROUND(A378,0),'[2]Alameda Capitalization'!$A:$M,13,0),0)</f>
        <v>0</v>
      </c>
      <c r="H378" s="2">
        <f t="shared" si="87"/>
        <v>0</v>
      </c>
      <c r="I378" s="326">
        <f>C378-IFERROR(VLOOKUP(A378,'[1]AZ DL&amp;OH FG'!$A:$F,3,0),0)</f>
        <v>0</v>
      </c>
      <c r="J378" s="326">
        <f t="shared" si="82"/>
        <v>0</v>
      </c>
      <c r="K378" s="2"/>
      <c r="L378" s="2"/>
    </row>
    <row r="379" spans="1:12">
      <c r="A379" s="4" t="s">
        <v>1763</v>
      </c>
      <c r="B379" t="s">
        <v>27</v>
      </c>
      <c r="C379" s="229">
        <f>IFERROR(GETPIVOTDATA("Sum of qty",PT!$A$17,"product",A379,"FL/AZ","AZ"),0)</f>
        <v>0</v>
      </c>
      <c r="D379" s="125">
        <v>4</v>
      </c>
      <c r="E379" s="18">
        <f t="shared" si="84"/>
        <v>0</v>
      </c>
      <c r="F379" s="2"/>
      <c r="G379" s="1">
        <f>IFERROR(VLOOKUP(ROUND(A379,0),'[2]Alameda Capitalization'!$A:$M,13,0),0)</f>
        <v>0</v>
      </c>
      <c r="H379" s="2">
        <f t="shared" si="87"/>
        <v>0</v>
      </c>
      <c r="I379" s="326">
        <f>C379-IFERROR(VLOOKUP(A379,'[1]AZ DL&amp;OH FG'!$A:$F,3,0),0)</f>
        <v>0</v>
      </c>
      <c r="J379" s="326">
        <f t="shared" si="82"/>
        <v>0</v>
      </c>
      <c r="K379" s="2"/>
      <c r="L379" s="2"/>
    </row>
    <row r="380" spans="1:12">
      <c r="A380" s="4" t="s">
        <v>1764</v>
      </c>
      <c r="B380" t="s">
        <v>1765</v>
      </c>
      <c r="C380" s="229">
        <f>IFERROR(GETPIVOTDATA("Sum of qty",PT!$A$17,"product",A380,"FL/AZ","AZ"),0)</f>
        <v>0</v>
      </c>
      <c r="D380" s="125">
        <v>4</v>
      </c>
      <c r="E380" s="18">
        <f t="shared" si="84"/>
        <v>0</v>
      </c>
      <c r="F380" s="2">
        <f>E380</f>
        <v>0</v>
      </c>
      <c r="G380" s="1">
        <f>IFERROR(VLOOKUP(ROUND(A380,0),'[2]Alameda Capitalization'!$A:$M,13,0),0)</f>
        <v>0</v>
      </c>
      <c r="H380" s="2">
        <f t="shared" si="87"/>
        <v>0</v>
      </c>
      <c r="I380" s="326">
        <f>C380-IFERROR(VLOOKUP(A380,'[1]AZ DL&amp;OH FG'!$A:$F,3,0),0)</f>
        <v>0</v>
      </c>
      <c r="J380" s="326">
        <f t="shared" si="82"/>
        <v>0</v>
      </c>
      <c r="K380" s="2"/>
      <c r="L380" s="2"/>
    </row>
    <row r="381" spans="1:12">
      <c r="A381" s="4" t="s">
        <v>1766</v>
      </c>
      <c r="B381" t="s">
        <v>1767</v>
      </c>
      <c r="C381" s="229">
        <f>IFERROR(GETPIVOTDATA("Sum of qty",PT!$A$17,"product",A381,"FL/AZ","AZ"),0)</f>
        <v>0</v>
      </c>
      <c r="D381" s="125">
        <v>0.1129</v>
      </c>
      <c r="E381" s="18">
        <f t="shared" si="84"/>
        <v>0</v>
      </c>
      <c r="F381" s="2"/>
      <c r="G381" s="1">
        <f>IFERROR(VLOOKUP(ROUND(A381,0),'[2]Alameda Capitalization'!$A:$M,13,0),0)</f>
        <v>0</v>
      </c>
      <c r="H381" s="2">
        <f t="shared" si="87"/>
        <v>0</v>
      </c>
      <c r="I381" s="326">
        <f>C381-IFERROR(VLOOKUP(A381,'[1]AZ DL&amp;OH FG'!$A:$F,3,0),0)</f>
        <v>0</v>
      </c>
      <c r="J381" s="326">
        <f t="shared" si="82"/>
        <v>0</v>
      </c>
      <c r="K381" s="2"/>
      <c r="L381" s="2"/>
    </row>
    <row r="382" spans="1:12">
      <c r="A382" s="4" t="s">
        <v>1768</v>
      </c>
      <c r="B382" t="s">
        <v>1769</v>
      </c>
      <c r="C382" s="229">
        <f>IFERROR(GETPIVOTDATA("Sum of qty",PT!$A$17,"product",A382,"FL/AZ","AZ"),0)</f>
        <v>0</v>
      </c>
      <c r="D382" s="125">
        <v>0.1129</v>
      </c>
      <c r="E382" s="18">
        <f t="shared" si="84"/>
        <v>0</v>
      </c>
      <c r="F382" s="2"/>
      <c r="G382" s="1">
        <f>IFERROR(VLOOKUP(ROUND(A382,0),'[2]Alameda Capitalization'!$A:$M,13,0),0)</f>
        <v>0</v>
      </c>
      <c r="H382" s="2">
        <f>G382*C382</f>
        <v>0</v>
      </c>
      <c r="I382" s="326">
        <f>C382-IFERROR(VLOOKUP(A382,'[1]AZ DL&amp;OH FG'!$A:$F,3,0),0)</f>
        <v>0</v>
      </c>
      <c r="J382" s="326">
        <f>I382*D382</f>
        <v>0</v>
      </c>
      <c r="K382" s="2"/>
      <c r="L382" s="2"/>
    </row>
    <row r="383" spans="1:12">
      <c r="A383" s="4" t="s">
        <v>1770</v>
      </c>
      <c r="B383" t="s">
        <v>1771</v>
      </c>
      <c r="C383" s="229">
        <f>IFERROR(GETPIVOTDATA("Sum of qty",PT!$A$17,"product",A383,"FL/AZ","AZ"),0)</f>
        <v>0</v>
      </c>
      <c r="D383" s="125">
        <v>0.1129</v>
      </c>
      <c r="E383" s="18">
        <f t="shared" si="84"/>
        <v>0</v>
      </c>
      <c r="F383" s="2"/>
      <c r="G383" s="1">
        <f>IFERROR(VLOOKUP(ROUND(A383,0),'[2]Alameda Capitalization'!$A:$M,13,0),0)</f>
        <v>0</v>
      </c>
      <c r="H383" s="2">
        <f>G383*C383</f>
        <v>0</v>
      </c>
      <c r="I383" s="326">
        <f>C383-IFERROR(VLOOKUP(A383,'[1]AZ DL&amp;OH FG'!$A:$F,3,0),0)</f>
        <v>0</v>
      </c>
      <c r="J383" s="326">
        <f t="shared" si="82"/>
        <v>0</v>
      </c>
      <c r="K383" s="2"/>
      <c r="L383" s="2"/>
    </row>
    <row r="384" spans="1:12">
      <c r="A384" s="4" t="s">
        <v>1772</v>
      </c>
      <c r="B384" t="s">
        <v>1773</v>
      </c>
      <c r="C384" s="229">
        <f>IFERROR(GETPIVOTDATA("Sum of qty",PT!$A$17,"product",A384,"FL/AZ","AZ"),0)</f>
        <v>0</v>
      </c>
      <c r="D384" s="125">
        <v>0.1129</v>
      </c>
      <c r="E384" s="18">
        <f t="shared" si="84"/>
        <v>0</v>
      </c>
      <c r="F384" s="2">
        <v>0</v>
      </c>
      <c r="G384" s="1">
        <f>IFERROR(VLOOKUP(ROUND(A384,0),'[2]Alameda Capitalization'!$A:$M,13,0),0)</f>
        <v>0</v>
      </c>
      <c r="H384" s="2">
        <f t="shared" si="87"/>
        <v>0</v>
      </c>
      <c r="I384" s="326">
        <f>C384-IFERROR(VLOOKUP(A384,'[1]AZ DL&amp;OH FG'!$A:$F,3,0),0)</f>
        <v>0</v>
      </c>
      <c r="J384" s="326">
        <f t="shared" si="82"/>
        <v>0</v>
      </c>
      <c r="K384" s="2"/>
      <c r="L384" s="2"/>
    </row>
    <row r="385" spans="1:12">
      <c r="A385" s="4" t="s">
        <v>1774</v>
      </c>
      <c r="B385" t="s">
        <v>1775</v>
      </c>
      <c r="C385" s="229">
        <f>IFERROR(GETPIVOTDATA("Sum of qty",PT!$A$17,"product",A385,"FL/AZ","AZ"),0)</f>
        <v>0</v>
      </c>
      <c r="D385" s="125">
        <v>0.1129</v>
      </c>
      <c r="E385" s="18">
        <f>C385*D385</f>
        <v>0</v>
      </c>
      <c r="F385" s="2"/>
      <c r="G385" s="1">
        <f>IFERROR(VLOOKUP(ROUND(A385,0),'[2]Alameda Capitalization'!$A:$M,13,0),0)</f>
        <v>0</v>
      </c>
      <c r="H385" s="2">
        <f>G385*C385</f>
        <v>0</v>
      </c>
      <c r="I385" s="326">
        <f>C385-IFERROR(VLOOKUP(A385,'[1]AZ DL&amp;OH FG'!$A:$F,3,0),0)</f>
        <v>0</v>
      </c>
      <c r="J385" s="326">
        <f t="shared" si="82"/>
        <v>0</v>
      </c>
      <c r="K385" s="2"/>
      <c r="L385" s="2"/>
    </row>
    <row r="386" spans="1:12">
      <c r="A386" s="4"/>
      <c r="F386" s="2"/>
    </row>
    <row r="387" spans="1:12" s="25" customFormat="1">
      <c r="A387" s="24"/>
      <c r="B387" s="15" t="s">
        <v>1776</v>
      </c>
      <c r="C387" s="14">
        <f>SUM(C7:C385)</f>
        <v>112495.76999999999</v>
      </c>
      <c r="D387" s="42"/>
      <c r="F387" s="26"/>
      <c r="G387"/>
      <c r="H387"/>
      <c r="I387" s="327"/>
      <c r="J387" s="327"/>
    </row>
    <row r="388" spans="1:12" ht="13.5" thickBot="1">
      <c r="A388" s="4"/>
      <c r="B388" s="15" t="s">
        <v>1777</v>
      </c>
      <c r="C388" s="18" t="s">
        <v>1133</v>
      </c>
      <c r="D388" s="43"/>
      <c r="E388" s="13">
        <f>SUM(E7:E385)</f>
        <v>253052.14557499997</v>
      </c>
      <c r="F388" s="13">
        <f>SUM(F7:F385)</f>
        <v>62600.601674999998</v>
      </c>
      <c r="H388" s="312">
        <f>SUM(H7:H387)</f>
        <v>14845.360870599294</v>
      </c>
      <c r="J388" s="328">
        <f>SUM(J7:J385)</f>
        <v>15067.9699375</v>
      </c>
      <c r="K388" s="15" t="s">
        <v>1778</v>
      </c>
    </row>
    <row r="389" spans="1:12">
      <c r="A389" s="4"/>
      <c r="E389" s="1"/>
      <c r="F389" s="2"/>
      <c r="H389" s="274">
        <v>14017.520147285142</v>
      </c>
    </row>
    <row r="390" spans="1:12" ht="13.5" thickBot="1">
      <c r="A390" s="4"/>
      <c r="B390" t="s">
        <v>1779</v>
      </c>
      <c r="E390" s="1">
        <f>'[4]2024'!$S$41</f>
        <v>1.6517687712885343</v>
      </c>
      <c r="F390" s="2" t="s">
        <v>1133</v>
      </c>
      <c r="G390" s="15" t="s">
        <v>2790</v>
      </c>
      <c r="H390" s="10">
        <f>H388-H389</f>
        <v>827.84072331415155</v>
      </c>
      <c r="K390" s="157"/>
    </row>
    <row r="391" spans="1:12" ht="13.5" thickBot="1">
      <c r="A391" s="4"/>
      <c r="B391" s="15" t="s">
        <v>1780</v>
      </c>
      <c r="E391" s="395">
        <f>E388*E390</f>
        <v>417983.63156834501</v>
      </c>
      <c r="F391"/>
      <c r="J391" s="331"/>
      <c r="K391" s="157"/>
    </row>
    <row r="392" spans="1:12" ht="15" customHeight="1">
      <c r="E392" s="274">
        <v>393094.8293788681</v>
      </c>
      <c r="F392" s="384"/>
      <c r="G392" s="385"/>
      <c r="I392" s="386"/>
      <c r="J392" s="387"/>
      <c r="K392" s="157"/>
    </row>
    <row r="393" spans="1:12" ht="15" customHeight="1">
      <c r="B393" s="157"/>
      <c r="D393" s="157" t="s">
        <v>811</v>
      </c>
      <c r="E393" s="14">
        <f>E391-E392</f>
        <v>24888.802189476904</v>
      </c>
      <c r="F393" s="384"/>
      <c r="G393" s="385"/>
      <c r="I393" s="386"/>
      <c r="J393" s="388"/>
      <c r="K393" s="157"/>
    </row>
    <row r="394" spans="1:12" ht="15" customHeight="1">
      <c r="J394" s="331"/>
    </row>
    <row r="395" spans="1:12">
      <c r="C395" s="96" t="s">
        <v>1781</v>
      </c>
      <c r="D395" s="44" t="s">
        <v>1782</v>
      </c>
      <c r="E395" s="145">
        <f>+'AZ WIP'!K211</f>
        <v>45838</v>
      </c>
      <c r="F395" s="146">
        <f>+'AZ WIP'!K210</f>
        <v>45869</v>
      </c>
      <c r="G395" s="27" t="s">
        <v>811</v>
      </c>
      <c r="J395" s="331"/>
      <c r="K395" s="315"/>
    </row>
    <row r="396" spans="1:12">
      <c r="A396" s="439" t="s">
        <v>1783</v>
      </c>
      <c r="B396" s="439"/>
      <c r="C396" s="2">
        <f>SUM(E206:E269)</f>
        <v>57636.668899999997</v>
      </c>
      <c r="D396" s="169">
        <f>'AZ WIP'!G43</f>
        <v>0</v>
      </c>
      <c r="E396" s="127">
        <v>0</v>
      </c>
      <c r="F396" s="267">
        <f>C396*D396</f>
        <v>0</v>
      </c>
      <c r="G396" s="18">
        <f>F396-E396</f>
        <v>0</v>
      </c>
      <c r="H396" s="15"/>
      <c r="L396" s="315"/>
    </row>
    <row r="397" spans="1:12">
      <c r="A397" s="439" t="s">
        <v>1784</v>
      </c>
      <c r="B397" s="439"/>
      <c r="C397" s="2">
        <f>SUM(E93:E158)+SUM(E293:E357)+SUM(E368:E377)</f>
        <v>119877.9823</v>
      </c>
      <c r="D397" s="169">
        <f>'AZ WIP'!G13</f>
        <v>0</v>
      </c>
      <c r="E397" s="127">
        <v>0</v>
      </c>
      <c r="F397" s="267">
        <f>C397*D397</f>
        <v>0</v>
      </c>
      <c r="G397" s="18">
        <f>F397-E397</f>
        <v>0</v>
      </c>
      <c r="H397" s="15"/>
      <c r="I397" s="329"/>
    </row>
    <row r="398" spans="1:12">
      <c r="A398" s="439" t="s">
        <v>1785</v>
      </c>
      <c r="B398" s="439"/>
      <c r="C398" s="2">
        <f>SUM(E172:E204)</f>
        <v>57790.322500000002</v>
      </c>
      <c r="D398" s="169">
        <f>'AZ WIP'!G24</f>
        <v>0</v>
      </c>
      <c r="E398" s="127">
        <v>0</v>
      </c>
      <c r="F398" s="267">
        <f>C398*D398</f>
        <v>0</v>
      </c>
      <c r="G398" s="18">
        <f t="shared" ref="G398:G400" si="92">F398-E398</f>
        <v>0</v>
      </c>
      <c r="H398" s="15"/>
      <c r="J398" s="241"/>
    </row>
    <row r="399" spans="1:12">
      <c r="A399" s="439" t="s">
        <v>1786</v>
      </c>
      <c r="B399" s="439"/>
      <c r="C399" s="2">
        <f>SUM(E270:E292)</f>
        <v>2439.796875</v>
      </c>
      <c r="D399" s="169">
        <f>'AZ WIP'!G48</f>
        <v>0</v>
      </c>
      <c r="E399" s="127">
        <v>0</v>
      </c>
      <c r="F399" s="267">
        <f>C399*D399</f>
        <v>0</v>
      </c>
      <c r="G399" s="18">
        <f t="shared" si="92"/>
        <v>0</v>
      </c>
      <c r="H399" s="15"/>
    </row>
    <row r="400" spans="1:12">
      <c r="A400" s="439" t="s">
        <v>1787</v>
      </c>
      <c r="B400" s="439"/>
      <c r="C400" s="116">
        <f>+SUM(E9:E86)</f>
        <v>8007.375</v>
      </c>
      <c r="D400" s="311">
        <v>0.7</v>
      </c>
      <c r="E400" s="128">
        <v>8236.18359375</v>
      </c>
      <c r="F400" s="268">
        <f>C400*D400</f>
        <v>5605.1624999999995</v>
      </c>
      <c r="G400" s="30">
        <f t="shared" si="92"/>
        <v>-2631.0210937500005</v>
      </c>
      <c r="H400" s="15"/>
    </row>
    <row r="401" spans="1:10">
      <c r="B401" t="s">
        <v>1788</v>
      </c>
      <c r="C401" s="8">
        <f>SUM(C396:C400)</f>
        <v>245752.145575</v>
      </c>
      <c r="E401" s="10">
        <f>SUM(E396:E400)</f>
        <v>8236.18359375</v>
      </c>
      <c r="F401" s="273">
        <f>SUM(F396:F400)</f>
        <v>5605.1624999999995</v>
      </c>
      <c r="G401" s="10">
        <f>F401-E401</f>
        <v>-2631.0210937500005</v>
      </c>
      <c r="H401" s="15" t="s">
        <v>2810</v>
      </c>
      <c r="J401" s="330"/>
    </row>
    <row r="404" spans="1:10">
      <c r="C404" s="96" t="s">
        <v>1781</v>
      </c>
      <c r="D404" s="44" t="s">
        <v>1782</v>
      </c>
      <c r="E404" s="145">
        <f>E395</f>
        <v>45838</v>
      </c>
      <c r="F404" s="146">
        <f>F395</f>
        <v>45869</v>
      </c>
      <c r="G404" s="27" t="s">
        <v>811</v>
      </c>
    </row>
    <row r="405" spans="1:10">
      <c r="A405" s="439" t="s">
        <v>1789</v>
      </c>
      <c r="B405" s="439"/>
      <c r="C405" s="2">
        <f>C396</f>
        <v>57636.668899999997</v>
      </c>
      <c r="D405" s="169">
        <f>'AZ WIP'!I43</f>
        <v>0.23799401065250161</v>
      </c>
      <c r="E405" s="127">
        <v>19478.966321133506</v>
      </c>
      <c r="F405" s="267">
        <f>C405*D405</f>
        <v>13717.181992161308</v>
      </c>
      <c r="G405" s="18">
        <f>F405-E405</f>
        <v>-5761.7843289721986</v>
      </c>
    </row>
    <row r="406" spans="1:10">
      <c r="A406" s="439" t="s">
        <v>1790</v>
      </c>
      <c r="B406" s="439"/>
      <c r="C406" s="2">
        <f t="shared" ref="C406:C407" si="93">C397</f>
        <v>119877.9823</v>
      </c>
      <c r="D406" s="169">
        <f>'AZ WIP'!I13</f>
        <v>0.10145187667440933</v>
      </c>
      <c r="E406" s="127">
        <v>9335.7762699685281</v>
      </c>
      <c r="F406" s="267">
        <f>C406*D406</f>
        <v>12161.846276276625</v>
      </c>
      <c r="G406" s="18">
        <f>F406-E406</f>
        <v>2826.0700063080967</v>
      </c>
    </row>
    <row r="407" spans="1:10">
      <c r="A407" s="439" t="s">
        <v>1791</v>
      </c>
      <c r="B407" s="439"/>
      <c r="C407" s="2">
        <f t="shared" si="93"/>
        <v>57790.322500000002</v>
      </c>
      <c r="D407" s="169">
        <f>'AZ WIP'!I120</f>
        <v>5.4606044239203483E-2</v>
      </c>
      <c r="E407" s="127">
        <v>2457.0965906894558</v>
      </c>
      <c r="F407" s="267">
        <f>C407*D407</f>
        <v>3155.7009070328363</v>
      </c>
      <c r="G407" s="18">
        <f t="shared" ref="G407:G408" si="94">F407-E407</f>
        <v>698.60431634338056</v>
      </c>
    </row>
    <row r="408" spans="1:10">
      <c r="A408" s="439" t="s">
        <v>1792</v>
      </c>
      <c r="B408" s="439"/>
      <c r="C408" s="2">
        <f>C399</f>
        <v>2439.796875</v>
      </c>
      <c r="D408" s="169">
        <f>'AZ WIP'!I176</f>
        <v>0.3532699277055325</v>
      </c>
      <c r="E408" s="127">
        <v>1033.3973361779886</v>
      </c>
      <c r="F408" s="267">
        <f>C408*D408</f>
        <v>861.90686564743407</v>
      </c>
      <c r="G408" s="18">
        <f t="shared" si="94"/>
        <v>-171.49047053055449</v>
      </c>
    </row>
    <row r="409" spans="1:10">
      <c r="B409" s="157" t="s">
        <v>1793</v>
      </c>
      <c r="C409" s="270">
        <f>SUM(C405:C408)</f>
        <v>237744.770575</v>
      </c>
      <c r="D409" s="271"/>
      <c r="E409" s="272">
        <f>SUM(E405:E408)</f>
        <v>32305.236517969479</v>
      </c>
      <c r="F409" s="272">
        <f>SUM(F405:F408)</f>
        <v>29896.636041118203</v>
      </c>
      <c r="G409" s="273">
        <f>SUM(G405:G408)</f>
        <v>-2408.6004768512757</v>
      </c>
    </row>
    <row r="410" spans="1:10">
      <c r="G410" s="18"/>
    </row>
  </sheetData>
  <sortState xmlns:xlrd2="http://schemas.microsoft.com/office/spreadsheetml/2017/richdata2" ref="A7:F354">
    <sortCondition ref="A7:A354"/>
  </sortState>
  <mergeCells count="12">
    <mergeCell ref="A405:B405"/>
    <mergeCell ref="A406:B406"/>
    <mergeCell ref="A407:B407"/>
    <mergeCell ref="A408:B408"/>
    <mergeCell ref="A396:B396"/>
    <mergeCell ref="A400:B400"/>
    <mergeCell ref="A399:B399"/>
    <mergeCell ref="A1:F1"/>
    <mergeCell ref="A2:F2"/>
    <mergeCell ref="A3:F3"/>
    <mergeCell ref="A397:B397"/>
    <mergeCell ref="A398:B398"/>
  </mergeCells>
  <phoneticPr fontId="10" type="noConversion"/>
  <conditionalFormatting sqref="J7:J385">
    <cfRule type="top10" dxfId="10" priority="19" rank="10"/>
    <cfRule type="top10" dxfId="9" priority="20" bottom="1" rank="10"/>
  </conditionalFormatting>
  <pageMargins left="0.5" right="0.5" top="0.5" bottom="0.5" header="0.5" footer="0.5"/>
  <pageSetup scale="15" orientation="portrait" horizontalDpi="4294967292"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theme="0"/>
    <pageSetUpPr fitToPage="1"/>
  </sheetPr>
  <dimension ref="A1:N398"/>
  <sheetViews>
    <sheetView zoomScaleNormal="100" workbookViewId="0">
      <pane xSplit="6" ySplit="6" topLeftCell="G369" activePane="bottomRight" state="frozen"/>
      <selection pane="topRight" activeCell="G1" sqref="G1"/>
      <selection pane="bottomLeft" activeCell="A7" sqref="A7"/>
      <selection pane="bottomRight" activeCell="F385" sqref="F385:I385"/>
    </sheetView>
  </sheetViews>
  <sheetFormatPr defaultColWidth="9.140625" defaultRowHeight="12.75"/>
  <cols>
    <col min="1" max="1" width="9.28515625" bestFit="1" customWidth="1"/>
    <col min="2" max="2" width="64.28515625" customWidth="1"/>
    <col min="3" max="3" width="17.7109375" bestFit="1" customWidth="1"/>
    <col min="4" max="4" width="13.42578125" style="9" bestFit="1" customWidth="1"/>
    <col min="5" max="5" width="10.85546875" bestFit="1" customWidth="1"/>
    <col min="6" max="6" width="12.7109375" bestFit="1" customWidth="1"/>
    <col min="7" max="7" width="14.140625" bestFit="1" customWidth="1"/>
    <col min="8" max="8" width="12.42578125" bestFit="1" customWidth="1"/>
    <col min="9" max="9" width="16.5703125" bestFit="1" customWidth="1"/>
    <col min="10" max="10" width="20.42578125" customWidth="1"/>
    <col min="11" max="11" width="10.140625" bestFit="1" customWidth="1"/>
    <col min="12" max="12" width="9.140625" style="221"/>
  </cols>
  <sheetData>
    <row r="1" spans="1:11">
      <c r="A1" s="435" t="s">
        <v>730</v>
      </c>
      <c r="B1" s="435"/>
      <c r="C1" s="435"/>
      <c r="D1" s="435"/>
      <c r="E1" s="435"/>
      <c r="F1" s="435"/>
      <c r="J1" s="240"/>
      <c r="K1" s="240"/>
    </row>
    <row r="2" spans="1:11">
      <c r="A2" s="435" t="s">
        <v>1794</v>
      </c>
      <c r="B2" s="435"/>
      <c r="C2" s="435"/>
      <c r="D2" s="435"/>
      <c r="E2" s="435"/>
      <c r="F2" s="435"/>
      <c r="J2" s="240"/>
      <c r="K2" s="240"/>
    </row>
    <row r="3" spans="1:11">
      <c r="A3" s="435" t="str">
        <f>'FL+AZ - RM'!A3</f>
        <v>As of July 31st 2025</v>
      </c>
      <c r="B3" s="435"/>
      <c r="C3" s="435"/>
      <c r="D3" s="435"/>
      <c r="E3" s="435"/>
      <c r="F3" s="435"/>
      <c r="J3" s="240"/>
      <c r="K3" s="240"/>
    </row>
    <row r="4" spans="1:11">
      <c r="J4" s="240"/>
      <c r="K4" s="240"/>
    </row>
    <row r="5" spans="1:11">
      <c r="A5" s="5" t="s">
        <v>1438</v>
      </c>
      <c r="B5" s="5"/>
      <c r="C5" s="5"/>
      <c r="D5" s="37" t="s">
        <v>1439</v>
      </c>
      <c r="E5" s="5" t="s">
        <v>822</v>
      </c>
      <c r="F5" s="5" t="s">
        <v>822</v>
      </c>
      <c r="G5" s="5" t="s">
        <v>828</v>
      </c>
      <c r="H5" s="5" t="s">
        <v>852</v>
      </c>
      <c r="I5" s="5" t="s">
        <v>1795</v>
      </c>
      <c r="J5" s="240"/>
      <c r="K5" s="240"/>
    </row>
    <row r="6" spans="1:11" ht="26.25" thickBot="1">
      <c r="A6" s="7" t="s">
        <v>1440</v>
      </c>
      <c r="B6" s="7" t="s">
        <v>4</v>
      </c>
      <c r="C6" s="7" t="s">
        <v>1441</v>
      </c>
      <c r="D6" s="38" t="s">
        <v>1442</v>
      </c>
      <c r="E6" s="7" t="s">
        <v>817</v>
      </c>
      <c r="F6" s="7" t="s">
        <v>1443</v>
      </c>
      <c r="G6" s="7" t="s">
        <v>1796</v>
      </c>
      <c r="H6" s="7" t="s">
        <v>1796</v>
      </c>
      <c r="I6" s="7" t="s">
        <v>1796</v>
      </c>
      <c r="J6" s="342" t="s">
        <v>1446</v>
      </c>
      <c r="K6" s="325" t="s">
        <v>1447</v>
      </c>
    </row>
    <row r="7" spans="1:11">
      <c r="A7" s="158" t="s">
        <v>1797</v>
      </c>
      <c r="B7" s="262" t="s">
        <v>1798</v>
      </c>
      <c r="C7" s="228">
        <f>IFERROR(GETPIVOTDATA("Sum of qty",PT!$A$17,"product",A7,"FL/AZ","FL"),0)</f>
        <v>0</v>
      </c>
      <c r="D7" s="9">
        <v>1.5</v>
      </c>
      <c r="E7" s="2">
        <f>C7*D7</f>
        <v>0</v>
      </c>
      <c r="F7" s="19"/>
      <c r="G7" s="19"/>
      <c r="H7" s="19"/>
      <c r="J7" s="330">
        <f>C7-IFERROR(VLOOKUP(A7,'[1]FL DL&amp;OH FG'!$A:$K,3,0),0)</f>
        <v>0</v>
      </c>
      <c r="K7" s="326">
        <f t="shared" ref="K7:K34" si="0">J7*D7</f>
        <v>0</v>
      </c>
    </row>
    <row r="8" spans="1:11">
      <c r="A8" s="158" t="s">
        <v>1799</v>
      </c>
      <c r="B8" s="262" t="s">
        <v>1449</v>
      </c>
      <c r="C8" s="228">
        <f>IFERROR(GETPIVOTDATA("Sum of qty",PT!$A$17,"product",A8,"FL/AZ","FL"),0)</f>
        <v>0</v>
      </c>
      <c r="D8" s="129">
        <v>1.5</v>
      </c>
      <c r="E8" s="2">
        <f t="shared" ref="E8:E41" si="1">C8*D8</f>
        <v>0</v>
      </c>
      <c r="F8" s="19"/>
      <c r="G8" s="2">
        <f>E8</f>
        <v>0</v>
      </c>
      <c r="H8" s="19"/>
      <c r="J8" s="330">
        <f>C8-IFERROR(VLOOKUP(A8,'[1]FL DL&amp;OH FG'!$A:$K,3,0),0)</f>
        <v>0</v>
      </c>
      <c r="K8" s="326">
        <f t="shared" si="0"/>
        <v>0</v>
      </c>
    </row>
    <row r="9" spans="1:11">
      <c r="A9" s="158" t="s">
        <v>1800</v>
      </c>
      <c r="B9" s="157" t="s">
        <v>1452</v>
      </c>
      <c r="C9" s="228">
        <f>IFERROR(GETPIVOTDATA("Sum of qty",PT!$A$17,"product",A9,"FL/AZ","FL"),0)</f>
        <v>0</v>
      </c>
      <c r="D9" s="129">
        <v>1.5</v>
      </c>
      <c r="E9" s="2">
        <f>C9*D9</f>
        <v>0</v>
      </c>
      <c r="F9" s="19"/>
      <c r="G9" s="19"/>
      <c r="H9" s="2">
        <f>E9*0.05</f>
        <v>0</v>
      </c>
      <c r="J9" s="330">
        <f>C9-IFERROR(VLOOKUP(A9,'[1]FL DL&amp;OH FG'!$A:$K,3,0),0)</f>
        <v>0</v>
      </c>
      <c r="K9" s="326">
        <f t="shared" si="0"/>
        <v>0</v>
      </c>
    </row>
    <row r="10" spans="1:11">
      <c r="A10" s="158" t="s">
        <v>1801</v>
      </c>
      <c r="B10" s="157" t="s">
        <v>1453</v>
      </c>
      <c r="C10" s="228">
        <f>IFERROR(GETPIVOTDATA("Sum of qty",PT!$A$17,"product",A10,"FL/AZ","FL"),0)</f>
        <v>0</v>
      </c>
      <c r="D10" s="129">
        <v>1.5</v>
      </c>
      <c r="E10" s="2">
        <f t="shared" si="1"/>
        <v>0</v>
      </c>
      <c r="F10" s="19"/>
      <c r="G10" s="19"/>
      <c r="H10" s="19"/>
      <c r="J10" s="330">
        <f>C10-IFERROR(VLOOKUP(A10,'[1]FL DL&amp;OH FG'!$A:$K,3,0),0)</f>
        <v>0</v>
      </c>
      <c r="K10" s="326">
        <f t="shared" si="0"/>
        <v>0</v>
      </c>
    </row>
    <row r="11" spans="1:11" ht="13.5" customHeight="1">
      <c r="A11" s="158" t="s">
        <v>1802</v>
      </c>
      <c r="B11" s="157" t="s">
        <v>1454</v>
      </c>
      <c r="C11" s="228">
        <f>IFERROR(GETPIVOTDATA("Sum of qty",PT!$A$17,"product",A11,"FL/AZ","FL"),0)</f>
        <v>0</v>
      </c>
      <c r="D11" s="129">
        <v>1.5</v>
      </c>
      <c r="E11" s="2">
        <f t="shared" si="1"/>
        <v>0</v>
      </c>
      <c r="F11" s="19"/>
      <c r="G11" s="2">
        <f>E11</f>
        <v>0</v>
      </c>
      <c r="H11" s="19"/>
      <c r="J11" s="330">
        <f>C11-IFERROR(VLOOKUP(A11,'[1]FL DL&amp;OH FG'!$A:$K,3,0),0)</f>
        <v>0</v>
      </c>
      <c r="K11" s="326">
        <f t="shared" si="0"/>
        <v>0</v>
      </c>
    </row>
    <row r="12" spans="1:11" ht="13.5" customHeight="1">
      <c r="A12" s="158" t="s">
        <v>1803</v>
      </c>
      <c r="B12" s="157" t="s">
        <v>1804</v>
      </c>
      <c r="C12" s="228">
        <f>IFERROR(GETPIVOTDATA("Sum of qty",PT!$A$17,"product",A12,"FL/AZ","FL"),0)</f>
        <v>0</v>
      </c>
      <c r="D12" s="129">
        <v>1.5</v>
      </c>
      <c r="E12" s="2">
        <f t="shared" si="1"/>
        <v>0</v>
      </c>
      <c r="F12" s="19"/>
      <c r="G12" s="2">
        <f>E12</f>
        <v>0</v>
      </c>
      <c r="H12" s="19"/>
      <c r="J12" s="330">
        <f>C12-IFERROR(VLOOKUP(A12,'[1]FL DL&amp;OH FG'!$A:$K,3,0),0)</f>
        <v>0</v>
      </c>
      <c r="K12" s="326">
        <f t="shared" si="0"/>
        <v>0</v>
      </c>
    </row>
    <row r="13" spans="1:11" ht="13.5" customHeight="1">
      <c r="A13" s="158" t="s">
        <v>1805</v>
      </c>
      <c r="B13" s="157" t="s">
        <v>1806</v>
      </c>
      <c r="C13" s="228">
        <f>IFERROR(GETPIVOTDATA("Sum of qty",PT!$A$17,"product",A13,"FL/AZ","FL"),0)</f>
        <v>0</v>
      </c>
      <c r="D13" s="129">
        <v>1.5</v>
      </c>
      <c r="E13" s="2">
        <f t="shared" si="1"/>
        <v>0</v>
      </c>
      <c r="F13" s="19"/>
      <c r="G13" s="2"/>
      <c r="H13" s="2">
        <f>E13</f>
        <v>0</v>
      </c>
      <c r="J13" s="330">
        <f>C13-IFERROR(VLOOKUP(A13,'[1]FL DL&amp;OH FG'!$A:$K,3,0),0)</f>
        <v>0</v>
      </c>
      <c r="K13" s="326">
        <f t="shared" si="0"/>
        <v>0</v>
      </c>
    </row>
    <row r="14" spans="1:11" ht="13.5" customHeight="1">
      <c r="A14" s="158" t="s">
        <v>1807</v>
      </c>
      <c r="B14" s="157" t="s">
        <v>1808</v>
      </c>
      <c r="C14" s="228">
        <f>IFERROR(GETPIVOTDATA("Sum of qty",PT!$A$17,"product",A14,"FL/AZ","FL"),0)</f>
        <v>0</v>
      </c>
      <c r="D14" s="129">
        <v>1.5</v>
      </c>
      <c r="E14" s="2">
        <f t="shared" si="1"/>
        <v>0</v>
      </c>
      <c r="F14" s="19"/>
      <c r="G14" s="2"/>
      <c r="H14" s="2"/>
      <c r="J14" s="330">
        <f>C14-IFERROR(VLOOKUP(A14,'[1]FL DL&amp;OH FG'!$A:$K,3,0),0)</f>
        <v>0</v>
      </c>
      <c r="K14" s="326">
        <f t="shared" si="0"/>
        <v>0</v>
      </c>
    </row>
    <row r="15" spans="1:11" ht="13.5" customHeight="1">
      <c r="A15" s="236" t="s">
        <v>1809</v>
      </c>
      <c r="B15" s="157" t="s">
        <v>1810</v>
      </c>
      <c r="C15" s="228">
        <f>IFERROR(GETPIVOTDATA("Sum of qty",PT!$A$17,"product",A15,"FL/AZ","FL"),0)</f>
        <v>0</v>
      </c>
      <c r="D15" s="129">
        <v>1.5</v>
      </c>
      <c r="E15" s="2">
        <f>C15*D15</f>
        <v>0</v>
      </c>
      <c r="F15" s="19"/>
      <c r="G15" s="2"/>
      <c r="H15" s="2"/>
      <c r="J15" s="330">
        <f>C15-IFERROR(VLOOKUP(A15,'[1]FL DL&amp;OH FG'!$A:$K,3,0),0)</f>
        <v>0</v>
      </c>
      <c r="K15" s="326">
        <f t="shared" si="0"/>
        <v>0</v>
      </c>
    </row>
    <row r="16" spans="1:11" ht="13.5" customHeight="1">
      <c r="A16" s="158" t="s">
        <v>1811</v>
      </c>
      <c r="B16" s="157" t="s">
        <v>413</v>
      </c>
      <c r="C16" s="228">
        <f>IFERROR(GETPIVOTDATA("Sum of qty",PT!$A$17,"product",A16,"FL/AZ","FL"),0)</f>
        <v>223</v>
      </c>
      <c r="D16" s="129">
        <v>1.4297</v>
      </c>
      <c r="E16" s="2">
        <f>C16*D16</f>
        <v>318.82310000000001</v>
      </c>
      <c r="F16" s="19"/>
      <c r="G16" s="2"/>
      <c r="H16" s="2"/>
      <c r="J16" s="330">
        <f>C16-IFERROR(VLOOKUP(A16,'[1]FL DL&amp;OH FG'!$A:$K,3,0),0)</f>
        <v>3</v>
      </c>
      <c r="K16" s="326">
        <f>J16*D16</f>
        <v>4.2890999999999995</v>
      </c>
    </row>
    <row r="17" spans="1:11" ht="13.5" customHeight="1">
      <c r="A17" s="236" t="s">
        <v>1812</v>
      </c>
      <c r="B17" s="157" t="s">
        <v>511</v>
      </c>
      <c r="C17" s="228">
        <f>IFERROR(GETPIVOTDATA("Sum of qty",PT!$A$17,"product",A17,"FL/AZ","FL"),0)</f>
        <v>163</v>
      </c>
      <c r="D17" s="129">
        <v>1.5</v>
      </c>
      <c r="E17" s="2">
        <f>C17*D17</f>
        <v>244.5</v>
      </c>
      <c r="F17" s="19"/>
      <c r="G17" s="2"/>
      <c r="H17" s="2"/>
      <c r="J17" s="330">
        <f>C17-IFERROR(VLOOKUP(A17,'[1]FL DL&amp;OH FG'!$A:$K,3,0),0)</f>
        <v>0</v>
      </c>
      <c r="K17" s="326">
        <f t="shared" si="0"/>
        <v>0</v>
      </c>
    </row>
    <row r="18" spans="1:11" ht="13.5" customHeight="1">
      <c r="A18" s="158" t="s">
        <v>1813</v>
      </c>
      <c r="B18" s="157" t="s">
        <v>1814</v>
      </c>
      <c r="C18" s="228">
        <f>IFERROR(GETPIVOTDATA("Sum of qty",PT!$A$17,"product",A18,"FL/AZ","FL"),0)</f>
        <v>0</v>
      </c>
      <c r="D18" s="129">
        <v>1.5</v>
      </c>
      <c r="E18" s="2">
        <f t="shared" si="1"/>
        <v>0</v>
      </c>
      <c r="F18" s="19"/>
      <c r="G18" s="2"/>
      <c r="H18" s="2"/>
      <c r="J18" s="330">
        <f>C18-IFERROR(VLOOKUP(A18,'[1]FL DL&amp;OH FG'!$A:$K,3,0),0)</f>
        <v>0</v>
      </c>
      <c r="K18" s="326">
        <f t="shared" si="0"/>
        <v>0</v>
      </c>
    </row>
    <row r="19" spans="1:11" ht="13.5" customHeight="1">
      <c r="A19" s="158" t="s">
        <v>1815</v>
      </c>
      <c r="B19" s="157" t="s">
        <v>1816</v>
      </c>
      <c r="C19" s="228">
        <f>IFERROR(GETPIVOTDATA("Sum of qty",PT!$A$17,"product",A19,"FL/AZ","FL"),0)</f>
        <v>0</v>
      </c>
      <c r="D19" s="129">
        <v>1.5</v>
      </c>
      <c r="E19" s="2">
        <f t="shared" ref="E19:E27" si="2">C19*D19</f>
        <v>0</v>
      </c>
      <c r="F19" s="19"/>
      <c r="G19" s="2"/>
      <c r="H19" s="2"/>
      <c r="J19" s="330">
        <f>C19-IFERROR(VLOOKUP(A19,'[1]FL DL&amp;OH FG'!$A:$K,3,0),0)</f>
        <v>0</v>
      </c>
      <c r="K19" s="326">
        <f t="shared" si="0"/>
        <v>0</v>
      </c>
    </row>
    <row r="20" spans="1:11" ht="13.5" customHeight="1">
      <c r="A20" s="198" t="s">
        <v>1817</v>
      </c>
      <c r="B20" s="198" t="s">
        <v>1462</v>
      </c>
      <c r="C20" s="228">
        <f>IFERROR(GETPIVOTDATA("Sum of qty",PT!$A$17,"product",A20,"FL/AZ","FL"),0)</f>
        <v>0</v>
      </c>
      <c r="D20" s="129">
        <v>1.5</v>
      </c>
      <c r="E20" s="2">
        <f t="shared" si="2"/>
        <v>0</v>
      </c>
      <c r="F20" s="19"/>
      <c r="G20" s="2"/>
      <c r="H20" s="2"/>
      <c r="J20" s="330">
        <f>C20-IFERROR(VLOOKUP(A20,'[1]FL DL&amp;OH FG'!$A:$K,3,0),0)</f>
        <v>0</v>
      </c>
      <c r="K20" s="326">
        <f t="shared" si="0"/>
        <v>0</v>
      </c>
    </row>
    <row r="21" spans="1:11" ht="13.5" customHeight="1">
      <c r="A21" s="248" t="s">
        <v>1818</v>
      </c>
      <c r="B21" s="162" t="s">
        <v>1819</v>
      </c>
      <c r="C21" s="228">
        <f>IFERROR(GETPIVOTDATA("Sum of qty",PT!$A$17,"product",A21,"FL/AZ","FL"),0)</f>
        <v>0</v>
      </c>
      <c r="D21" s="129">
        <v>1.5</v>
      </c>
      <c r="E21" s="2">
        <f t="shared" si="2"/>
        <v>0</v>
      </c>
      <c r="F21" s="19"/>
      <c r="G21" s="2"/>
      <c r="H21" s="2"/>
      <c r="J21" s="330">
        <f>C21-IFERROR(VLOOKUP(A21,'[1]FL DL&amp;OH FG'!$A:$K,3,0),0)</f>
        <v>0</v>
      </c>
      <c r="K21" s="326">
        <f t="shared" si="0"/>
        <v>0</v>
      </c>
    </row>
    <row r="22" spans="1:11" ht="13.5" customHeight="1">
      <c r="A22" s="245" t="s">
        <v>1820</v>
      </c>
      <c r="B22" s="162" t="s">
        <v>1821</v>
      </c>
      <c r="C22" s="228">
        <f>IFERROR(GETPIVOTDATA("Sum of qty",PT!$A$17,"product",A22,"FL/AZ","FL"),0)</f>
        <v>0</v>
      </c>
      <c r="D22" s="129">
        <f t="shared" ref="D22:D24" si="3">15.2/128*12</f>
        <v>1.4249999999999998</v>
      </c>
      <c r="E22" s="2">
        <f t="shared" si="2"/>
        <v>0</v>
      </c>
      <c r="F22" s="19"/>
      <c r="G22" s="2"/>
      <c r="H22" s="2"/>
      <c r="J22" s="330">
        <f>C22-IFERROR(VLOOKUP(A22,'[1]FL DL&amp;OH FG'!$A:$K,3,0),0)</f>
        <v>0</v>
      </c>
      <c r="K22" s="326">
        <f t="shared" si="0"/>
        <v>0</v>
      </c>
    </row>
    <row r="23" spans="1:11" ht="13.5" customHeight="1">
      <c r="A23" s="245" t="s">
        <v>1822</v>
      </c>
      <c r="B23" s="162" t="s">
        <v>1823</v>
      </c>
      <c r="C23" s="228">
        <f>IFERROR(GETPIVOTDATA("Sum of qty",PT!$A$17,"product",A23,"FL/AZ","FL"),0)</f>
        <v>0</v>
      </c>
      <c r="D23" s="129">
        <f t="shared" si="3"/>
        <v>1.4249999999999998</v>
      </c>
      <c r="E23" s="2">
        <f t="shared" si="2"/>
        <v>0</v>
      </c>
      <c r="F23" s="19"/>
      <c r="G23" s="2"/>
      <c r="H23" s="2"/>
      <c r="J23" s="330">
        <f>C23-IFERROR(VLOOKUP(A23,'[1]FL DL&amp;OH FG'!$A:$K,3,0),0)</f>
        <v>0</v>
      </c>
      <c r="K23" s="326">
        <f t="shared" si="0"/>
        <v>0</v>
      </c>
    </row>
    <row r="24" spans="1:11" ht="13.5" customHeight="1">
      <c r="A24" s="245" t="s">
        <v>1824</v>
      </c>
      <c r="B24" s="162" t="s">
        <v>1825</v>
      </c>
      <c r="C24" s="228">
        <f>IFERROR(GETPIVOTDATA("Sum of qty",PT!$A$17,"product",A24,"FL/AZ","FL"),0)</f>
        <v>0</v>
      </c>
      <c r="D24" s="129">
        <f t="shared" si="3"/>
        <v>1.4249999999999998</v>
      </c>
      <c r="E24" s="2">
        <f t="shared" si="2"/>
        <v>0</v>
      </c>
      <c r="F24" s="19"/>
      <c r="G24" s="2"/>
      <c r="H24" s="2"/>
      <c r="J24" s="330">
        <f>C24-IFERROR(VLOOKUP(A24,'[1]FL DL&amp;OH FG'!$A:$K,3,0),0)</f>
        <v>0</v>
      </c>
      <c r="K24" s="326">
        <f t="shared" si="0"/>
        <v>0</v>
      </c>
    </row>
    <row r="25" spans="1:11" ht="13.5" customHeight="1">
      <c r="A25" s="245" t="s">
        <v>1826</v>
      </c>
      <c r="B25" s="162" t="s">
        <v>1467</v>
      </c>
      <c r="C25" s="228">
        <f>IFERROR(GETPIVOTDATA("Sum of qty",PT!$A$17,"product",A25,"FL/AZ","FL"),0)</f>
        <v>0</v>
      </c>
      <c r="D25" s="129">
        <v>45</v>
      </c>
      <c r="E25" s="2">
        <f t="shared" si="2"/>
        <v>0</v>
      </c>
      <c r="F25" s="19"/>
      <c r="G25" s="2"/>
      <c r="H25" s="2"/>
      <c r="J25" s="330">
        <f>C25-IFERROR(VLOOKUP(A25,'[1]FL DL&amp;OH FG'!$A:$K,3,0),0)</f>
        <v>0</v>
      </c>
      <c r="K25" s="326">
        <f t="shared" si="0"/>
        <v>0</v>
      </c>
    </row>
    <row r="26" spans="1:11" ht="13.5" customHeight="1">
      <c r="A26" s="245" t="s">
        <v>1827</v>
      </c>
      <c r="B26" s="162" t="s">
        <v>1468</v>
      </c>
      <c r="C26" s="228">
        <f>IFERROR(GETPIVOTDATA("Sum of qty",PT!$A$17,"product",A26,"FL/AZ","FL"),0)</f>
        <v>0</v>
      </c>
      <c r="D26" s="129">
        <v>45</v>
      </c>
      <c r="E26" s="2">
        <f t="shared" si="2"/>
        <v>0</v>
      </c>
      <c r="F26" s="19"/>
      <c r="G26" s="2"/>
      <c r="H26" s="2"/>
      <c r="J26" s="330">
        <f>C26-IFERROR(VLOOKUP(A26,'[1]FL DL&amp;OH FG'!$A:$K,3,0),0)</f>
        <v>0</v>
      </c>
      <c r="K26" s="326">
        <f t="shared" si="0"/>
        <v>0</v>
      </c>
    </row>
    <row r="27" spans="1:11" ht="13.5" customHeight="1">
      <c r="A27" s="245" t="s">
        <v>1828</v>
      </c>
      <c r="B27" s="162" t="s">
        <v>1469</v>
      </c>
      <c r="C27" s="228">
        <f>IFERROR(GETPIVOTDATA("Sum of qty",PT!$A$17,"product",A27,"FL/AZ","FL"),0)</f>
        <v>0</v>
      </c>
      <c r="D27" s="129">
        <v>45</v>
      </c>
      <c r="E27" s="2">
        <f t="shared" si="2"/>
        <v>0</v>
      </c>
      <c r="F27" s="19"/>
      <c r="G27" s="2"/>
      <c r="H27" s="2"/>
      <c r="J27" s="330">
        <f>C27-IFERROR(VLOOKUP(A27,'[1]FL DL&amp;OH FG'!$A:$K,3,0),0)</f>
        <v>0</v>
      </c>
      <c r="K27" s="326">
        <f t="shared" si="0"/>
        <v>0</v>
      </c>
    </row>
    <row r="28" spans="1:11" ht="13.5" customHeight="1">
      <c r="A28" s="245" t="s">
        <v>1829</v>
      </c>
      <c r="B28" s="162"/>
      <c r="C28" s="228">
        <f>IFERROR(GETPIVOTDATA("Sum of qty",PT!$A$17,"product",A28,"FL/AZ","FL"),0)</f>
        <v>0</v>
      </c>
      <c r="D28" s="129">
        <v>1.5</v>
      </c>
      <c r="E28" s="2">
        <f t="shared" ref="E28:E30" si="4">C28*D28</f>
        <v>0</v>
      </c>
      <c r="F28" s="19"/>
      <c r="G28" s="2"/>
      <c r="H28" s="2"/>
      <c r="J28" s="330">
        <f>C28-IFERROR(VLOOKUP(A28,'[1]FL DL&amp;OH FG'!$A:$K,3,0),0)</f>
        <v>0</v>
      </c>
      <c r="K28" s="326">
        <f t="shared" si="0"/>
        <v>0</v>
      </c>
    </row>
    <row r="29" spans="1:11" ht="13.5" customHeight="1">
      <c r="A29" s="245" t="s">
        <v>1830</v>
      </c>
      <c r="B29" s="162"/>
      <c r="C29" s="228">
        <f>IFERROR(GETPIVOTDATA("Sum of qty",PT!$A$17,"product",A29,"FL/AZ","FL"),0)</f>
        <v>0</v>
      </c>
      <c r="D29" s="129">
        <v>1.5</v>
      </c>
      <c r="E29" s="2">
        <f t="shared" si="4"/>
        <v>0</v>
      </c>
      <c r="F29" s="19"/>
      <c r="G29" s="2"/>
      <c r="H29" s="2"/>
      <c r="J29" s="330">
        <f>C29-IFERROR(VLOOKUP(A29,'[1]FL DL&amp;OH FG'!$A:$K,3,0),0)</f>
        <v>0</v>
      </c>
      <c r="K29" s="326">
        <f t="shared" si="0"/>
        <v>0</v>
      </c>
    </row>
    <row r="30" spans="1:11" ht="13.5" customHeight="1">
      <c r="A30" s="245" t="s">
        <v>1831</v>
      </c>
      <c r="B30" s="162" t="s">
        <v>1832</v>
      </c>
      <c r="C30" s="228">
        <f>IFERROR(GETPIVOTDATA("Sum of qty",PT!$A$17,"product",A30,"FL/AZ","FL"),0)</f>
        <v>0</v>
      </c>
      <c r="D30" s="129">
        <v>1.5</v>
      </c>
      <c r="E30" s="2">
        <f t="shared" si="4"/>
        <v>0</v>
      </c>
      <c r="F30" s="19"/>
      <c r="G30" s="2"/>
      <c r="H30" s="2"/>
      <c r="J30" s="330">
        <f>C30-IFERROR(VLOOKUP(A30,'[1]FL DL&amp;OH FG'!$A:$K,3,0),0)</f>
        <v>0</v>
      </c>
      <c r="K30" s="326">
        <f t="shared" si="0"/>
        <v>0</v>
      </c>
    </row>
    <row r="31" spans="1:11" ht="13.5" customHeight="1">
      <c r="A31" s="245" t="s">
        <v>1833</v>
      </c>
      <c r="B31" s="162" t="s">
        <v>1834</v>
      </c>
      <c r="C31" s="228">
        <f>IFERROR(GETPIVOTDATA("Sum of qty",PT!$A$17,"product",A31,"FL/AZ","FL"),0)</f>
        <v>0</v>
      </c>
      <c r="D31" s="129">
        <v>3</v>
      </c>
      <c r="E31" s="2">
        <f t="shared" ref="E31:E34" si="5">C31*D31</f>
        <v>0</v>
      </c>
      <c r="F31" s="19"/>
      <c r="G31" s="2"/>
      <c r="H31" s="2"/>
      <c r="J31" s="330">
        <f>C31-IFERROR(VLOOKUP(A31,'[1]FL DL&amp;OH FG'!$A:$K,3,0),0)</f>
        <v>0</v>
      </c>
      <c r="K31" s="326">
        <f t="shared" si="0"/>
        <v>0</v>
      </c>
    </row>
    <row r="32" spans="1:11" ht="13.5" customHeight="1">
      <c r="A32" s="245" t="s">
        <v>1835</v>
      </c>
      <c r="B32" s="162" t="s">
        <v>1836</v>
      </c>
      <c r="C32" s="228">
        <f>IFERROR(GETPIVOTDATA("Sum of qty",PT!$A$17,"product",A32,"FL/AZ","FL"),0)</f>
        <v>0</v>
      </c>
      <c r="D32" s="129">
        <v>3</v>
      </c>
      <c r="E32" s="2">
        <f t="shared" si="5"/>
        <v>0</v>
      </c>
      <c r="F32" s="19"/>
      <c r="G32" s="2"/>
      <c r="H32" s="2"/>
      <c r="J32" s="330">
        <f>C32-IFERROR(VLOOKUP(A32,'[1]FL DL&amp;OH FG'!$A:$K,3,0),0)</f>
        <v>0</v>
      </c>
      <c r="K32" s="326">
        <f t="shared" si="0"/>
        <v>0</v>
      </c>
    </row>
    <row r="33" spans="1:11" ht="13.5" customHeight="1">
      <c r="A33" s="245" t="s">
        <v>1837</v>
      </c>
      <c r="B33" s="162" t="s">
        <v>1838</v>
      </c>
      <c r="C33" s="228">
        <f>IFERROR(GETPIVOTDATA("Sum of qty",PT!$A$17,"product",A33,"FL/AZ","FL"),0)</f>
        <v>0</v>
      </c>
      <c r="D33" s="129">
        <v>3</v>
      </c>
      <c r="E33" s="2">
        <f t="shared" si="5"/>
        <v>0</v>
      </c>
      <c r="F33" s="19"/>
      <c r="G33" s="2"/>
      <c r="H33" s="2"/>
      <c r="J33" s="330">
        <f>C33-IFERROR(VLOOKUP(A33,'[1]FL DL&amp;OH FG'!$A:$K,3,0),0)</f>
        <v>0</v>
      </c>
      <c r="K33" s="326">
        <f t="shared" si="0"/>
        <v>0</v>
      </c>
    </row>
    <row r="34" spans="1:11" ht="13.5" customHeight="1">
      <c r="A34" s="245" t="s">
        <v>1839</v>
      </c>
      <c r="B34" s="162" t="s">
        <v>1840</v>
      </c>
      <c r="C34" s="228">
        <f>IFERROR(GETPIVOTDATA("Sum of qty",PT!$A$17,"product",A34,"FL/AZ","FL"),0)</f>
        <v>0</v>
      </c>
      <c r="D34" s="129">
        <v>3</v>
      </c>
      <c r="E34" s="2">
        <f t="shared" si="5"/>
        <v>0</v>
      </c>
      <c r="F34" s="19"/>
      <c r="G34" s="2"/>
      <c r="H34" s="2"/>
      <c r="J34" s="330">
        <f>C34-IFERROR(VLOOKUP(A34,'[1]FL DL&amp;OH FG'!$A:$K,3,0),0)</f>
        <v>0</v>
      </c>
      <c r="K34" s="326">
        <f t="shared" si="0"/>
        <v>0</v>
      </c>
    </row>
    <row r="35" spans="1:11" ht="13.5" customHeight="1">
      <c r="A35" s="248" t="s">
        <v>1841</v>
      </c>
      <c r="B35" s="279" t="s">
        <v>286</v>
      </c>
      <c r="C35" s="228">
        <f>IFERROR(GETPIVOTDATA("Sum of qty",PT!$A$17,"product",A35,"FL/AZ","FL"),0)</f>
        <v>35904</v>
      </c>
      <c r="D35" s="129">
        <v>0.93747599999999998</v>
      </c>
      <c r="E35" s="2">
        <f t="shared" ref="E35" si="6">C35*D35</f>
        <v>33659.138304</v>
      </c>
      <c r="F35" s="19"/>
      <c r="G35" s="2"/>
      <c r="H35" s="2"/>
      <c r="J35" s="330">
        <f>C35-IFERROR(VLOOKUP(A35,'[1]FL DL&amp;OH FG'!$A:$K,3,0),0)</f>
        <v>13728</v>
      </c>
      <c r="K35" s="326">
        <f>J35*D35</f>
        <v>12869.670528000001</v>
      </c>
    </row>
    <row r="36" spans="1:11" ht="13.5" customHeight="1">
      <c r="A36" s="245" t="s">
        <v>1842</v>
      </c>
      <c r="B36" s="162" t="s">
        <v>164</v>
      </c>
      <c r="C36" s="228">
        <f>IFERROR(GETPIVOTDATA("Sum of qty",PT!$A$17,"product",A36,"FL/AZ","FL"),0)</f>
        <v>3635</v>
      </c>
      <c r="D36" s="129">
        <v>1.5</v>
      </c>
      <c r="E36" s="2">
        <f t="shared" ref="E36" si="7">C36*D36</f>
        <v>5452.5</v>
      </c>
      <c r="F36" s="2">
        <f>E36</f>
        <v>5452.5</v>
      </c>
      <c r="G36" s="2"/>
      <c r="H36" s="2"/>
      <c r="J36" s="330">
        <f>C36-IFERROR(VLOOKUP(A36,'[1]FL DL&amp;OH FG'!$A:$K,3,0),0)</f>
        <v>1501</v>
      </c>
      <c r="K36" s="326">
        <f>J36*D36</f>
        <v>2251.5</v>
      </c>
    </row>
    <row r="37" spans="1:11" ht="13.5" customHeight="1">
      <c r="A37" s="158" t="s">
        <v>1843</v>
      </c>
      <c r="B37" s="157" t="s">
        <v>1844</v>
      </c>
      <c r="C37" s="228">
        <f>IFERROR(GETPIVOTDATA("Sum of qty",PT!$A$17,"product",A37,"FL/AZ","FL"),0)</f>
        <v>0</v>
      </c>
      <c r="D37" s="129">
        <v>3</v>
      </c>
      <c r="E37" s="2">
        <f t="shared" si="1"/>
        <v>0</v>
      </c>
      <c r="F37" s="19"/>
      <c r="G37" s="2"/>
      <c r="H37" s="19"/>
      <c r="J37" s="330">
        <f>C37-IFERROR(VLOOKUP(A37,'[1]FL DL&amp;OH FG'!$A:$K,3,0),0)</f>
        <v>0</v>
      </c>
      <c r="K37" s="326">
        <f t="shared" ref="K37:K100" si="8">J37*D37</f>
        <v>0</v>
      </c>
    </row>
    <row r="38" spans="1:11" ht="13.5" customHeight="1">
      <c r="A38" s="158" t="s">
        <v>1845</v>
      </c>
      <c r="B38" s="157" t="s">
        <v>1846</v>
      </c>
      <c r="C38" s="228">
        <f>IFERROR(GETPIVOTDATA("Sum of qty",PT!$A$17,"product",A38,"FL/AZ","FL"),0)</f>
        <v>0</v>
      </c>
      <c r="D38" s="129">
        <v>3</v>
      </c>
      <c r="E38" s="2">
        <f t="shared" si="1"/>
        <v>0</v>
      </c>
      <c r="F38" s="19"/>
      <c r="G38" s="2"/>
      <c r="H38" s="19"/>
      <c r="J38" s="330">
        <f>C38-IFERROR(VLOOKUP(A38,'[1]FL DL&amp;OH FG'!$A:$K,3,0),0)</f>
        <v>0</v>
      </c>
      <c r="K38" s="326">
        <f t="shared" si="8"/>
        <v>0</v>
      </c>
    </row>
    <row r="39" spans="1:11" ht="13.5" customHeight="1">
      <c r="A39" s="158" t="s">
        <v>1847</v>
      </c>
      <c r="B39" s="157" t="s">
        <v>1848</v>
      </c>
      <c r="C39" s="228">
        <f>IFERROR(GETPIVOTDATA("Sum of qty",PT!$A$17,"product",A39,"FL/AZ","FL"),0)</f>
        <v>0</v>
      </c>
      <c r="D39" s="129">
        <v>2.88</v>
      </c>
      <c r="E39" s="2">
        <f>C39*D39</f>
        <v>0</v>
      </c>
      <c r="F39" s="19"/>
      <c r="G39" s="2"/>
      <c r="H39" s="19"/>
      <c r="J39" s="330">
        <f>C39-IFERROR(VLOOKUP(A39,'[1]FL DL&amp;OH FG'!$A:$K,3,0),0)</f>
        <v>0</v>
      </c>
      <c r="K39" s="326">
        <f t="shared" si="8"/>
        <v>0</v>
      </c>
    </row>
    <row r="40" spans="1:11" ht="13.5" customHeight="1">
      <c r="A40" s="158" t="s">
        <v>1849</v>
      </c>
      <c r="B40" s="157" t="s">
        <v>1480</v>
      </c>
      <c r="C40" s="228">
        <f>IFERROR(GETPIVOTDATA("Sum of qty",PT!$A$17,"product",A40,"FL/AZ","FL"),0)</f>
        <v>0</v>
      </c>
      <c r="D40" s="129">
        <v>2.88</v>
      </c>
      <c r="E40" s="2">
        <f>C40*D40</f>
        <v>0</v>
      </c>
      <c r="F40" s="199">
        <f>E40</f>
        <v>0</v>
      </c>
      <c r="G40" s="2"/>
      <c r="H40" s="247">
        <f>0.16*E40</f>
        <v>0</v>
      </c>
      <c r="J40" s="330">
        <f>C40-IFERROR(VLOOKUP(A40,'[1]FL DL&amp;OH FG'!$A:$K,3,0),0)</f>
        <v>0</v>
      </c>
      <c r="K40" s="326">
        <f t="shared" si="8"/>
        <v>0</v>
      </c>
    </row>
    <row r="41" spans="1:11">
      <c r="A41" s="4" t="s">
        <v>1850</v>
      </c>
      <c r="B41" t="s">
        <v>1851</v>
      </c>
      <c r="C41" s="228">
        <f>IFERROR(GETPIVOTDATA("Sum of qty",PT!$A$17,"product",A41,"FL/AZ","FL"),0)</f>
        <v>0</v>
      </c>
      <c r="D41" s="129">
        <v>1</v>
      </c>
      <c r="E41" s="2">
        <f t="shared" si="1"/>
        <v>0</v>
      </c>
      <c r="F41" s="2">
        <v>0</v>
      </c>
      <c r="G41" s="2"/>
      <c r="H41" s="2"/>
      <c r="J41" s="330">
        <f>C41-IFERROR(VLOOKUP(A41,'[1]FL DL&amp;OH FG'!$A:$K,3,0),0)</f>
        <v>0</v>
      </c>
      <c r="K41" s="326">
        <f t="shared" si="8"/>
        <v>0</v>
      </c>
    </row>
    <row r="42" spans="1:11">
      <c r="A42" s="4" t="s">
        <v>1852</v>
      </c>
      <c r="B42" t="s">
        <v>1853</v>
      </c>
      <c r="C42" s="228">
        <f>IFERROR(GETPIVOTDATA("Sum of qty",PT!$A$17,"product",A42,"FL/AZ","FL"),0)</f>
        <v>0</v>
      </c>
      <c r="D42" s="129">
        <v>1</v>
      </c>
      <c r="E42" s="2">
        <f t="shared" ref="E42:E61" si="9">C42*D42</f>
        <v>0</v>
      </c>
      <c r="F42" s="2">
        <f>E42</f>
        <v>0</v>
      </c>
      <c r="G42" s="2"/>
      <c r="H42" s="2"/>
      <c r="J42" s="330">
        <f>C42-IFERROR(VLOOKUP(A42,'[1]FL DL&amp;OH FG'!$A:$K,3,0),0)</f>
        <v>0</v>
      </c>
      <c r="K42" s="326">
        <f t="shared" si="8"/>
        <v>0</v>
      </c>
    </row>
    <row r="43" spans="1:11">
      <c r="A43" s="4" t="s">
        <v>1854</v>
      </c>
      <c r="B43" t="s">
        <v>1482</v>
      </c>
      <c r="C43" s="228">
        <f>IFERROR(GETPIVOTDATA("Sum of qty",PT!$A$17,"product",A43,"FL/AZ","FL"),0)</f>
        <v>0</v>
      </c>
      <c r="D43" s="129">
        <v>1.5</v>
      </c>
      <c r="E43" s="2">
        <f t="shared" si="9"/>
        <v>0</v>
      </c>
      <c r="F43" s="2"/>
      <c r="G43" s="2"/>
      <c r="H43" s="2"/>
      <c r="J43" s="330">
        <f>C43-IFERROR(VLOOKUP(A43,'[1]FL DL&amp;OH FG'!$A:$K,3,0),0)</f>
        <v>0</v>
      </c>
      <c r="K43" s="326">
        <f t="shared" si="8"/>
        <v>0</v>
      </c>
    </row>
    <row r="44" spans="1:11">
      <c r="A44" s="4" t="s">
        <v>1855</v>
      </c>
      <c r="B44" t="s">
        <v>1856</v>
      </c>
      <c r="C44" s="228">
        <f>IFERROR(GETPIVOTDATA("Sum of qty",PT!$A$17,"product",A44,"FL/AZ","FL"),0)</f>
        <v>0</v>
      </c>
      <c r="D44" s="129">
        <v>1.5</v>
      </c>
      <c r="E44" s="2">
        <f t="shared" si="9"/>
        <v>0</v>
      </c>
      <c r="F44" s="2"/>
      <c r="G44" s="2"/>
      <c r="H44" s="2"/>
      <c r="J44" s="330">
        <f>C44-IFERROR(VLOOKUP(A44,'[1]FL DL&amp;OH FG'!$A:$K,3,0),0)</f>
        <v>0</v>
      </c>
      <c r="K44" s="326">
        <f t="shared" si="8"/>
        <v>0</v>
      </c>
    </row>
    <row r="45" spans="1:11">
      <c r="A45" s="4" t="s">
        <v>1857</v>
      </c>
      <c r="B45" t="s">
        <v>1858</v>
      </c>
      <c r="C45" s="228">
        <f>IFERROR(GETPIVOTDATA("Sum of qty",PT!$A$17,"product",A45,"FL/AZ","FL"),0)</f>
        <v>0</v>
      </c>
      <c r="D45" s="129">
        <v>1.5</v>
      </c>
      <c r="E45" s="2">
        <f t="shared" si="9"/>
        <v>0</v>
      </c>
      <c r="F45" s="2"/>
      <c r="G45" s="2"/>
      <c r="H45" s="2"/>
      <c r="J45" s="330">
        <f>C45-IFERROR(VLOOKUP(A45,'[1]FL DL&amp;OH FG'!$A:$K,3,0),0)</f>
        <v>0</v>
      </c>
      <c r="K45" s="326">
        <f t="shared" si="8"/>
        <v>0</v>
      </c>
    </row>
    <row r="46" spans="1:11">
      <c r="A46" s="4" t="s">
        <v>1859</v>
      </c>
      <c r="B46" t="s">
        <v>1860</v>
      </c>
      <c r="C46" s="228">
        <f>IFERROR(GETPIVOTDATA("Sum of qty",PT!$A$17,"product",A46,"FL/AZ","FL"),0)</f>
        <v>0</v>
      </c>
      <c r="D46" s="129">
        <v>1.5</v>
      </c>
      <c r="E46" s="2">
        <f>C46*D46</f>
        <v>0</v>
      </c>
      <c r="F46" s="2"/>
      <c r="G46" s="2"/>
      <c r="H46" s="2"/>
      <c r="J46" s="330">
        <f>C46-IFERROR(VLOOKUP(A46,'[1]FL DL&amp;OH FG'!$A:$K,3,0),0)</f>
        <v>0</v>
      </c>
      <c r="K46" s="326">
        <f t="shared" si="8"/>
        <v>0</v>
      </c>
    </row>
    <row r="47" spans="1:11">
      <c r="A47" s="4" t="s">
        <v>1861</v>
      </c>
      <c r="B47" t="s">
        <v>1484</v>
      </c>
      <c r="C47" s="228">
        <f>IFERROR(GETPIVOTDATA("Sum of qty",PT!$A$17,"product",A47,"FL/AZ","FL"),0)</f>
        <v>0</v>
      </c>
      <c r="D47" s="129">
        <v>3</v>
      </c>
      <c r="E47" s="2">
        <f t="shared" si="9"/>
        <v>0</v>
      </c>
      <c r="F47" s="2"/>
      <c r="G47" s="2"/>
      <c r="H47" s="2"/>
      <c r="J47" s="330">
        <f>C47-IFERROR(VLOOKUP(A47,'[1]FL DL&amp;OH FG'!$A:$K,3,0),0)</f>
        <v>0</v>
      </c>
      <c r="K47" s="326">
        <f t="shared" si="8"/>
        <v>0</v>
      </c>
    </row>
    <row r="48" spans="1:11">
      <c r="A48" s="244" t="s">
        <v>1862</v>
      </c>
      <c r="B48" t="s">
        <v>324</v>
      </c>
      <c r="C48" s="228">
        <f>IFERROR(GETPIVOTDATA("Sum of qty",PT!$A$17,"product",A48,"FL/AZ","FL"),0)</f>
        <v>237</v>
      </c>
      <c r="D48" s="129">
        <v>3</v>
      </c>
      <c r="E48" s="2">
        <f t="shared" ref="E48:E53" si="10">C48*D48</f>
        <v>711</v>
      </c>
      <c r="F48" s="2">
        <f>E48</f>
        <v>711</v>
      </c>
      <c r="G48" s="2"/>
      <c r="H48" s="2"/>
      <c r="J48" s="330">
        <f>C48-IFERROR(VLOOKUP(A48,'[1]FL DL&amp;OH FG'!$A:$K,3,0),0)</f>
        <v>-244</v>
      </c>
      <c r="K48" s="326">
        <f t="shared" si="8"/>
        <v>-732</v>
      </c>
    </row>
    <row r="49" spans="1:11">
      <c r="A49" s="4" t="s">
        <v>1863</v>
      </c>
      <c r="B49" t="s">
        <v>1864</v>
      </c>
      <c r="C49" s="228">
        <f>IFERROR(GETPIVOTDATA("Sum of qty",PT!$A$17,"product",A49,"FL/AZ","FL"),0)</f>
        <v>0</v>
      </c>
      <c r="D49" s="129">
        <f>8*12/128</f>
        <v>0.75</v>
      </c>
      <c r="E49" s="2">
        <f t="shared" si="10"/>
        <v>0</v>
      </c>
      <c r="F49" s="2"/>
      <c r="G49" s="2"/>
      <c r="H49" s="2"/>
      <c r="J49" s="330">
        <f>C49-IFERROR(VLOOKUP(A49,'[1]FL DL&amp;OH FG'!$A:$K,3,0),0)</f>
        <v>0</v>
      </c>
      <c r="K49" s="326">
        <f t="shared" si="8"/>
        <v>0</v>
      </c>
    </row>
    <row r="50" spans="1:11">
      <c r="A50" s="4" t="s">
        <v>1865</v>
      </c>
      <c r="B50" t="s">
        <v>1866</v>
      </c>
      <c r="C50" s="228">
        <f>IFERROR(GETPIVOTDATA("Sum of qty",PT!$A$17,"product",A50,"FL/AZ","FL"),0)</f>
        <v>0</v>
      </c>
      <c r="D50" s="129">
        <f>8*12/128</f>
        <v>0.75</v>
      </c>
      <c r="E50" s="2">
        <f t="shared" si="10"/>
        <v>0</v>
      </c>
      <c r="F50" s="2"/>
      <c r="G50" s="2"/>
      <c r="H50" s="2"/>
      <c r="J50" s="330">
        <f>C50-IFERROR(VLOOKUP(A50,'[1]FL DL&amp;OH FG'!$A:$K,3,0),0)</f>
        <v>0</v>
      </c>
      <c r="K50" s="326">
        <f t="shared" si="8"/>
        <v>0</v>
      </c>
    </row>
    <row r="51" spans="1:11">
      <c r="A51" s="4" t="s">
        <v>1867</v>
      </c>
      <c r="B51" t="s">
        <v>1868</v>
      </c>
      <c r="C51" s="228">
        <f>IFERROR(GETPIVOTDATA("Sum of qty",PT!$A$17,"product",A51,"FL/AZ","FL"),0)</f>
        <v>0</v>
      </c>
      <c r="D51" s="129">
        <f>8*12/128</f>
        <v>0.75</v>
      </c>
      <c r="E51" s="2">
        <f t="shared" si="10"/>
        <v>0</v>
      </c>
      <c r="F51" s="2"/>
      <c r="G51" s="2"/>
      <c r="H51" s="2"/>
      <c r="J51" s="330">
        <f>C51-IFERROR(VLOOKUP(A51,'[1]FL DL&amp;OH FG'!$A:$K,3,0),0)</f>
        <v>0</v>
      </c>
      <c r="K51" s="326">
        <f t="shared" si="8"/>
        <v>0</v>
      </c>
    </row>
    <row r="52" spans="1:11">
      <c r="A52" s="4" t="s">
        <v>1869</v>
      </c>
      <c r="B52" t="s">
        <v>1870</v>
      </c>
      <c r="C52" s="228">
        <f>IFERROR(GETPIVOTDATA("Sum of qty",PT!$A$17,"product",A52,"FL/AZ","FL"),0)</f>
        <v>0</v>
      </c>
      <c r="D52" s="129">
        <f>8*12/128</f>
        <v>0.75</v>
      </c>
      <c r="E52" s="2">
        <f t="shared" si="10"/>
        <v>0</v>
      </c>
      <c r="F52" s="2"/>
      <c r="G52" s="2"/>
      <c r="H52" s="2"/>
      <c r="J52" s="330">
        <f>C52-IFERROR(VLOOKUP(A52,'[1]FL DL&amp;OH FG'!$A:$K,3,0),0)</f>
        <v>0</v>
      </c>
      <c r="K52" s="326">
        <f t="shared" si="8"/>
        <v>0</v>
      </c>
    </row>
    <row r="53" spans="1:11">
      <c r="A53" s="4" t="s">
        <v>1871</v>
      </c>
      <c r="B53" t="s">
        <v>1872</v>
      </c>
      <c r="C53" s="228">
        <f>IFERROR(GETPIVOTDATA("Sum of qty",PT!$A$17,"product",A53,"FL/AZ","FL"),0)</f>
        <v>0</v>
      </c>
      <c r="D53" s="129">
        <f>8*12/128</f>
        <v>0.75</v>
      </c>
      <c r="E53" s="2">
        <f t="shared" si="10"/>
        <v>0</v>
      </c>
      <c r="F53" s="2"/>
      <c r="G53" s="2"/>
      <c r="H53" s="2"/>
      <c r="J53" s="330">
        <f>C53-IFERROR(VLOOKUP(A53,'[1]FL DL&amp;OH FG'!$A:$K,3,0),0)</f>
        <v>0</v>
      </c>
      <c r="K53" s="326">
        <f t="shared" si="8"/>
        <v>0</v>
      </c>
    </row>
    <row r="54" spans="1:11">
      <c r="A54" s="163" t="s">
        <v>1873</v>
      </c>
      <c r="B54" t="s">
        <v>1874</v>
      </c>
      <c r="C54" s="228">
        <f>IFERROR(GETPIVOTDATA("Sum of qty",PT!$A$17,"product",A54,"FL/AZ","FL"),0)</f>
        <v>0</v>
      </c>
      <c r="D54" s="129">
        <v>4.5</v>
      </c>
      <c r="E54" s="2">
        <f t="shared" si="9"/>
        <v>0</v>
      </c>
      <c r="F54" s="2">
        <f>E54</f>
        <v>0</v>
      </c>
      <c r="G54" s="2"/>
      <c r="H54" s="2"/>
      <c r="J54" s="330">
        <f>C54-IFERROR(VLOOKUP(A54,'[1]FL DL&amp;OH FG'!$A:$K,3,0),0)</f>
        <v>0</v>
      </c>
      <c r="K54" s="326">
        <f t="shared" si="8"/>
        <v>0</v>
      </c>
    </row>
    <row r="55" spans="1:11">
      <c r="A55" s="4" t="s">
        <v>1875</v>
      </c>
      <c r="B55" t="s">
        <v>1485</v>
      </c>
      <c r="C55" s="228">
        <f>IFERROR(GETPIVOTDATA("Sum of qty",PT!$A$17,"product",A55,"FL/AZ","FL"),0)</f>
        <v>0</v>
      </c>
      <c r="D55" s="129">
        <v>44</v>
      </c>
      <c r="E55" s="2">
        <f t="shared" si="9"/>
        <v>0</v>
      </c>
      <c r="F55" s="2"/>
      <c r="G55" s="2"/>
      <c r="H55" s="2"/>
      <c r="J55" s="330">
        <f>C55-IFERROR(VLOOKUP(A55,'[1]FL DL&amp;OH FG'!$A:$K,3,0),0)</f>
        <v>0</v>
      </c>
      <c r="K55" s="326">
        <f t="shared" si="8"/>
        <v>0</v>
      </c>
    </row>
    <row r="56" spans="1:11">
      <c r="A56" s="4" t="s">
        <v>1876</v>
      </c>
      <c r="B56" t="s">
        <v>1877</v>
      </c>
      <c r="C56" s="228">
        <f>IFERROR(GETPIVOTDATA("Sum of qty",PT!$A$17,"product",A56,"FL/AZ","FL"),0)</f>
        <v>0</v>
      </c>
      <c r="D56" s="129">
        <v>3</v>
      </c>
      <c r="E56" s="2">
        <f t="shared" si="9"/>
        <v>0</v>
      </c>
      <c r="F56" s="2">
        <f t="shared" ref="F56:F86" si="11">E56</f>
        <v>0</v>
      </c>
      <c r="G56" s="2"/>
      <c r="H56" s="2"/>
      <c r="J56" s="330">
        <f>C56-IFERROR(VLOOKUP(A56,'[1]FL DL&amp;OH FG'!$A:$K,3,0),0)</f>
        <v>0</v>
      </c>
      <c r="K56" s="326">
        <f t="shared" si="8"/>
        <v>0</v>
      </c>
    </row>
    <row r="57" spans="1:11">
      <c r="A57" s="4" t="s">
        <v>1878</v>
      </c>
      <c r="B57" t="s">
        <v>1879</v>
      </c>
      <c r="C57" s="228">
        <f>IFERROR(GETPIVOTDATA("Sum of qty",PT!$A$17,"product",A57,"FL/AZ","FL"),0)</f>
        <v>0</v>
      </c>
      <c r="D57" s="129">
        <v>3</v>
      </c>
      <c r="E57" s="2">
        <f t="shared" si="9"/>
        <v>0</v>
      </c>
      <c r="F57" s="2">
        <f t="shared" si="11"/>
        <v>0</v>
      </c>
      <c r="G57" s="2"/>
      <c r="H57" s="2"/>
      <c r="J57" s="330">
        <f>C57-IFERROR(VLOOKUP(A57,'[1]FL DL&amp;OH FG'!$A:$K,3,0),0)</f>
        <v>0</v>
      </c>
      <c r="K57" s="326">
        <f t="shared" si="8"/>
        <v>0</v>
      </c>
    </row>
    <row r="58" spans="1:11">
      <c r="A58" s="4" t="s">
        <v>1880</v>
      </c>
      <c r="B58" t="s">
        <v>1881</v>
      </c>
      <c r="C58" s="228">
        <f>IFERROR(GETPIVOTDATA("Sum of qty",PT!$A$17,"product",A58,"FL/AZ","FL"),0)</f>
        <v>0</v>
      </c>
      <c r="D58" s="129">
        <v>3</v>
      </c>
      <c r="E58" s="2">
        <f t="shared" si="9"/>
        <v>0</v>
      </c>
      <c r="F58" s="2">
        <f t="shared" si="11"/>
        <v>0</v>
      </c>
      <c r="G58" s="2"/>
      <c r="H58" s="2"/>
      <c r="J58" s="330">
        <f>C58-IFERROR(VLOOKUP(A58,'[1]FL DL&amp;OH FG'!$A:$K,3,0),0)</f>
        <v>0</v>
      </c>
      <c r="K58" s="326">
        <f t="shared" si="8"/>
        <v>0</v>
      </c>
    </row>
    <row r="59" spans="1:11">
      <c r="A59" s="4" t="s">
        <v>1882</v>
      </c>
      <c r="B59" t="s">
        <v>1883</v>
      </c>
      <c r="C59" s="228">
        <f>IFERROR(GETPIVOTDATA("Sum of qty",PT!$A$17,"product",A59,"FL/AZ","FL"),0)</f>
        <v>0</v>
      </c>
      <c r="D59" s="129">
        <v>3</v>
      </c>
      <c r="E59" s="2">
        <f t="shared" si="9"/>
        <v>0</v>
      </c>
      <c r="F59" s="2">
        <f t="shared" si="11"/>
        <v>0</v>
      </c>
      <c r="G59" s="2"/>
      <c r="H59" s="2"/>
      <c r="J59" s="330">
        <f>C59-IFERROR(VLOOKUP(A59,'[1]FL DL&amp;OH FG'!$A:$K,3,0),0)</f>
        <v>0</v>
      </c>
      <c r="K59" s="326">
        <f t="shared" si="8"/>
        <v>0</v>
      </c>
    </row>
    <row r="60" spans="1:11">
      <c r="A60" s="4" t="s">
        <v>1884</v>
      </c>
      <c r="B60" t="s">
        <v>1885</v>
      </c>
      <c r="C60" s="228">
        <f>IFERROR(GETPIVOTDATA("Sum of qty",PT!$A$17,"product",A60,"FL/AZ","FL"),0)</f>
        <v>0</v>
      </c>
      <c r="D60" s="129">
        <v>3</v>
      </c>
      <c r="E60" s="2">
        <f t="shared" si="9"/>
        <v>0</v>
      </c>
      <c r="F60" s="2">
        <f t="shared" si="11"/>
        <v>0</v>
      </c>
      <c r="G60" s="2"/>
      <c r="H60" s="2"/>
      <c r="J60" s="330">
        <f>C60-IFERROR(VLOOKUP(A60,'[1]FL DL&amp;OH FG'!$A:$K,3,0),0)</f>
        <v>0</v>
      </c>
      <c r="K60" s="326">
        <f t="shared" si="8"/>
        <v>0</v>
      </c>
    </row>
    <row r="61" spans="1:11">
      <c r="A61" s="4" t="s">
        <v>1886</v>
      </c>
      <c r="B61" t="s">
        <v>1887</v>
      </c>
      <c r="C61" s="228">
        <f>IFERROR(GETPIVOTDATA("Sum of qty",PT!$A$17,"product",A61,"FL/AZ","FL"),0)</f>
        <v>0</v>
      </c>
      <c r="D61" s="129">
        <v>3</v>
      </c>
      <c r="E61" s="2">
        <f t="shared" si="9"/>
        <v>0</v>
      </c>
      <c r="F61" s="2">
        <f t="shared" si="11"/>
        <v>0</v>
      </c>
      <c r="G61" s="2"/>
      <c r="H61" s="2"/>
      <c r="J61" s="330">
        <f>C61-IFERROR(VLOOKUP(A61,'[1]FL DL&amp;OH FG'!$A:$K,3,0),0)</f>
        <v>0</v>
      </c>
      <c r="K61" s="326">
        <f t="shared" si="8"/>
        <v>0</v>
      </c>
    </row>
    <row r="62" spans="1:11">
      <c r="A62" s="4" t="s">
        <v>1888</v>
      </c>
      <c r="B62" t="s">
        <v>1889</v>
      </c>
      <c r="C62" s="228">
        <f>IFERROR(GETPIVOTDATA("Sum of qty",PT!$A$17,"product",A62,"FL/AZ","FL"),0)</f>
        <v>0</v>
      </c>
      <c r="D62" s="129">
        <v>3</v>
      </c>
      <c r="E62" s="2">
        <f t="shared" ref="E62:E69" si="12">C62*D62</f>
        <v>0</v>
      </c>
      <c r="F62" s="2">
        <f t="shared" si="11"/>
        <v>0</v>
      </c>
      <c r="G62" s="2"/>
      <c r="H62" s="2"/>
      <c r="J62" s="330">
        <f>C62-IFERROR(VLOOKUP(A62,'[1]FL DL&amp;OH FG'!$A:$K,3,0),0)</f>
        <v>0</v>
      </c>
      <c r="K62" s="326">
        <f t="shared" si="8"/>
        <v>0</v>
      </c>
    </row>
    <row r="63" spans="1:11">
      <c r="A63" s="4" t="s">
        <v>1890</v>
      </c>
      <c r="B63" t="s">
        <v>1488</v>
      </c>
      <c r="C63" s="228">
        <f>IFERROR(GETPIVOTDATA("Sum of qty",PT!$A$17,"product",A63,"FL/AZ","FL"),0)</f>
        <v>0</v>
      </c>
      <c r="D63" s="129">
        <v>3</v>
      </c>
      <c r="E63" s="2">
        <f t="shared" si="12"/>
        <v>0</v>
      </c>
      <c r="F63" s="2">
        <f t="shared" si="11"/>
        <v>0</v>
      </c>
      <c r="G63" s="2"/>
      <c r="H63" s="2"/>
      <c r="J63" s="330">
        <f>C63-IFERROR(VLOOKUP(A63,'[1]FL DL&amp;OH FG'!$A:$K,3,0),0)</f>
        <v>0</v>
      </c>
      <c r="K63" s="326">
        <f t="shared" si="8"/>
        <v>0</v>
      </c>
    </row>
    <row r="64" spans="1:11">
      <c r="A64" s="4" t="s">
        <v>1891</v>
      </c>
      <c r="B64" t="s">
        <v>1892</v>
      </c>
      <c r="C64" s="228">
        <f>IFERROR(GETPIVOTDATA("Sum of qty",PT!$A$17,"product",A64,"FL/AZ","FL"),0)</f>
        <v>0</v>
      </c>
      <c r="D64" s="129">
        <v>3</v>
      </c>
      <c r="E64" s="2">
        <f t="shared" si="12"/>
        <v>0</v>
      </c>
      <c r="F64" s="2">
        <f t="shared" si="11"/>
        <v>0</v>
      </c>
      <c r="G64" s="2"/>
      <c r="H64" s="2"/>
      <c r="J64" s="330">
        <f>C64-IFERROR(VLOOKUP(A64,'[1]FL DL&amp;OH FG'!$A:$K,3,0),0)</f>
        <v>0</v>
      </c>
      <c r="K64" s="326">
        <f t="shared" si="8"/>
        <v>0</v>
      </c>
    </row>
    <row r="65" spans="1:11">
      <c r="A65" s="4" t="s">
        <v>1893</v>
      </c>
      <c r="B65" t="s">
        <v>1489</v>
      </c>
      <c r="C65" s="228">
        <f>IFERROR(GETPIVOTDATA("Sum of qty",PT!$A$17,"product",A65,"FL/AZ","FL"),0)</f>
        <v>0</v>
      </c>
      <c r="D65" s="129">
        <v>3</v>
      </c>
      <c r="E65" s="2">
        <f t="shared" si="12"/>
        <v>0</v>
      </c>
      <c r="F65" s="2">
        <f t="shared" si="11"/>
        <v>0</v>
      </c>
      <c r="G65" s="2"/>
      <c r="H65" s="2"/>
      <c r="J65" s="330">
        <f>C65-IFERROR(VLOOKUP(A65,'[1]FL DL&amp;OH FG'!$A:$K,3,0),0)</f>
        <v>0</v>
      </c>
      <c r="K65" s="326">
        <f t="shared" si="8"/>
        <v>0</v>
      </c>
    </row>
    <row r="66" spans="1:11">
      <c r="A66" s="4" t="s">
        <v>1894</v>
      </c>
      <c r="B66" t="s">
        <v>1490</v>
      </c>
      <c r="C66" s="228">
        <f>IFERROR(GETPIVOTDATA("Sum of qty",PT!$A$17,"product",A66,"FL/AZ","FL"),0)</f>
        <v>0</v>
      </c>
      <c r="D66" s="129">
        <v>3</v>
      </c>
      <c r="E66" s="2">
        <f t="shared" si="12"/>
        <v>0</v>
      </c>
      <c r="F66" s="2">
        <f t="shared" si="11"/>
        <v>0</v>
      </c>
      <c r="G66" s="2"/>
      <c r="H66" s="2"/>
      <c r="J66" s="330">
        <f>C66-IFERROR(VLOOKUP(A66,'[1]FL DL&amp;OH FG'!$A:$K,3,0),0)</f>
        <v>0</v>
      </c>
      <c r="K66" s="326">
        <f t="shared" si="8"/>
        <v>0</v>
      </c>
    </row>
    <row r="67" spans="1:11">
      <c r="A67" s="4" t="s">
        <v>1895</v>
      </c>
      <c r="B67" t="s">
        <v>1495</v>
      </c>
      <c r="C67" s="228">
        <f>IFERROR(GETPIVOTDATA("Sum of qty",PT!$A$17,"product",A67,"FL/AZ","FL"),0)</f>
        <v>0</v>
      </c>
      <c r="D67" s="129">
        <v>1.4410000000000001</v>
      </c>
      <c r="E67" s="2">
        <f t="shared" si="12"/>
        <v>0</v>
      </c>
      <c r="F67" s="2">
        <f t="shared" si="11"/>
        <v>0</v>
      </c>
      <c r="G67" s="2"/>
      <c r="H67" s="2"/>
      <c r="J67" s="330">
        <f>C67-IFERROR(VLOOKUP(A67,'[1]FL DL&amp;OH FG'!$A:$K,3,0),0)</f>
        <v>0</v>
      </c>
      <c r="K67" s="326">
        <f t="shared" si="8"/>
        <v>0</v>
      </c>
    </row>
    <row r="68" spans="1:11">
      <c r="A68" s="4" t="s">
        <v>1896</v>
      </c>
      <c r="B68" t="s">
        <v>1897</v>
      </c>
      <c r="C68" s="228">
        <f>IFERROR(GETPIVOTDATA("Sum of qty",PT!$A$17,"product",A68,"FL/AZ","FL"),0)</f>
        <v>0</v>
      </c>
      <c r="D68" s="129">
        <v>1.4410000000000001</v>
      </c>
      <c r="E68" s="2">
        <f t="shared" si="12"/>
        <v>0</v>
      </c>
      <c r="F68" s="2">
        <f t="shared" si="11"/>
        <v>0</v>
      </c>
      <c r="G68" s="2"/>
      <c r="H68" s="2"/>
      <c r="J68" s="330">
        <f>C68-IFERROR(VLOOKUP(A68,'[1]FL DL&amp;OH FG'!$A:$K,3,0),0)</f>
        <v>0</v>
      </c>
      <c r="K68" s="326">
        <f t="shared" si="8"/>
        <v>0</v>
      </c>
    </row>
    <row r="69" spans="1:11">
      <c r="A69" s="4" t="s">
        <v>1898</v>
      </c>
      <c r="B69" t="s">
        <v>1899</v>
      </c>
      <c r="C69" s="228">
        <f>IFERROR(GETPIVOTDATA("Sum of qty",PT!$A$17,"product",A69,"FL/AZ","FL"),0)</f>
        <v>0</v>
      </c>
      <c r="D69" s="129">
        <v>1.4410000000000001</v>
      </c>
      <c r="E69" s="2">
        <f t="shared" si="12"/>
        <v>0</v>
      </c>
      <c r="F69" s="2">
        <f t="shared" si="11"/>
        <v>0</v>
      </c>
      <c r="G69" s="2"/>
      <c r="H69" s="2"/>
      <c r="J69" s="330">
        <f>C69-IFERROR(VLOOKUP(A69,'[1]FL DL&amp;OH FG'!$A:$K,3,0),0)</f>
        <v>0</v>
      </c>
      <c r="K69" s="326">
        <f t="shared" si="8"/>
        <v>0</v>
      </c>
    </row>
    <row r="70" spans="1:11">
      <c r="A70" s="4" t="s">
        <v>1900</v>
      </c>
      <c r="B70" t="s">
        <v>1901</v>
      </c>
      <c r="C70" s="228">
        <f>IFERROR(GETPIVOTDATA("Sum of qty",PT!$A$17,"product",A70,"FL/AZ","FL"),0)</f>
        <v>0</v>
      </c>
      <c r="D70" s="129">
        <v>1.4410000000000001</v>
      </c>
      <c r="E70" s="2">
        <f t="shared" ref="E70:E105" si="13">C70*D70</f>
        <v>0</v>
      </c>
      <c r="F70" s="2">
        <f t="shared" si="11"/>
        <v>0</v>
      </c>
      <c r="G70" s="2"/>
      <c r="H70" s="2"/>
      <c r="J70" s="330">
        <f>C70-IFERROR(VLOOKUP(A70,'[1]FL DL&amp;OH FG'!$A:$K,3,0),0)</f>
        <v>0</v>
      </c>
      <c r="K70" s="326">
        <f t="shared" si="8"/>
        <v>0</v>
      </c>
    </row>
    <row r="71" spans="1:11">
      <c r="A71" s="4" t="s">
        <v>1902</v>
      </c>
      <c r="B71" t="s">
        <v>1489</v>
      </c>
      <c r="C71" s="228">
        <f>IFERROR(GETPIVOTDATA("Sum of qty",PT!$A$17,"product",A71,"FL/AZ","FL"),0)</f>
        <v>0</v>
      </c>
      <c r="D71" s="129">
        <v>1.4410000000000001</v>
      </c>
      <c r="E71" s="2">
        <f t="shared" si="13"/>
        <v>0</v>
      </c>
      <c r="F71" s="2">
        <f t="shared" si="11"/>
        <v>0</v>
      </c>
      <c r="G71" s="2"/>
      <c r="H71" s="2"/>
      <c r="J71" s="330">
        <f>C71-IFERROR(VLOOKUP(A71,'[1]FL DL&amp;OH FG'!$A:$K,3,0),0)</f>
        <v>0</v>
      </c>
      <c r="K71" s="326">
        <f t="shared" si="8"/>
        <v>0</v>
      </c>
    </row>
    <row r="72" spans="1:11">
      <c r="A72" s="4" t="s">
        <v>1903</v>
      </c>
      <c r="B72" t="s">
        <v>1904</v>
      </c>
      <c r="C72" s="228">
        <f>IFERROR(GETPIVOTDATA("Sum of qty",PT!$A$17,"product",A72,"FL/AZ","FL"),0)</f>
        <v>0</v>
      </c>
      <c r="D72" s="129">
        <v>1.4410000000000001</v>
      </c>
      <c r="E72" s="2">
        <f t="shared" si="13"/>
        <v>0</v>
      </c>
      <c r="F72" s="2">
        <f t="shared" si="11"/>
        <v>0</v>
      </c>
      <c r="G72" s="2"/>
      <c r="H72" s="2"/>
      <c r="J72" s="330">
        <f>C72-IFERROR(VLOOKUP(A72,'[1]FL DL&amp;OH FG'!$A:$K,3,0),0)</f>
        <v>0</v>
      </c>
      <c r="K72" s="326">
        <f t="shared" si="8"/>
        <v>0</v>
      </c>
    </row>
    <row r="73" spans="1:11">
      <c r="A73" s="4" t="s">
        <v>1905</v>
      </c>
      <c r="B73" t="s">
        <v>1906</v>
      </c>
      <c r="C73" s="228">
        <f>IFERROR(GETPIVOTDATA("Sum of qty",PT!$A$17,"product",A73,"FL/AZ","FL"),0)</f>
        <v>0</v>
      </c>
      <c r="D73" s="129">
        <v>1.4410000000000001</v>
      </c>
      <c r="E73" s="2">
        <f t="shared" si="13"/>
        <v>0</v>
      </c>
      <c r="F73" s="2">
        <f t="shared" si="11"/>
        <v>0</v>
      </c>
      <c r="G73" s="2"/>
      <c r="H73" s="2"/>
      <c r="J73" s="330">
        <f>C73-IFERROR(VLOOKUP(A73,'[1]FL DL&amp;OH FG'!$A:$K,3,0),0)</f>
        <v>0</v>
      </c>
      <c r="K73" s="326">
        <f t="shared" si="8"/>
        <v>0</v>
      </c>
    </row>
    <row r="74" spans="1:11">
      <c r="A74" s="4" t="s">
        <v>1907</v>
      </c>
      <c r="B74" t="s">
        <v>1908</v>
      </c>
      <c r="C74" s="228">
        <f>IFERROR(GETPIVOTDATA("Sum of qty",PT!$A$17,"product",A74,"FL/AZ","FL"),0)</f>
        <v>0</v>
      </c>
      <c r="D74" s="129">
        <v>1.4410000000000001</v>
      </c>
      <c r="E74" s="2">
        <f t="shared" si="13"/>
        <v>0</v>
      </c>
      <c r="F74" s="2">
        <f t="shared" si="11"/>
        <v>0</v>
      </c>
      <c r="G74" s="2"/>
      <c r="H74" s="2"/>
      <c r="J74" s="330">
        <f>C74-IFERROR(VLOOKUP(A74,'[1]FL DL&amp;OH FG'!$A:$K,3,0),0)</f>
        <v>0</v>
      </c>
      <c r="K74" s="326">
        <f t="shared" si="8"/>
        <v>0</v>
      </c>
    </row>
    <row r="75" spans="1:11">
      <c r="A75" s="4" t="s">
        <v>1909</v>
      </c>
      <c r="B75" t="s">
        <v>1910</v>
      </c>
      <c r="C75" s="228">
        <f>IFERROR(GETPIVOTDATA("Sum of qty",PT!$A$17,"product",A75,"FL/AZ","FL"),0)</f>
        <v>0</v>
      </c>
      <c r="D75" s="129">
        <v>1.4410000000000001</v>
      </c>
      <c r="E75" s="2">
        <f>C75*D75</f>
        <v>0</v>
      </c>
      <c r="F75" s="2">
        <f>E75</f>
        <v>0</v>
      </c>
      <c r="G75" s="2"/>
      <c r="H75" s="2"/>
      <c r="J75" s="330">
        <f>C75-IFERROR(VLOOKUP(A75,'[1]FL DL&amp;OH FG'!$A:$K,3,0),0)</f>
        <v>0</v>
      </c>
      <c r="K75" s="326">
        <f t="shared" si="8"/>
        <v>0</v>
      </c>
    </row>
    <row r="76" spans="1:11">
      <c r="A76" s="4" t="s">
        <v>1911</v>
      </c>
      <c r="B76" t="s">
        <v>1912</v>
      </c>
      <c r="C76" s="228">
        <f>IFERROR(GETPIVOTDATA("Sum of qty",PT!$A$17,"product",A76,"FL/AZ","FL"),0)</f>
        <v>0</v>
      </c>
      <c r="D76" s="129">
        <v>1.4410000000000001</v>
      </c>
      <c r="E76" s="2">
        <f>C76*D76</f>
        <v>0</v>
      </c>
      <c r="F76" s="2">
        <f>E76</f>
        <v>0</v>
      </c>
      <c r="G76" s="2"/>
      <c r="H76" s="2"/>
      <c r="J76" s="330">
        <f>C76-IFERROR(VLOOKUP(A76,'[1]FL DL&amp;OH FG'!$A:$K,3,0),0)</f>
        <v>0</v>
      </c>
      <c r="K76" s="326">
        <f t="shared" si="8"/>
        <v>0</v>
      </c>
    </row>
    <row r="77" spans="1:11">
      <c r="A77" s="4" t="s">
        <v>1913</v>
      </c>
      <c r="B77" t="s">
        <v>1914</v>
      </c>
      <c r="C77" s="228">
        <f>IFERROR(GETPIVOTDATA("Sum of qty",PT!$A$17,"product",A77,"FL/AZ","FL"),0)</f>
        <v>0</v>
      </c>
      <c r="D77" s="129">
        <v>1.4410000000000001</v>
      </c>
      <c r="E77" s="2">
        <f>C77*D77</f>
        <v>0</v>
      </c>
      <c r="F77" s="2">
        <f>E77</f>
        <v>0</v>
      </c>
      <c r="G77" s="2"/>
      <c r="H77" s="2"/>
      <c r="J77" s="330">
        <f>C77-IFERROR(VLOOKUP(A77,'[1]FL DL&amp;OH FG'!$A:$K,3,0),0)</f>
        <v>0</v>
      </c>
      <c r="K77" s="326">
        <f t="shared" si="8"/>
        <v>0</v>
      </c>
    </row>
    <row r="78" spans="1:11">
      <c r="A78" s="4" t="s">
        <v>1915</v>
      </c>
      <c r="B78" t="s">
        <v>1916</v>
      </c>
      <c r="C78" s="228">
        <f>IFERROR(GETPIVOTDATA("Sum of qty",PT!$A$17,"product",A78,"FL/AZ","FL"),0)</f>
        <v>0</v>
      </c>
      <c r="D78" s="129">
        <v>1.4410000000000001</v>
      </c>
      <c r="E78" s="2">
        <f t="shared" si="13"/>
        <v>0</v>
      </c>
      <c r="F78" s="2">
        <f t="shared" si="11"/>
        <v>0</v>
      </c>
      <c r="G78" s="2"/>
      <c r="H78" s="2"/>
      <c r="J78" s="330">
        <f>C78-IFERROR(VLOOKUP(A78,'[1]FL DL&amp;OH FG'!$A:$K,3,0),0)</f>
        <v>0</v>
      </c>
      <c r="K78" s="326">
        <f t="shared" si="8"/>
        <v>0</v>
      </c>
    </row>
    <row r="79" spans="1:11">
      <c r="A79" s="4" t="s">
        <v>1917</v>
      </c>
      <c r="B79" t="s">
        <v>1501</v>
      </c>
      <c r="C79" s="228">
        <f>IFERROR(GETPIVOTDATA("Sum of qty",PT!$A$17,"product",A79,"FL/AZ","FL"),0)</f>
        <v>0</v>
      </c>
      <c r="D79" s="129">
        <v>1.4410000000000001</v>
      </c>
      <c r="E79" s="2">
        <f t="shared" si="13"/>
        <v>0</v>
      </c>
      <c r="F79" s="2">
        <f t="shared" si="11"/>
        <v>0</v>
      </c>
      <c r="G79" s="2"/>
      <c r="H79" s="2"/>
      <c r="J79" s="330">
        <f>C79-IFERROR(VLOOKUP(A79,'[1]FL DL&amp;OH FG'!$A:$K,3,0),0)</f>
        <v>0</v>
      </c>
      <c r="K79" s="326">
        <f t="shared" si="8"/>
        <v>0</v>
      </c>
    </row>
    <row r="80" spans="1:11">
      <c r="A80" s="4" t="s">
        <v>1918</v>
      </c>
      <c r="B80" t="s">
        <v>1502</v>
      </c>
      <c r="C80" s="228">
        <f>IFERROR(GETPIVOTDATA("Sum of qty",PT!$A$17,"product",A80,"FL/AZ","FL"),0)</f>
        <v>0</v>
      </c>
      <c r="D80" s="129">
        <v>3</v>
      </c>
      <c r="E80" s="2">
        <f>C80*D80</f>
        <v>0</v>
      </c>
      <c r="F80" s="2">
        <f>E80</f>
        <v>0</v>
      </c>
      <c r="G80" s="2"/>
      <c r="H80" s="2"/>
      <c r="J80" s="330">
        <f>C80-IFERROR(VLOOKUP(A80,'[1]FL DL&amp;OH FG'!$A:$K,3,0),0)</f>
        <v>0</v>
      </c>
      <c r="K80" s="326">
        <f t="shared" si="8"/>
        <v>0</v>
      </c>
    </row>
    <row r="81" spans="1:11">
      <c r="A81" s="4" t="s">
        <v>1919</v>
      </c>
      <c r="B81" t="s">
        <v>327</v>
      </c>
      <c r="C81" s="228">
        <f>IFERROR(GETPIVOTDATA("Sum of qty",PT!$A$17,"product",A81,"FL/AZ","FL"),0)</f>
        <v>5294</v>
      </c>
      <c r="D81" s="129">
        <v>2.88</v>
      </c>
      <c r="E81" s="2">
        <f>C81*D81</f>
        <v>15246.72</v>
      </c>
      <c r="F81" s="2">
        <f>E81</f>
        <v>15246.72</v>
      </c>
      <c r="G81" s="2"/>
      <c r="H81" s="2"/>
      <c r="I81" s="18">
        <f>0.15*E81</f>
        <v>2287.0079999999998</v>
      </c>
      <c r="J81" s="330">
        <f>C81-IFERROR(VLOOKUP(A81,'[1]FL DL&amp;OH FG'!$A:$K,3,0),0)</f>
        <v>277</v>
      </c>
      <c r="K81" s="326">
        <f t="shared" si="8"/>
        <v>797.76</v>
      </c>
    </row>
    <row r="82" spans="1:11">
      <c r="A82" s="4" t="s">
        <v>1920</v>
      </c>
      <c r="B82" t="s">
        <v>398</v>
      </c>
      <c r="C82" s="228">
        <f>IFERROR(GETPIVOTDATA("Sum of qty",PT!$A$17,"product",A82,"FL/AZ","FL"),0)</f>
        <v>600</v>
      </c>
      <c r="D82" s="129">
        <v>2.88</v>
      </c>
      <c r="E82" s="2">
        <f>C82*D82</f>
        <v>1728</v>
      </c>
      <c r="F82" s="2">
        <f>E82</f>
        <v>1728</v>
      </c>
      <c r="G82" s="2"/>
      <c r="H82" s="2"/>
      <c r="J82" s="330">
        <f>C82-IFERROR(VLOOKUP(A82,'[1]FL DL&amp;OH FG'!$A:$K,3,0),0)</f>
        <v>-6303</v>
      </c>
      <c r="K82" s="326">
        <f t="shared" si="8"/>
        <v>-18152.64</v>
      </c>
    </row>
    <row r="83" spans="1:11">
      <c r="A83" s="4" t="s">
        <v>1921</v>
      </c>
      <c r="B83" t="s">
        <v>1922</v>
      </c>
      <c r="C83" s="228">
        <f>IFERROR(GETPIVOTDATA("Sum of qty",PT!$A$17,"product",A83,"FL/AZ","FL"),0)</f>
        <v>0</v>
      </c>
      <c r="D83" s="129">
        <v>2.88</v>
      </c>
      <c r="E83" s="2">
        <f>C83*D83</f>
        <v>0</v>
      </c>
      <c r="F83" s="2">
        <f>E83</f>
        <v>0</v>
      </c>
      <c r="G83" s="2"/>
      <c r="H83" s="2"/>
      <c r="J83" s="330">
        <f>C83-IFERROR(VLOOKUP(A83,'[1]FL DL&amp;OH FG'!$A:$K,3,0),0)</f>
        <v>0</v>
      </c>
      <c r="K83" s="326">
        <f t="shared" si="8"/>
        <v>0</v>
      </c>
    </row>
    <row r="84" spans="1:11">
      <c r="A84" s="4" t="s">
        <v>1923</v>
      </c>
      <c r="B84" t="s">
        <v>1924</v>
      </c>
      <c r="C84" s="228">
        <f>IFERROR(GETPIVOTDATA("Sum of qty",PT!$A$17,"product",A84,"FL/AZ","FL"),0)</f>
        <v>0</v>
      </c>
      <c r="D84" s="129">
        <v>3</v>
      </c>
      <c r="E84" s="2">
        <f t="shared" si="13"/>
        <v>0</v>
      </c>
      <c r="F84" s="2">
        <f t="shared" si="11"/>
        <v>0</v>
      </c>
      <c r="G84" s="2"/>
      <c r="H84" s="2"/>
      <c r="J84" s="330">
        <f>C84-IFERROR(VLOOKUP(A84,'[1]FL DL&amp;OH FG'!$A:$K,3,0),0)</f>
        <v>0</v>
      </c>
      <c r="K84" s="326">
        <f t="shared" si="8"/>
        <v>0</v>
      </c>
    </row>
    <row r="85" spans="1:11">
      <c r="A85" s="4" t="s">
        <v>1925</v>
      </c>
      <c r="B85" t="s">
        <v>1926</v>
      </c>
      <c r="C85" s="228">
        <f>IFERROR(GETPIVOTDATA("Sum of qty",PT!$A$17,"product",A85,"FL/AZ","FL"),0)</f>
        <v>0</v>
      </c>
      <c r="D85" s="129">
        <v>2.88</v>
      </c>
      <c r="E85" s="2">
        <f t="shared" si="13"/>
        <v>0</v>
      </c>
      <c r="F85" s="2">
        <f t="shared" si="11"/>
        <v>0</v>
      </c>
      <c r="G85" s="2"/>
      <c r="H85" s="2"/>
      <c r="J85" s="330">
        <f>C85-IFERROR(VLOOKUP(A85,'[1]FL DL&amp;OH FG'!$A:$K,3,0),0)</f>
        <v>0</v>
      </c>
      <c r="K85" s="326">
        <f t="shared" si="8"/>
        <v>0</v>
      </c>
    </row>
    <row r="86" spans="1:11">
      <c r="A86" s="4" t="s">
        <v>1927</v>
      </c>
      <c r="B86" s="157" t="s">
        <v>1928</v>
      </c>
      <c r="C86" s="228">
        <f>IFERROR(GETPIVOTDATA("Sum of qty",PT!$A$17,"product",A86,"FL/AZ","FL"),0)</f>
        <v>0</v>
      </c>
      <c r="D86" s="129">
        <v>3</v>
      </c>
      <c r="E86" s="2">
        <f t="shared" si="13"/>
        <v>0</v>
      </c>
      <c r="F86" s="2">
        <f t="shared" si="11"/>
        <v>0</v>
      </c>
      <c r="G86" s="2"/>
      <c r="H86" s="2"/>
      <c r="J86" s="330">
        <f>C86-IFERROR(VLOOKUP(A86,'[1]FL DL&amp;OH FG'!$A:$K,3,0),0)</f>
        <v>0</v>
      </c>
      <c r="K86" s="326">
        <f t="shared" si="8"/>
        <v>0</v>
      </c>
    </row>
    <row r="87" spans="1:11">
      <c r="A87" s="4" t="s">
        <v>1929</v>
      </c>
      <c r="B87" s="157" t="s">
        <v>1930</v>
      </c>
      <c r="C87" s="228">
        <f>IFERROR(GETPIVOTDATA("Sum of qty",PT!$A$17,"product",A87,"FL/AZ","FL"),0)</f>
        <v>0</v>
      </c>
      <c r="D87" s="129">
        <f>6*16/128</f>
        <v>0.75</v>
      </c>
      <c r="E87" s="2">
        <f t="shared" ref="E87:E92" si="14">C87*D87</f>
        <v>0</v>
      </c>
      <c r="F87" s="2"/>
      <c r="G87" s="2"/>
      <c r="H87" s="2"/>
      <c r="J87" s="330">
        <f>C87-IFERROR(VLOOKUP(A87,'[1]FL DL&amp;OH FG'!$A:$K,3,0),0)</f>
        <v>0</v>
      </c>
      <c r="K87" s="326">
        <f t="shared" si="8"/>
        <v>0</v>
      </c>
    </row>
    <row r="88" spans="1:11">
      <c r="A88" s="4" t="s">
        <v>1931</v>
      </c>
      <c r="B88" s="157" t="s">
        <v>1932</v>
      </c>
      <c r="C88" s="228">
        <f>IFERROR(GETPIVOTDATA("Sum of qty",PT!$A$17,"product",A88,"FL/AZ","FL"),0)</f>
        <v>0</v>
      </c>
      <c r="D88" s="129">
        <f>6*0.125</f>
        <v>0.75</v>
      </c>
      <c r="E88" s="2">
        <f t="shared" si="14"/>
        <v>0</v>
      </c>
      <c r="F88" s="2"/>
      <c r="G88" s="2"/>
      <c r="H88" s="2"/>
      <c r="J88" s="330">
        <f>C88-IFERROR(VLOOKUP(A88,'[1]FL DL&amp;OH FG'!$A:$K,3,0),0)</f>
        <v>0</v>
      </c>
      <c r="K88" s="326">
        <f t="shared" si="8"/>
        <v>0</v>
      </c>
    </row>
    <row r="89" spans="1:11">
      <c r="A89" s="4" t="s">
        <v>1933</v>
      </c>
      <c r="B89" s="157" t="s">
        <v>1934</v>
      </c>
      <c r="C89" s="228">
        <f>IFERROR(GETPIVOTDATA("Sum of qty",PT!$A$17,"product",A89,"FL/AZ","FL"),0)</f>
        <v>0</v>
      </c>
      <c r="D89" s="129">
        <f>6*0.125</f>
        <v>0.75</v>
      </c>
      <c r="E89" s="2">
        <f t="shared" si="14"/>
        <v>0</v>
      </c>
      <c r="F89" s="2"/>
      <c r="G89" s="2"/>
      <c r="H89" s="2"/>
      <c r="J89" s="330">
        <f>C89-IFERROR(VLOOKUP(A89,'[1]FL DL&amp;OH FG'!$A:$K,3,0),0)</f>
        <v>0</v>
      </c>
      <c r="K89" s="326">
        <f t="shared" si="8"/>
        <v>0</v>
      </c>
    </row>
    <row r="90" spans="1:11">
      <c r="A90" s="163" t="s">
        <v>1935</v>
      </c>
      <c r="B90" s="157" t="s">
        <v>1936</v>
      </c>
      <c r="C90" s="228">
        <f>IFERROR(GETPIVOTDATA("Sum of qty",PT!$A$17,"product",A90,"FL/AZ","FL"),0)</f>
        <v>0</v>
      </c>
      <c r="D90" s="129">
        <f>6*0.125</f>
        <v>0.75</v>
      </c>
      <c r="E90" s="2">
        <f t="shared" si="14"/>
        <v>0</v>
      </c>
      <c r="F90" s="2"/>
      <c r="G90" s="2"/>
      <c r="H90" s="2"/>
      <c r="J90" s="330">
        <f>C90-IFERROR(VLOOKUP(A90,'[1]FL DL&amp;OH FG'!$A:$K,3,0),0)</f>
        <v>0</v>
      </c>
      <c r="K90" s="326">
        <f t="shared" si="8"/>
        <v>0</v>
      </c>
    </row>
    <row r="91" spans="1:11">
      <c r="A91" s="4" t="s">
        <v>1937</v>
      </c>
      <c r="B91" s="157" t="s">
        <v>1938</v>
      </c>
      <c r="C91" s="228">
        <f>IFERROR(GETPIVOTDATA("Sum of qty",PT!$A$17,"product",A91,"FL/AZ","FL"),0)</f>
        <v>0</v>
      </c>
      <c r="D91" s="129">
        <f>6*0.125</f>
        <v>0.75</v>
      </c>
      <c r="E91" s="2">
        <f t="shared" si="14"/>
        <v>0</v>
      </c>
      <c r="F91" s="2"/>
      <c r="G91" s="2"/>
      <c r="H91" s="2"/>
      <c r="J91" s="330">
        <f>C91-IFERROR(VLOOKUP(A91,'[1]FL DL&amp;OH FG'!$A:$K,3,0),0)</f>
        <v>0</v>
      </c>
      <c r="K91" s="326">
        <f t="shared" si="8"/>
        <v>0</v>
      </c>
    </row>
    <row r="92" spans="1:11">
      <c r="A92" s="163" t="s">
        <v>1939</v>
      </c>
      <c r="B92" s="157" t="s">
        <v>1940</v>
      </c>
      <c r="C92" s="228">
        <f>IFERROR(GETPIVOTDATA("Sum of qty",PT!$A$17,"product",A92,"FL/AZ","FL"),0)</f>
        <v>0</v>
      </c>
      <c r="D92" s="129">
        <f>6*0.125</f>
        <v>0.75</v>
      </c>
      <c r="E92" s="2">
        <f t="shared" si="14"/>
        <v>0</v>
      </c>
      <c r="F92" s="2"/>
      <c r="G92" s="2"/>
      <c r="H92" s="2"/>
      <c r="J92" s="330">
        <f>C92-IFERROR(VLOOKUP(A92,'[1]FL DL&amp;OH FG'!$A:$K,3,0),0)</f>
        <v>0</v>
      </c>
      <c r="K92" s="326">
        <f t="shared" si="8"/>
        <v>0</v>
      </c>
    </row>
    <row r="93" spans="1:11">
      <c r="A93" s="163" t="s">
        <v>1941</v>
      </c>
      <c r="B93" s="157" t="s">
        <v>1942</v>
      </c>
      <c r="C93" s="228">
        <f>IFERROR(GETPIVOTDATA("Sum of qty",PT!$A$17,"product",A93,"FL/AZ","FL"),0)</f>
        <v>0</v>
      </c>
      <c r="D93" s="129">
        <f>15.2/128*12</f>
        <v>1.4249999999999998</v>
      </c>
      <c r="E93" s="2">
        <f t="shared" ref="E93" si="15">C93*D93</f>
        <v>0</v>
      </c>
      <c r="F93" s="2"/>
      <c r="G93" s="2"/>
      <c r="H93" s="2"/>
      <c r="J93" s="330">
        <f>C93-IFERROR(VLOOKUP(A93,'[1]FL DL&amp;OH FG'!$A:$K,3,0),0)</f>
        <v>0</v>
      </c>
      <c r="K93" s="326">
        <f t="shared" si="8"/>
        <v>0</v>
      </c>
    </row>
    <row r="94" spans="1:11">
      <c r="A94" s="4" t="s">
        <v>1943</v>
      </c>
      <c r="B94" s="157" t="s">
        <v>1506</v>
      </c>
      <c r="C94" s="228">
        <f>IFERROR(GETPIVOTDATA("Sum of qty",PT!$A$17,"product",A94,"FL/AZ","FL"),0)</f>
        <v>0</v>
      </c>
      <c r="D94" s="129">
        <f>12*0.09375</f>
        <v>1.125</v>
      </c>
      <c r="E94" s="2">
        <f t="shared" si="13"/>
        <v>0</v>
      </c>
      <c r="F94" s="2"/>
      <c r="G94" s="2"/>
      <c r="H94" s="2"/>
      <c r="J94" s="330">
        <f>C94-IFERROR(VLOOKUP(A94,'[1]FL DL&amp;OH FG'!$A:$K,3,0),0)</f>
        <v>0</v>
      </c>
      <c r="K94" s="326">
        <f t="shared" si="8"/>
        <v>0</v>
      </c>
    </row>
    <row r="95" spans="1:11">
      <c r="A95" s="4" t="s">
        <v>1944</v>
      </c>
      <c r="B95" s="157" t="s">
        <v>1508</v>
      </c>
      <c r="C95" s="228">
        <f>IFERROR(GETPIVOTDATA("Sum of qty",PT!$A$17,"product",A95,"FL/AZ","FL"),0)</f>
        <v>0</v>
      </c>
      <c r="D95" s="129">
        <f>6*0.25</f>
        <v>1.5</v>
      </c>
      <c r="E95" s="2">
        <f t="shared" si="13"/>
        <v>0</v>
      </c>
      <c r="F95" s="2"/>
      <c r="G95" s="2"/>
      <c r="H95" s="2"/>
      <c r="J95" s="330">
        <f>C95-IFERROR(VLOOKUP(A95,'[1]FL DL&amp;OH FG'!$A:$K,3,0),0)</f>
        <v>0</v>
      </c>
      <c r="K95" s="326">
        <f t="shared" si="8"/>
        <v>0</v>
      </c>
    </row>
    <row r="96" spans="1:11">
      <c r="A96" s="4" t="s">
        <v>1945</v>
      </c>
      <c r="B96" s="157" t="s">
        <v>1509</v>
      </c>
      <c r="C96" s="228">
        <f>IFERROR(GETPIVOTDATA("Sum of qty",PT!$A$17,"product",A96,"FL/AZ","FL"),0)</f>
        <v>0</v>
      </c>
      <c r="D96" s="129">
        <f>6*0.25</f>
        <v>1.5</v>
      </c>
      <c r="E96" s="2">
        <f>C96*D96</f>
        <v>0</v>
      </c>
      <c r="F96" s="2"/>
      <c r="G96" s="2"/>
      <c r="H96" s="2"/>
      <c r="J96" s="330">
        <f>C96-IFERROR(VLOOKUP(A96,'[1]FL DL&amp;OH FG'!$A:$K,3,0),0)</f>
        <v>0</v>
      </c>
      <c r="K96" s="326">
        <f t="shared" si="8"/>
        <v>0</v>
      </c>
    </row>
    <row r="97" spans="1:11">
      <c r="A97" s="4" t="s">
        <v>1946</v>
      </c>
      <c r="B97" s="157" t="s">
        <v>1510</v>
      </c>
      <c r="C97" s="228">
        <f>IFERROR(GETPIVOTDATA("Sum of qty",PT!$A$17,"product",A97,"FL/AZ","FL"),0)</f>
        <v>0</v>
      </c>
      <c r="D97" s="129">
        <f>12*0.09375</f>
        <v>1.125</v>
      </c>
      <c r="E97" s="2">
        <f t="shared" si="13"/>
        <v>0</v>
      </c>
      <c r="F97" s="2"/>
      <c r="G97" s="2"/>
      <c r="H97" s="2"/>
      <c r="J97" s="330">
        <f>C97-IFERROR(VLOOKUP(A97,'[1]FL DL&amp;OH FG'!$A:$K,3,0),0)</f>
        <v>0</v>
      </c>
      <c r="K97" s="326">
        <f t="shared" si="8"/>
        <v>0</v>
      </c>
    </row>
    <row r="98" spans="1:11">
      <c r="A98" s="4" t="s">
        <v>1947</v>
      </c>
      <c r="B98" s="157" t="s">
        <v>1511</v>
      </c>
      <c r="C98" s="228">
        <f>IFERROR(GETPIVOTDATA("Sum of qty",PT!$A$17,"product",A98,"FL/AZ","FL"),0)</f>
        <v>0</v>
      </c>
      <c r="D98" s="129">
        <v>1.5</v>
      </c>
      <c r="E98" s="2">
        <f t="shared" si="13"/>
        <v>0</v>
      </c>
      <c r="F98" s="2"/>
      <c r="G98" s="2"/>
      <c r="H98" s="2"/>
      <c r="J98" s="330">
        <f>C98-IFERROR(VLOOKUP(A98,'[1]FL DL&amp;OH FG'!$A:$K,3,0),0)</f>
        <v>0</v>
      </c>
      <c r="K98" s="326">
        <f t="shared" si="8"/>
        <v>0</v>
      </c>
    </row>
    <row r="99" spans="1:11">
      <c r="A99" s="244" t="s">
        <v>1948</v>
      </c>
      <c r="B99" s="157" t="s">
        <v>1512</v>
      </c>
      <c r="C99" s="228">
        <f>IFERROR(GETPIVOTDATA("Sum of qty",PT!$A$17,"product",A99,"FL/AZ","FL"),0)</f>
        <v>0</v>
      </c>
      <c r="D99" s="129">
        <f>0.03125*123</f>
        <v>3.84375</v>
      </c>
      <c r="E99" s="2">
        <f t="shared" ref="E99" si="16">C99*D99</f>
        <v>0</v>
      </c>
      <c r="F99" s="2"/>
      <c r="G99" s="2"/>
      <c r="H99" s="2"/>
      <c r="J99" s="330">
        <f>C99-IFERROR(VLOOKUP(A99,'[1]FL DL&amp;OH FG'!$A:$K,3,0),0)</f>
        <v>0</v>
      </c>
      <c r="K99" s="326">
        <f t="shared" si="8"/>
        <v>0</v>
      </c>
    </row>
    <row r="100" spans="1:11">
      <c r="A100" s="4" t="s">
        <v>1513</v>
      </c>
      <c r="B100" s="157" t="s">
        <v>1514</v>
      </c>
      <c r="C100" s="228">
        <f>IFERROR(GETPIVOTDATA("Sum of qty",PT!$A$17,"product",A100,"FL/AZ","FL"),0)</f>
        <v>0</v>
      </c>
      <c r="D100" s="129">
        <f>0.03125*123</f>
        <v>3.84375</v>
      </c>
      <c r="E100" s="2">
        <f t="shared" si="13"/>
        <v>0</v>
      </c>
      <c r="F100" s="2">
        <f>E100</f>
        <v>0</v>
      </c>
      <c r="G100" s="2"/>
      <c r="H100" s="2"/>
      <c r="J100" s="330">
        <f>C100-IFERROR(VLOOKUP(A100,'[1]FL DL&amp;OH FG'!$A:$K,3,0),0)</f>
        <v>0</v>
      </c>
      <c r="K100" s="326">
        <f t="shared" si="8"/>
        <v>0</v>
      </c>
    </row>
    <row r="101" spans="1:11">
      <c r="A101" s="4" t="s">
        <v>1515</v>
      </c>
      <c r="B101" s="157" t="s">
        <v>1516</v>
      </c>
      <c r="C101" s="228">
        <f>IFERROR(GETPIVOTDATA("Sum of qty",PT!$A$17,"product",A101,"FL/AZ","FL"),0)</f>
        <v>0</v>
      </c>
      <c r="D101" s="129">
        <f>6*30/128</f>
        <v>1.40625</v>
      </c>
      <c r="E101" s="2">
        <f t="shared" si="13"/>
        <v>0</v>
      </c>
      <c r="F101" s="2">
        <f>E101</f>
        <v>0</v>
      </c>
      <c r="G101" s="2"/>
      <c r="H101" s="2"/>
      <c r="J101" s="330">
        <f>C101-IFERROR(VLOOKUP(A101,'[1]FL DL&amp;OH FG'!$A:$K,3,0),0)</f>
        <v>0</v>
      </c>
      <c r="K101" s="326">
        <f t="shared" ref="K101:K168" si="17">J101*D101</f>
        <v>0</v>
      </c>
    </row>
    <row r="102" spans="1:11">
      <c r="A102" s="4" t="s">
        <v>1949</v>
      </c>
      <c r="B102" s="157" t="s">
        <v>1517</v>
      </c>
      <c r="C102" s="228">
        <f>IFERROR(GETPIVOTDATA("Sum of qty",PT!$A$17,"product",A102,"FL/AZ","FL"),0)</f>
        <v>0</v>
      </c>
      <c r="D102" s="129">
        <f>12*0.09375</f>
        <v>1.125</v>
      </c>
      <c r="E102" s="2">
        <f t="shared" si="13"/>
        <v>0</v>
      </c>
      <c r="F102" s="2"/>
      <c r="G102" s="2"/>
      <c r="H102" s="2"/>
      <c r="J102" s="330">
        <f>C102-IFERROR(VLOOKUP(A102,'[1]FL DL&amp;OH FG'!$A:$K,3,0),0)</f>
        <v>0</v>
      </c>
      <c r="K102" s="326">
        <f t="shared" si="17"/>
        <v>0</v>
      </c>
    </row>
    <row r="103" spans="1:11">
      <c r="A103" s="4" t="s">
        <v>1950</v>
      </c>
      <c r="B103" s="157" t="s">
        <v>1518</v>
      </c>
      <c r="C103" s="228">
        <f>IFERROR(GETPIVOTDATA("Sum of qty",PT!$A$17,"product",A103,"FL/AZ","FL"),0)</f>
        <v>0</v>
      </c>
      <c r="D103" s="129">
        <v>1.5</v>
      </c>
      <c r="E103" s="2">
        <f t="shared" si="13"/>
        <v>0</v>
      </c>
      <c r="F103" s="2"/>
      <c r="G103" s="2"/>
      <c r="H103" s="2"/>
      <c r="J103" s="330">
        <f>C103-IFERROR(VLOOKUP(A103,'[1]FL DL&amp;OH FG'!$A:$K,3,0),0)</f>
        <v>0</v>
      </c>
      <c r="K103" s="326">
        <f t="shared" si="17"/>
        <v>0</v>
      </c>
    </row>
    <row r="104" spans="1:11">
      <c r="A104" s="4" t="s">
        <v>1951</v>
      </c>
      <c r="B104" t="s">
        <v>1952</v>
      </c>
      <c r="C104" s="228">
        <f>IFERROR(GETPIVOTDATA("Sum of qty",PT!$A$17,"product",A104,"FL/AZ","FL"),0)</f>
        <v>0</v>
      </c>
      <c r="D104" s="129">
        <v>3</v>
      </c>
      <c r="E104" s="2">
        <f t="shared" si="13"/>
        <v>0</v>
      </c>
      <c r="F104" s="2"/>
      <c r="G104" s="2"/>
      <c r="H104" s="2"/>
      <c r="J104" s="330">
        <f>C104-IFERROR(VLOOKUP(A104,'[1]FL DL&amp;OH FG'!$A:$K,3,0),0)</f>
        <v>0</v>
      </c>
      <c r="K104" s="326">
        <f t="shared" si="17"/>
        <v>0</v>
      </c>
    </row>
    <row r="105" spans="1:11">
      <c r="A105" s="4" t="s">
        <v>1953</v>
      </c>
      <c r="B105" t="s">
        <v>1954</v>
      </c>
      <c r="C105" s="228">
        <f>IFERROR(GETPIVOTDATA("Sum of qty",PT!$A$17,"product",A105,"FL/AZ","FL"),0)</f>
        <v>0</v>
      </c>
      <c r="D105" s="129">
        <v>2.25</v>
      </c>
      <c r="E105" s="2">
        <f t="shared" si="13"/>
        <v>0</v>
      </c>
      <c r="F105" s="2"/>
      <c r="G105" s="2"/>
      <c r="H105" s="2"/>
      <c r="J105" s="330">
        <f>C105-IFERROR(VLOOKUP(A105,'[1]FL DL&amp;OH FG'!$A:$K,3,0),0)</f>
        <v>0</v>
      </c>
      <c r="K105" s="326">
        <f t="shared" si="17"/>
        <v>0</v>
      </c>
    </row>
    <row r="106" spans="1:11">
      <c r="A106" s="244" t="s">
        <v>1955</v>
      </c>
      <c r="B106" t="s">
        <v>1522</v>
      </c>
      <c r="C106" s="228">
        <f>IFERROR(GETPIVOTDATA("Sum of qty",PT!$A$17,"product",A106,"FL/AZ","FL"),0)</f>
        <v>0</v>
      </c>
      <c r="D106" s="129">
        <f>61.5*0.046875</f>
        <v>2.8828125</v>
      </c>
      <c r="E106" s="2">
        <f t="shared" ref="E106" si="18">C106*D106</f>
        <v>0</v>
      </c>
      <c r="F106" s="2">
        <f>E106</f>
        <v>0</v>
      </c>
      <c r="G106" s="2"/>
      <c r="H106" s="2"/>
      <c r="J106" s="330">
        <f>C106-IFERROR(VLOOKUP(A106,'[1]FL DL&amp;OH FG'!$A:$K,3,0),0)</f>
        <v>0</v>
      </c>
      <c r="K106" s="326">
        <f t="shared" si="17"/>
        <v>0</v>
      </c>
    </row>
    <row r="107" spans="1:11">
      <c r="A107" s="4" t="s">
        <v>1956</v>
      </c>
      <c r="B107" t="s">
        <v>1957</v>
      </c>
      <c r="C107" s="228">
        <f>IFERROR(GETPIVOTDATA("Sum of qty",PT!$A$17,"product",A107,"FL/AZ","FL"),0)</f>
        <v>0</v>
      </c>
      <c r="D107" s="129">
        <v>4.5</v>
      </c>
      <c r="E107" s="2">
        <f>C107*D107</f>
        <v>0</v>
      </c>
      <c r="F107" s="2"/>
      <c r="G107" s="2"/>
      <c r="H107" s="2"/>
      <c r="J107" s="330">
        <f>C107-IFERROR(VLOOKUP(A107,'[1]FL DL&amp;OH FG'!$A:$K,3,0),0)</f>
        <v>0</v>
      </c>
      <c r="K107" s="326">
        <f t="shared" si="17"/>
        <v>0</v>
      </c>
    </row>
    <row r="108" spans="1:11">
      <c r="A108" s="4" t="s">
        <v>1958</v>
      </c>
      <c r="B108" t="s">
        <v>1959</v>
      </c>
      <c r="C108" s="228">
        <f>IFERROR(GETPIVOTDATA("Sum of qty",PT!$A$17,"product",A108,"FL/AZ","FL"),0)</f>
        <v>0</v>
      </c>
      <c r="D108" s="129">
        <v>45</v>
      </c>
      <c r="E108" s="2">
        <f>C108*D108</f>
        <v>0</v>
      </c>
      <c r="F108" s="1">
        <f>E108</f>
        <v>0</v>
      </c>
      <c r="G108" s="2"/>
      <c r="H108" s="2"/>
      <c r="J108" s="330">
        <f>C108-IFERROR(VLOOKUP(A108,'[1]FL DL&amp;OH FG'!$A:$K,3,0),0)</f>
        <v>0</v>
      </c>
      <c r="K108" s="326">
        <f t="shared" si="17"/>
        <v>0</v>
      </c>
    </row>
    <row r="109" spans="1:11">
      <c r="A109" s="4" t="s">
        <v>1960</v>
      </c>
      <c r="B109" t="s">
        <v>1961</v>
      </c>
      <c r="C109" s="228">
        <f>IFERROR(GETPIVOTDATA("Sum of qty",PT!$A$17,"product",A109,"FL/AZ","FL"),0)</f>
        <v>0</v>
      </c>
      <c r="D109" s="129">
        <f>8*12/128</f>
        <v>0.75</v>
      </c>
      <c r="E109" s="2">
        <f t="shared" ref="E109:E121" si="19">C109*D109</f>
        <v>0</v>
      </c>
      <c r="F109" s="2"/>
      <c r="G109" s="2"/>
      <c r="H109" s="2"/>
      <c r="J109" s="330">
        <f>C109-IFERROR(VLOOKUP(A109,'[1]FL DL&amp;OH FG'!$A:$K,3,0),0)</f>
        <v>0</v>
      </c>
      <c r="K109" s="326">
        <f t="shared" si="17"/>
        <v>0</v>
      </c>
    </row>
    <row r="110" spans="1:11">
      <c r="A110" s="4">
        <v>4106</v>
      </c>
      <c r="B110" t="s">
        <v>2827</v>
      </c>
      <c r="C110" s="228">
        <f>IFERROR(GETPIVOTDATA("Sum of qty",PT!$A$17,"product",A110,"FL/AZ","FL"),0)</f>
        <v>126</v>
      </c>
      <c r="D110" s="129">
        <v>1.125</v>
      </c>
      <c r="E110" s="2">
        <f t="shared" ref="E110:E113" si="20">C110*D110</f>
        <v>141.75</v>
      </c>
      <c r="F110" s="2"/>
      <c r="G110" s="2"/>
      <c r="H110" s="2"/>
      <c r="J110" s="330">
        <f>C110-IFERROR(VLOOKUP(A110,'[1]FL DL&amp;OH FG'!$A:$K,3,0),0)</f>
        <v>27</v>
      </c>
      <c r="K110" s="326">
        <f t="shared" ref="K110:K113" si="21">J110*D110</f>
        <v>30.375</v>
      </c>
    </row>
    <row r="111" spans="1:11">
      <c r="A111" s="4">
        <v>4116</v>
      </c>
      <c r="B111" t="s">
        <v>2828</v>
      </c>
      <c r="C111" s="228">
        <f>IFERROR(GETPIVOTDATA("Sum of qty",PT!$A$17,"product",A111,"FL/AZ","FL"),0)</f>
        <v>173</v>
      </c>
      <c r="D111" s="129">
        <v>1.125</v>
      </c>
      <c r="E111" s="2">
        <f t="shared" si="20"/>
        <v>194.625</v>
      </c>
      <c r="F111" s="2"/>
      <c r="G111" s="2"/>
      <c r="H111" s="2"/>
      <c r="J111" s="330">
        <f>C111-IFERROR(VLOOKUP(A111,'[1]FL DL&amp;OH FG'!$A:$K,3,0),0)</f>
        <v>4</v>
      </c>
      <c r="K111" s="326">
        <f t="shared" si="21"/>
        <v>4.5</v>
      </c>
    </row>
    <row r="112" spans="1:11">
      <c r="A112" s="4">
        <v>4136</v>
      </c>
      <c r="B112" t="s">
        <v>2829</v>
      </c>
      <c r="C112" s="228">
        <f>IFERROR(GETPIVOTDATA("Sum of qty",PT!$A$17,"product",A112,"FL/AZ","FL"),0)</f>
        <v>367</v>
      </c>
      <c r="D112" s="129">
        <v>1.125</v>
      </c>
      <c r="E112" s="2">
        <f t="shared" si="20"/>
        <v>412.875</v>
      </c>
      <c r="F112" s="2"/>
      <c r="G112" s="2"/>
      <c r="H112" s="2"/>
      <c r="J112" s="330">
        <f>C112-IFERROR(VLOOKUP(A112,'[1]FL DL&amp;OH FG'!$A:$K,3,0),0)</f>
        <v>52</v>
      </c>
      <c r="K112" s="326">
        <f t="shared" si="21"/>
        <v>58.5</v>
      </c>
    </row>
    <row r="113" spans="1:11">
      <c r="A113" s="4">
        <v>4138</v>
      </c>
      <c r="B113" t="s">
        <v>2830</v>
      </c>
      <c r="C113" s="228">
        <f>IFERROR(GETPIVOTDATA("Sum of qty",PT!$A$17,"product",A113,"FL/AZ","FL"),0)</f>
        <v>491</v>
      </c>
      <c r="D113" s="129">
        <v>1.125</v>
      </c>
      <c r="E113" s="2">
        <f t="shared" si="20"/>
        <v>552.375</v>
      </c>
      <c r="F113" s="2"/>
      <c r="G113" s="2"/>
      <c r="H113" s="2"/>
      <c r="J113" s="330">
        <f>C113-IFERROR(VLOOKUP(A113,'[1]FL DL&amp;OH FG'!$A:$K,3,0),0)</f>
        <v>-30</v>
      </c>
      <c r="K113" s="326">
        <f t="shared" si="21"/>
        <v>-33.75</v>
      </c>
    </row>
    <row r="114" spans="1:11">
      <c r="A114" s="4" t="s">
        <v>1962</v>
      </c>
      <c r="B114" t="s">
        <v>1525</v>
      </c>
      <c r="C114" s="228">
        <f>IFERROR(GETPIVOTDATA("Sum of qty",PT!$A$17,"product",A114,"FL/AZ","FL"),0)</f>
        <v>3485</v>
      </c>
      <c r="D114" s="129">
        <v>2.8828125</v>
      </c>
      <c r="E114" s="2">
        <f t="shared" si="19"/>
        <v>10046.6015625</v>
      </c>
      <c r="F114" s="2">
        <f>E114</f>
        <v>10046.6015625</v>
      </c>
      <c r="G114" s="2">
        <f t="shared" ref="G114:G144" si="22">E114</f>
        <v>10046.6015625</v>
      </c>
      <c r="H114" s="2"/>
      <c r="J114" s="330">
        <f>C114-IFERROR(VLOOKUP(A114,'[1]FL DL&amp;OH FG'!$A:$K,3,0),0)</f>
        <v>1002</v>
      </c>
      <c r="K114" s="326">
        <f t="shared" si="17"/>
        <v>2888.578125</v>
      </c>
    </row>
    <row r="115" spans="1:11">
      <c r="A115" s="4" t="s">
        <v>1963</v>
      </c>
      <c r="B115" t="s">
        <v>1526</v>
      </c>
      <c r="C115" s="228">
        <f>IFERROR(GETPIVOTDATA("Sum of qty",PT!$A$17,"product",A115,"FL/AZ","FL"),0)</f>
        <v>0</v>
      </c>
      <c r="D115" s="129">
        <v>4</v>
      </c>
      <c r="E115" s="2">
        <f t="shared" si="19"/>
        <v>0</v>
      </c>
      <c r="F115" s="2">
        <f>E115</f>
        <v>0</v>
      </c>
      <c r="G115" s="2">
        <f t="shared" si="22"/>
        <v>0</v>
      </c>
      <c r="H115" s="2"/>
      <c r="J115" s="330">
        <f>C115-IFERROR(VLOOKUP(A115,'[1]FL DL&amp;OH FG'!$A:$K,3,0),0)</f>
        <v>0</v>
      </c>
      <c r="K115" s="326">
        <f t="shared" si="17"/>
        <v>0</v>
      </c>
    </row>
    <row r="116" spans="1:11">
      <c r="A116" s="4" t="s">
        <v>1964</v>
      </c>
      <c r="B116" t="s">
        <v>1527</v>
      </c>
      <c r="C116" s="228">
        <f>IFERROR(GETPIVOTDATA("Sum of qty",PT!$A$17,"product",A116,"FL/AZ","FL"),0)</f>
        <v>0</v>
      </c>
      <c r="D116" s="129">
        <v>3.8437000000000001</v>
      </c>
      <c r="E116" s="2">
        <f t="shared" si="19"/>
        <v>0</v>
      </c>
      <c r="F116" s="2">
        <f>E116</f>
        <v>0</v>
      </c>
      <c r="G116" s="2">
        <f t="shared" si="22"/>
        <v>0</v>
      </c>
      <c r="H116" s="2"/>
      <c r="J116" s="330">
        <f>C116-IFERROR(VLOOKUP(A116,'[1]FL DL&amp;OH FG'!$A:$K,3,0),0)</f>
        <v>0</v>
      </c>
      <c r="K116" s="326">
        <f t="shared" si="17"/>
        <v>0</v>
      </c>
    </row>
    <row r="117" spans="1:11">
      <c r="A117" s="4" t="s">
        <v>1965</v>
      </c>
      <c r="B117" t="s">
        <v>1528</v>
      </c>
      <c r="C117" s="228">
        <f>IFERROR(GETPIVOTDATA("Sum of qty",PT!$A$17,"product",A117,"FL/AZ","FL"),0)</f>
        <v>1689</v>
      </c>
      <c r="D117" s="129">
        <v>1.429</v>
      </c>
      <c r="E117" s="2">
        <f t="shared" si="19"/>
        <v>2413.5810000000001</v>
      </c>
      <c r="F117" s="2">
        <f>E117</f>
        <v>2413.5810000000001</v>
      </c>
      <c r="G117" s="2">
        <f t="shared" si="22"/>
        <v>2413.5810000000001</v>
      </c>
      <c r="H117" s="2"/>
      <c r="J117" s="330">
        <f>C117-IFERROR(VLOOKUP(A117,'[1]FL DL&amp;OH FG'!$A:$K,3,0),0)</f>
        <v>-961</v>
      </c>
      <c r="K117" s="326">
        <f t="shared" si="17"/>
        <v>-1373.269</v>
      </c>
    </row>
    <row r="118" spans="1:11">
      <c r="A118" s="4" t="s">
        <v>1966</v>
      </c>
      <c r="B118" t="s">
        <v>1529</v>
      </c>
      <c r="C118" s="228">
        <f>IFERROR(GETPIVOTDATA("Sum of qty",PT!$A$17,"product",A118,"FL/AZ","FL"),0)</f>
        <v>994</v>
      </c>
      <c r="D118" s="129">
        <v>3.8125</v>
      </c>
      <c r="E118" s="2">
        <f t="shared" si="19"/>
        <v>3789.625</v>
      </c>
      <c r="F118" s="2">
        <f>E118</f>
        <v>3789.625</v>
      </c>
      <c r="G118" s="2">
        <f t="shared" si="22"/>
        <v>3789.625</v>
      </c>
      <c r="H118" s="2"/>
      <c r="J118" s="330">
        <f>C118-IFERROR(VLOOKUP(A118,'[1]FL DL&amp;OH FG'!$A:$K,3,0),0)</f>
        <v>-318</v>
      </c>
      <c r="K118" s="326">
        <f t="shared" si="17"/>
        <v>-1212.375</v>
      </c>
    </row>
    <row r="119" spans="1:11">
      <c r="A119" s="4" t="s">
        <v>1967</v>
      </c>
      <c r="B119" t="s">
        <v>89</v>
      </c>
      <c r="C119" s="228">
        <f>IFERROR(GETPIVOTDATA("Sum of qty",PT!$A$17,"product",A119,"FL/AZ","FL"),0)</f>
        <v>2746</v>
      </c>
      <c r="D119" s="129">
        <v>4</v>
      </c>
      <c r="E119" s="2">
        <f t="shared" si="19"/>
        <v>10984</v>
      </c>
      <c r="F119" s="2"/>
      <c r="G119" s="2">
        <f t="shared" si="22"/>
        <v>10984</v>
      </c>
      <c r="H119" s="2"/>
      <c r="J119" s="330">
        <f>C119-IFERROR(VLOOKUP(A119,'[1]FL DL&amp;OH FG'!$A:$K,3,0),0)</f>
        <v>764</v>
      </c>
      <c r="K119" s="326">
        <f t="shared" si="17"/>
        <v>3056</v>
      </c>
    </row>
    <row r="120" spans="1:11">
      <c r="A120" s="4" t="s">
        <v>1742</v>
      </c>
      <c r="B120" t="s">
        <v>1743</v>
      </c>
      <c r="C120" s="228">
        <f>IFERROR(GETPIVOTDATA("Sum of qty",PT!$A$17,"product",A120,"FL/AZ","FL"),0)</f>
        <v>0</v>
      </c>
      <c r="D120" s="129">
        <v>4</v>
      </c>
      <c r="E120" s="2">
        <f t="shared" si="19"/>
        <v>0</v>
      </c>
      <c r="F120" s="2"/>
      <c r="G120" s="2">
        <f t="shared" si="22"/>
        <v>0</v>
      </c>
      <c r="H120" s="2"/>
      <c r="J120" s="330">
        <f>C120-IFERROR(VLOOKUP(A120,'[1]FL DL&amp;OH FG'!$A:$K,3,0),0)</f>
        <v>0</v>
      </c>
      <c r="K120" s="326">
        <f t="shared" si="17"/>
        <v>0</v>
      </c>
    </row>
    <row r="121" spans="1:11">
      <c r="A121" s="4" t="s">
        <v>312</v>
      </c>
      <c r="B121" t="s">
        <v>1744</v>
      </c>
      <c r="C121" s="228">
        <f>IFERROR(GETPIVOTDATA("Sum of qty",PT!$A$17,"product",A121,"FL/AZ","FL"),0)</f>
        <v>2482</v>
      </c>
      <c r="D121" s="129">
        <v>4</v>
      </c>
      <c r="E121" s="2">
        <f t="shared" si="19"/>
        <v>9928</v>
      </c>
      <c r="F121" s="2"/>
      <c r="G121" s="2">
        <f t="shared" si="22"/>
        <v>9928</v>
      </c>
      <c r="H121" s="2"/>
      <c r="J121" s="330">
        <f>C121-IFERROR(VLOOKUP(A121,'[1]FL DL&amp;OH FG'!$A:$K,3,0),0)</f>
        <v>136</v>
      </c>
      <c r="K121" s="326">
        <f t="shared" si="17"/>
        <v>544</v>
      </c>
    </row>
    <row r="122" spans="1:11">
      <c r="A122" s="4" t="s">
        <v>1745</v>
      </c>
      <c r="B122" t="s">
        <v>1744</v>
      </c>
      <c r="C122" s="228">
        <f>IFERROR(GETPIVOTDATA("Sum of qty",PT!$A$17,"product",A122,"FL/AZ","FL"),0)</f>
        <v>0</v>
      </c>
      <c r="D122" s="129">
        <v>4</v>
      </c>
      <c r="E122" s="2">
        <f t="shared" ref="E122:E204" si="23">C122*D122</f>
        <v>0</v>
      </c>
      <c r="F122" s="2"/>
      <c r="G122" s="2">
        <f t="shared" si="22"/>
        <v>0</v>
      </c>
      <c r="H122" s="2"/>
      <c r="J122" s="330">
        <f>C122-IFERROR(VLOOKUP(A122,'[1]FL DL&amp;OH FG'!$A:$K,3,0),0)</f>
        <v>0</v>
      </c>
      <c r="K122" s="326">
        <f t="shared" si="17"/>
        <v>0</v>
      </c>
    </row>
    <row r="123" spans="1:11">
      <c r="A123" s="4" t="s">
        <v>1968</v>
      </c>
      <c r="B123" t="s">
        <v>1969</v>
      </c>
      <c r="C123" s="228">
        <f>IFERROR(GETPIVOTDATA("Sum of qty",PT!$A$17,"product",A123,"FL/AZ","FL"),0)</f>
        <v>0</v>
      </c>
      <c r="D123" s="129">
        <v>3</v>
      </c>
      <c r="E123" s="2">
        <f t="shared" si="23"/>
        <v>0</v>
      </c>
      <c r="F123" s="2"/>
      <c r="G123" s="2">
        <f t="shared" si="22"/>
        <v>0</v>
      </c>
      <c r="H123" s="2"/>
      <c r="J123" s="330">
        <f>C123-IFERROR(VLOOKUP(A123,'[1]FL DL&amp;OH FG'!$A:$K,3,0),0)</f>
        <v>0</v>
      </c>
      <c r="K123" s="326">
        <f t="shared" si="17"/>
        <v>0</v>
      </c>
    </row>
    <row r="124" spans="1:11">
      <c r="A124" s="4" t="s">
        <v>1970</v>
      </c>
      <c r="B124" t="s">
        <v>702</v>
      </c>
      <c r="C124" s="228">
        <f>IFERROR(GETPIVOTDATA("Sum of qty",PT!$A$17,"product",A124,"FL/AZ","FL"),0)</f>
        <v>952</v>
      </c>
      <c r="D124" s="129">
        <v>4</v>
      </c>
      <c r="E124" s="2">
        <f>C124*D124</f>
        <v>3808</v>
      </c>
      <c r="F124" s="2"/>
      <c r="G124" s="2">
        <f>E124</f>
        <v>3808</v>
      </c>
      <c r="H124" s="2"/>
      <c r="J124" s="330">
        <f>C124-IFERROR(VLOOKUP(A124,'[1]FL DL&amp;OH FG'!$A:$K,3,0),0)</f>
        <v>563</v>
      </c>
      <c r="K124" s="326">
        <f t="shared" si="17"/>
        <v>2252</v>
      </c>
    </row>
    <row r="125" spans="1:11">
      <c r="A125" s="4" t="s">
        <v>1971</v>
      </c>
      <c r="B125" t="s">
        <v>556</v>
      </c>
      <c r="C125" s="228">
        <f>IFERROR(GETPIVOTDATA("Sum of qty",PT!$A$17,"product",A125,"FL/AZ","FL"),0)</f>
        <v>0</v>
      </c>
      <c r="D125" s="129">
        <v>4</v>
      </c>
      <c r="E125" s="2">
        <f t="shared" si="23"/>
        <v>0</v>
      </c>
      <c r="F125" s="2"/>
      <c r="G125" s="2">
        <f t="shared" si="22"/>
        <v>0</v>
      </c>
      <c r="H125" s="2"/>
      <c r="J125" s="330">
        <f>C125-IFERROR(VLOOKUP(A125,'[1]FL DL&amp;OH FG'!$A:$K,3,0),0)</f>
        <v>0</v>
      </c>
      <c r="K125" s="326">
        <f t="shared" si="17"/>
        <v>0</v>
      </c>
    </row>
    <row r="126" spans="1:11">
      <c r="A126" s="4" t="s">
        <v>1972</v>
      </c>
      <c r="B126" t="s">
        <v>1534</v>
      </c>
      <c r="C126" s="228">
        <f>IFERROR(GETPIVOTDATA("Sum of qty",PT!$A$17,"product",A126,"FL/AZ","FL"),0)</f>
        <v>0</v>
      </c>
      <c r="D126" s="129">
        <v>4</v>
      </c>
      <c r="E126" s="2">
        <f>C126*D126</f>
        <v>0</v>
      </c>
      <c r="F126" s="2"/>
      <c r="G126" s="2">
        <f>E126</f>
        <v>0</v>
      </c>
      <c r="H126" s="2"/>
      <c r="J126" s="330">
        <f>C126-IFERROR(VLOOKUP(A126,'[1]FL DL&amp;OH FG'!$A:$K,3,0),0)</f>
        <v>0</v>
      </c>
      <c r="K126" s="326">
        <f t="shared" si="17"/>
        <v>0</v>
      </c>
    </row>
    <row r="127" spans="1:11">
      <c r="A127" s="4" t="s">
        <v>1973</v>
      </c>
      <c r="B127" t="s">
        <v>1536</v>
      </c>
      <c r="C127" s="228">
        <f>IFERROR(GETPIVOTDATA("Sum of qty",PT!$A$17,"product",A127,"FL/AZ","FL"),0)</f>
        <v>0</v>
      </c>
      <c r="D127" s="129">
        <v>3</v>
      </c>
      <c r="E127" s="2">
        <f t="shared" si="23"/>
        <v>0</v>
      </c>
      <c r="F127" s="2"/>
      <c r="G127" s="2">
        <f t="shared" si="22"/>
        <v>0</v>
      </c>
      <c r="H127" s="2"/>
      <c r="J127" s="330">
        <f>C127-IFERROR(VLOOKUP(A127,'[1]FL DL&amp;OH FG'!$A:$K,3,0),0)</f>
        <v>0</v>
      </c>
      <c r="K127" s="326">
        <f t="shared" si="17"/>
        <v>0</v>
      </c>
    </row>
    <row r="128" spans="1:11">
      <c r="A128" s="4" t="s">
        <v>1974</v>
      </c>
      <c r="B128" t="s">
        <v>111</v>
      </c>
      <c r="C128" s="228">
        <f>IFERROR(GETPIVOTDATA("Sum of qty",PT!$A$17,"product",A128,"FL/AZ","FL"),0)</f>
        <v>234</v>
      </c>
      <c r="D128" s="129">
        <v>1.5</v>
      </c>
      <c r="E128" s="2">
        <f>C128*D128</f>
        <v>351</v>
      </c>
      <c r="F128" s="2" t="s">
        <v>1133</v>
      </c>
      <c r="G128" s="2">
        <f>E128</f>
        <v>351</v>
      </c>
      <c r="H128" s="2"/>
      <c r="J128" s="330">
        <f>C128-IFERROR(VLOOKUP(A128,'[1]FL DL&amp;OH FG'!$A:$K,3,0),0)</f>
        <v>-114</v>
      </c>
      <c r="K128" s="326">
        <f t="shared" si="17"/>
        <v>-171</v>
      </c>
    </row>
    <row r="129" spans="1:11">
      <c r="A129" s="159" t="s">
        <v>1747</v>
      </c>
      <c r="B129" t="s">
        <v>111</v>
      </c>
      <c r="C129" s="228">
        <f>IFERROR(GETPIVOTDATA("Sum of qty",PT!$A$17,"product",A129,"FL/AZ","FL"),0)</f>
        <v>0</v>
      </c>
      <c r="D129" s="129">
        <v>3</v>
      </c>
      <c r="E129" s="2">
        <f>C129*D129</f>
        <v>0</v>
      </c>
      <c r="F129" s="2"/>
      <c r="G129" s="2">
        <f>E129</f>
        <v>0</v>
      </c>
      <c r="H129" s="2"/>
      <c r="J129" s="330">
        <f>C129-IFERROR(VLOOKUP(A129,'[1]FL DL&amp;OH FG'!$A:$K,3,0),0)</f>
        <v>0</v>
      </c>
      <c r="K129" s="326">
        <f t="shared" si="17"/>
        <v>0</v>
      </c>
    </row>
    <row r="130" spans="1:11">
      <c r="A130" s="4" t="s">
        <v>1975</v>
      </c>
      <c r="B130" t="s">
        <v>116</v>
      </c>
      <c r="C130" s="228">
        <f>IFERROR(GETPIVOTDATA("Sum of qty",PT!$A$17,"product",A130,"FL/AZ","FL"),0)</f>
        <v>1315</v>
      </c>
      <c r="D130" s="129">
        <v>1.5</v>
      </c>
      <c r="E130" s="2">
        <f t="shared" si="23"/>
        <v>1972.5</v>
      </c>
      <c r="F130" s="2"/>
      <c r="G130" s="2">
        <f t="shared" si="22"/>
        <v>1972.5</v>
      </c>
      <c r="H130" s="2"/>
      <c r="J130" s="330">
        <f>C130-IFERROR(VLOOKUP(A130,'[1]FL DL&amp;OH FG'!$A:$K,3,0),0)</f>
        <v>473</v>
      </c>
      <c r="K130" s="326">
        <f t="shared" si="17"/>
        <v>709.5</v>
      </c>
    </row>
    <row r="131" spans="1:11">
      <c r="A131" s="159" t="s">
        <v>1976</v>
      </c>
      <c r="B131" t="s">
        <v>116</v>
      </c>
      <c r="C131" s="228">
        <f>IFERROR(GETPIVOTDATA("Sum of qty",PT!$A$17,"product",A131,"FL/AZ","FL"),0)</f>
        <v>0</v>
      </c>
      <c r="D131" s="129">
        <v>1.5</v>
      </c>
      <c r="E131" s="2">
        <f t="shared" si="23"/>
        <v>0</v>
      </c>
      <c r="F131" s="2"/>
      <c r="G131" s="2">
        <f t="shared" si="22"/>
        <v>0</v>
      </c>
      <c r="H131" s="2"/>
      <c r="J131" s="330">
        <f>C131-IFERROR(VLOOKUP(A131,'[1]FL DL&amp;OH FG'!$A:$K,3,0),0)</f>
        <v>0</v>
      </c>
      <c r="K131" s="326">
        <f t="shared" si="17"/>
        <v>0</v>
      </c>
    </row>
    <row r="132" spans="1:11">
      <c r="A132" s="4" t="s">
        <v>1977</v>
      </c>
      <c r="B132" t="s">
        <v>1978</v>
      </c>
      <c r="C132" s="228">
        <f>IFERROR(GETPIVOTDATA("Sum of qty",PT!$A$17,"product",A132,"FL/AZ","FL"),0)</f>
        <v>0</v>
      </c>
      <c r="D132" s="129">
        <v>1.5</v>
      </c>
      <c r="E132" s="2">
        <f t="shared" si="23"/>
        <v>0</v>
      </c>
      <c r="F132" s="2"/>
      <c r="G132" s="2">
        <f t="shared" si="22"/>
        <v>0</v>
      </c>
      <c r="H132" s="2"/>
      <c r="J132" s="330">
        <f>C132-IFERROR(VLOOKUP(A132,'[1]FL DL&amp;OH FG'!$A:$K,3,0),0)</f>
        <v>0</v>
      </c>
      <c r="K132" s="326">
        <f t="shared" si="17"/>
        <v>0</v>
      </c>
    </row>
    <row r="133" spans="1:11">
      <c r="A133" s="163" t="s">
        <v>1979</v>
      </c>
      <c r="B133" t="s">
        <v>1537</v>
      </c>
      <c r="C133" s="228">
        <f>IFERROR(GETPIVOTDATA("Sum of qty",PT!$A$17,"product",A133,"FL/AZ","FL"),0)</f>
        <v>0</v>
      </c>
      <c r="D133" s="129">
        <v>3</v>
      </c>
      <c r="E133" s="2">
        <f>C133*D133</f>
        <v>0</v>
      </c>
      <c r="F133" s="2"/>
      <c r="G133" s="2">
        <f>E133</f>
        <v>0</v>
      </c>
      <c r="H133" s="2"/>
      <c r="J133" s="330">
        <f>C133-IFERROR(VLOOKUP(A133,'[1]FL DL&amp;OH FG'!$A:$K,3,0),0)</f>
        <v>0</v>
      </c>
      <c r="K133" s="326">
        <f t="shared" si="17"/>
        <v>0</v>
      </c>
    </row>
    <row r="134" spans="1:11">
      <c r="A134" s="4" t="s">
        <v>1980</v>
      </c>
      <c r="B134" t="s">
        <v>1538</v>
      </c>
      <c r="C134" s="228">
        <f>IFERROR(GETPIVOTDATA("Sum of qty",PT!$A$17,"product",A134,"FL/AZ","FL"),0)</f>
        <v>0</v>
      </c>
      <c r="D134" s="129">
        <v>3</v>
      </c>
      <c r="E134" s="2">
        <f t="shared" si="23"/>
        <v>0</v>
      </c>
      <c r="F134" s="2"/>
      <c r="G134" s="2">
        <f t="shared" si="22"/>
        <v>0</v>
      </c>
      <c r="H134" s="2"/>
      <c r="J134" s="330">
        <f>C134-IFERROR(VLOOKUP(A134,'[1]FL DL&amp;OH FG'!$A:$K,3,0),0)</f>
        <v>0</v>
      </c>
      <c r="K134" s="326">
        <f t="shared" si="17"/>
        <v>0</v>
      </c>
    </row>
    <row r="135" spans="1:11">
      <c r="A135" s="4" t="s">
        <v>1981</v>
      </c>
      <c r="B135" t="s">
        <v>1982</v>
      </c>
      <c r="C135" s="228">
        <f>IFERROR(GETPIVOTDATA("Sum of qty",PT!$A$17,"product",A135,"FL/AZ","FL"),0)</f>
        <v>0</v>
      </c>
      <c r="D135" s="129">
        <v>1.5</v>
      </c>
      <c r="E135" s="2">
        <f t="shared" si="23"/>
        <v>0</v>
      </c>
      <c r="F135" s="2"/>
      <c r="G135" s="2">
        <f t="shared" si="22"/>
        <v>0</v>
      </c>
      <c r="H135" s="2"/>
      <c r="J135" s="330">
        <f>C135-IFERROR(VLOOKUP(A135,'[1]FL DL&amp;OH FG'!$A:$K,3,0),0)</f>
        <v>0</v>
      </c>
      <c r="K135" s="326">
        <f t="shared" si="17"/>
        <v>0</v>
      </c>
    </row>
    <row r="136" spans="1:11">
      <c r="A136" s="4" t="s">
        <v>1983</v>
      </c>
      <c r="B136" t="s">
        <v>1984</v>
      </c>
      <c r="C136" s="228">
        <f>IFERROR(GETPIVOTDATA("Sum of qty",PT!$A$17,"product",A136,"FL/AZ","FL"),0)</f>
        <v>0</v>
      </c>
      <c r="D136" s="129">
        <v>1.5</v>
      </c>
      <c r="E136" s="2">
        <f t="shared" si="23"/>
        <v>0</v>
      </c>
      <c r="F136" s="2"/>
      <c r="G136" s="2">
        <f t="shared" si="22"/>
        <v>0</v>
      </c>
      <c r="H136" s="2"/>
      <c r="J136" s="330">
        <f>C136-IFERROR(VLOOKUP(A136,'[1]FL DL&amp;OH FG'!$A:$K,3,0),0)</f>
        <v>0</v>
      </c>
      <c r="K136" s="326">
        <f t="shared" si="17"/>
        <v>0</v>
      </c>
    </row>
    <row r="137" spans="1:11">
      <c r="A137" s="4" t="s">
        <v>1985</v>
      </c>
      <c r="B137" t="s">
        <v>165</v>
      </c>
      <c r="C137" s="228">
        <f>IFERROR(GETPIVOTDATA("Sum of qty",PT!$A$17,"product",A137,"FL/AZ","FL"),0)</f>
        <v>1999</v>
      </c>
      <c r="D137" s="129">
        <v>4</v>
      </c>
      <c r="E137" s="2">
        <f>C137*D137</f>
        <v>7996</v>
      </c>
      <c r="F137" s="2"/>
      <c r="G137" s="2">
        <f>E137</f>
        <v>7996</v>
      </c>
      <c r="H137" s="2"/>
      <c r="J137" s="330">
        <f>C137-IFERROR(VLOOKUP(A137,'[1]FL DL&amp;OH FG'!$A:$K,3,0),0)</f>
        <v>695</v>
      </c>
      <c r="K137" s="326">
        <f t="shared" si="17"/>
        <v>2780</v>
      </c>
    </row>
    <row r="138" spans="1:11">
      <c r="A138" s="4" t="s">
        <v>1986</v>
      </c>
      <c r="B138" t="s">
        <v>127</v>
      </c>
      <c r="C138" s="228">
        <f>IFERROR(GETPIVOTDATA("Sum of qty",PT!$A$17,"product",A138,"FL/AZ","FL"),0)</f>
        <v>3770</v>
      </c>
      <c r="D138" s="129">
        <v>1.5</v>
      </c>
      <c r="E138" s="2">
        <f t="shared" si="23"/>
        <v>5655</v>
      </c>
      <c r="F138" s="2"/>
      <c r="G138" s="2">
        <f t="shared" si="22"/>
        <v>5655</v>
      </c>
      <c r="H138" s="2"/>
      <c r="J138" s="330">
        <f>C138-IFERROR(VLOOKUP(A138,'[1]FL DL&amp;OH FG'!$A:$K,3,0),0)</f>
        <v>1384</v>
      </c>
      <c r="K138" s="326">
        <f t="shared" si="17"/>
        <v>2076</v>
      </c>
    </row>
    <row r="139" spans="1:11">
      <c r="A139" s="4" t="s">
        <v>1987</v>
      </c>
      <c r="B139" t="s">
        <v>1988</v>
      </c>
      <c r="C139" s="228">
        <f>IFERROR(GETPIVOTDATA("Sum of qty",PT!$A$17,"product",A139,"FL/AZ","FL"),0)</f>
        <v>0</v>
      </c>
      <c r="D139" s="129">
        <v>1.429</v>
      </c>
      <c r="E139" s="2">
        <f t="shared" si="23"/>
        <v>0</v>
      </c>
      <c r="F139" s="2">
        <f>E139</f>
        <v>0</v>
      </c>
      <c r="G139" s="2">
        <f t="shared" si="22"/>
        <v>0</v>
      </c>
      <c r="H139" s="2"/>
      <c r="J139" s="330">
        <f>C139-IFERROR(VLOOKUP(A139,'[1]FL DL&amp;OH FG'!$A:$K,3,0),0)</f>
        <v>0</v>
      </c>
      <c r="K139" s="326">
        <f t="shared" si="17"/>
        <v>0</v>
      </c>
    </row>
    <row r="140" spans="1:11">
      <c r="A140" s="4" t="s">
        <v>1989</v>
      </c>
      <c r="B140" s="157" t="s">
        <v>1542</v>
      </c>
      <c r="C140" s="228">
        <f>IFERROR(GETPIVOTDATA("Sum of qty",PT!$A$17,"product",A140,"FL/AZ","FL"),0)</f>
        <v>0</v>
      </c>
      <c r="D140" s="129">
        <v>4</v>
      </c>
      <c r="E140" s="2">
        <f t="shared" si="23"/>
        <v>0</v>
      </c>
      <c r="F140" s="2"/>
      <c r="G140" s="2">
        <f t="shared" si="22"/>
        <v>0</v>
      </c>
      <c r="H140" s="2"/>
      <c r="J140" s="330">
        <f>C140-IFERROR(VLOOKUP(A140,'[1]FL DL&amp;OH FG'!$A:$K,3,0),0)</f>
        <v>0</v>
      </c>
      <c r="K140" s="326">
        <f t="shared" si="17"/>
        <v>0</v>
      </c>
    </row>
    <row r="141" spans="1:11">
      <c r="A141" s="244" t="s">
        <v>1543</v>
      </c>
      <c r="B141" s="157" t="s">
        <v>1544</v>
      </c>
      <c r="C141" s="228">
        <f>IFERROR(GETPIVOTDATA("Sum of qty",PT!$A$17,"product",A141,"FL/AZ","FL"),0)</f>
        <v>0</v>
      </c>
      <c r="D141" s="129">
        <v>4</v>
      </c>
      <c r="E141" s="2">
        <f t="shared" ref="E141" si="24">C141*D141</f>
        <v>0</v>
      </c>
      <c r="F141" s="2">
        <f>E141</f>
        <v>0</v>
      </c>
      <c r="G141" s="2">
        <f t="shared" ref="G141" si="25">E141</f>
        <v>0</v>
      </c>
      <c r="H141" s="2"/>
      <c r="J141" s="330">
        <f>C141-IFERROR(VLOOKUP(A141,'[1]FL DL&amp;OH FG'!$A:$K,3,0),0)</f>
        <v>0</v>
      </c>
      <c r="K141" s="326">
        <f t="shared" si="17"/>
        <v>0</v>
      </c>
    </row>
    <row r="142" spans="1:11">
      <c r="A142" s="4" t="s">
        <v>1990</v>
      </c>
      <c r="B142" t="s">
        <v>116</v>
      </c>
      <c r="C142" s="228">
        <f>IFERROR(GETPIVOTDATA("Sum of qty",PT!$A$17,"product",A142,"FL/AZ","FL"),0)</f>
        <v>0</v>
      </c>
      <c r="D142" s="129">
        <v>1.5</v>
      </c>
      <c r="E142" s="2">
        <f t="shared" si="23"/>
        <v>0</v>
      </c>
      <c r="F142" s="2"/>
      <c r="G142" s="2">
        <f t="shared" si="22"/>
        <v>0</v>
      </c>
      <c r="H142" s="2"/>
      <c r="J142" s="330">
        <f>C142-IFERROR(VLOOKUP(A142,'[1]FL DL&amp;OH FG'!$A:$K,3,0),0)</f>
        <v>0</v>
      </c>
      <c r="K142" s="326">
        <f t="shared" si="17"/>
        <v>0</v>
      </c>
    </row>
    <row r="143" spans="1:11">
      <c r="A143" s="4" t="s">
        <v>1991</v>
      </c>
      <c r="B143" t="s">
        <v>1992</v>
      </c>
      <c r="C143" s="228">
        <f>IFERROR(GETPIVOTDATA("Sum of qty",PT!$A$17,"product",A143,"FL/AZ","FL"),0)</f>
        <v>0</v>
      </c>
      <c r="D143" s="129">
        <f>6*30.5/128</f>
        <v>1.4296875</v>
      </c>
      <c r="E143" s="2">
        <f t="shared" si="23"/>
        <v>0</v>
      </c>
      <c r="F143" s="2">
        <f>E143</f>
        <v>0</v>
      </c>
      <c r="G143" s="2">
        <f>F143</f>
        <v>0</v>
      </c>
      <c r="H143" s="2"/>
      <c r="J143" s="330">
        <f>C143-IFERROR(VLOOKUP(A143,'[1]FL DL&amp;OH FG'!$A:$K,3,0),0)</f>
        <v>0</v>
      </c>
      <c r="K143" s="326">
        <f t="shared" si="17"/>
        <v>0</v>
      </c>
    </row>
    <row r="144" spans="1:11">
      <c r="A144" s="4" t="s">
        <v>1993</v>
      </c>
      <c r="B144" t="s">
        <v>1546</v>
      </c>
      <c r="C144" s="228">
        <f>IFERROR(GETPIVOTDATA("Sum of qty",PT!$A$17,"product",A144,"FL/AZ","FL"),0)</f>
        <v>1380</v>
      </c>
      <c r="D144" s="129">
        <v>3</v>
      </c>
      <c r="E144" s="2">
        <f t="shared" si="23"/>
        <v>4140</v>
      </c>
      <c r="F144" s="2"/>
      <c r="G144" s="2">
        <f t="shared" si="22"/>
        <v>4140</v>
      </c>
      <c r="H144" s="2"/>
      <c r="J144" s="330">
        <f>C144-IFERROR(VLOOKUP(A144,'[1]FL DL&amp;OH FG'!$A:$K,3,0),0)</f>
        <v>118</v>
      </c>
      <c r="K144" s="326">
        <f t="shared" si="17"/>
        <v>354</v>
      </c>
    </row>
    <row r="145" spans="1:11">
      <c r="A145" s="4" t="s">
        <v>1994</v>
      </c>
      <c r="B145" t="s">
        <v>194</v>
      </c>
      <c r="C145" s="228">
        <f>IFERROR(GETPIVOTDATA("Sum of qty",PT!$A$17,"product",A145,"FL/AZ","FL"),0)</f>
        <v>1855.63</v>
      </c>
      <c r="D145" s="129">
        <v>0</v>
      </c>
      <c r="E145" s="2">
        <f>C145*D145</f>
        <v>0</v>
      </c>
      <c r="F145" s="2"/>
      <c r="G145" s="2"/>
      <c r="H145" s="2"/>
      <c r="J145" s="330">
        <f>C145-IFERROR(VLOOKUP(A145,'[1]FL DL&amp;OH FG'!$A:$K,3,0),0)</f>
        <v>824.16000000000008</v>
      </c>
      <c r="K145" s="326">
        <f t="shared" si="17"/>
        <v>0</v>
      </c>
    </row>
    <row r="146" spans="1:11">
      <c r="A146" s="244" t="s">
        <v>1995</v>
      </c>
      <c r="B146" t="s">
        <v>1551</v>
      </c>
      <c r="C146" s="228">
        <f>IFERROR(GETPIVOTDATA("Sum of qty",PT!$A$17,"product",A146,"FL/AZ","FL"),0)</f>
        <v>0</v>
      </c>
      <c r="D146" s="129">
        <v>3</v>
      </c>
      <c r="E146" s="2">
        <f t="shared" ref="E146" si="26">C146*D146</f>
        <v>0</v>
      </c>
      <c r="F146" s="2"/>
      <c r="G146" s="2">
        <f t="shared" ref="G146" si="27">E146</f>
        <v>0</v>
      </c>
      <c r="H146" s="2"/>
      <c r="J146" s="330">
        <f>C146-IFERROR(VLOOKUP(A146,'[1]FL DL&amp;OH FG'!$A:$K,3,0),0)</f>
        <v>-76</v>
      </c>
      <c r="K146" s="326">
        <f t="shared" si="17"/>
        <v>-228</v>
      </c>
    </row>
    <row r="147" spans="1:11">
      <c r="A147" s="244" t="s">
        <v>1996</v>
      </c>
      <c r="B147" t="s">
        <v>1997</v>
      </c>
      <c r="C147" s="228">
        <f>IFERROR(GETPIVOTDATA("Sum of qty",PT!$A$17,"product",A147,"FL/AZ","FL"),0)</f>
        <v>0</v>
      </c>
      <c r="D147" s="129">
        <v>4</v>
      </c>
      <c r="E147" s="2">
        <f t="shared" si="23"/>
        <v>0</v>
      </c>
      <c r="F147" s="2"/>
      <c r="G147" s="2">
        <f>E147*0.15</f>
        <v>0</v>
      </c>
      <c r="H147" s="2"/>
      <c r="J147" s="330">
        <f>C147-IFERROR(VLOOKUP(A147,'[1]FL DL&amp;OH FG'!$A:$K,3,0),0)</f>
        <v>0</v>
      </c>
      <c r="K147" s="326">
        <f t="shared" si="17"/>
        <v>0</v>
      </c>
    </row>
    <row r="148" spans="1:11">
      <c r="A148" s="4" t="s">
        <v>1998</v>
      </c>
      <c r="B148" t="s">
        <v>130</v>
      </c>
      <c r="C148" s="228">
        <f>IFERROR(GETPIVOTDATA("Sum of qty",PT!$A$17,"product",A148,"FL/AZ","FL"),0)</f>
        <v>576</v>
      </c>
      <c r="D148" s="129">
        <v>4</v>
      </c>
      <c r="E148" s="2">
        <f t="shared" si="23"/>
        <v>2304</v>
      </c>
      <c r="F148" s="2"/>
      <c r="G148" s="2">
        <f>E148*0.15</f>
        <v>345.59999999999997</v>
      </c>
      <c r="H148" s="2">
        <f t="shared" ref="H148:H153" si="28">E148*0.05</f>
        <v>115.2</v>
      </c>
      <c r="J148" s="330">
        <f>C148-IFERROR(VLOOKUP(A148,'[1]FL DL&amp;OH FG'!$A:$K,3,0),0)</f>
        <v>249</v>
      </c>
      <c r="K148" s="326">
        <f t="shared" si="17"/>
        <v>996</v>
      </c>
    </row>
    <row r="149" spans="1:11">
      <c r="A149" s="4" t="s">
        <v>1749</v>
      </c>
      <c r="B149" t="s">
        <v>1750</v>
      </c>
      <c r="C149" s="228">
        <f>IFERROR(GETPIVOTDATA("Sum of qty",PT!$A$17,"product",A149,"FL/AZ","FL"),0)</f>
        <v>0</v>
      </c>
      <c r="D149" s="129">
        <v>4</v>
      </c>
      <c r="E149" s="2">
        <f t="shared" si="23"/>
        <v>0</v>
      </c>
      <c r="F149" s="2">
        <f>E149</f>
        <v>0</v>
      </c>
      <c r="G149" s="2">
        <f>E149*0.15</f>
        <v>0</v>
      </c>
      <c r="H149" s="2">
        <f t="shared" si="28"/>
        <v>0</v>
      </c>
      <c r="J149" s="330">
        <f>C149-IFERROR(VLOOKUP(A149,'[1]FL DL&amp;OH FG'!$A:$K,3,0),0)</f>
        <v>0</v>
      </c>
      <c r="K149" s="326">
        <f t="shared" si="17"/>
        <v>0</v>
      </c>
    </row>
    <row r="150" spans="1:11">
      <c r="A150" s="4" t="s">
        <v>1999</v>
      </c>
      <c r="B150" t="s">
        <v>1553</v>
      </c>
      <c r="C150" s="228">
        <f>IFERROR(GETPIVOTDATA("Sum of qty",PT!$A$17,"product",A150,"FL/AZ","FL"),0)</f>
        <v>0</v>
      </c>
      <c r="D150" s="129">
        <v>2.8125</v>
      </c>
      <c r="E150" s="2">
        <f t="shared" si="23"/>
        <v>0</v>
      </c>
      <c r="F150" s="2">
        <f>E150</f>
        <v>0</v>
      </c>
      <c r="G150" s="2">
        <f>E150*0.3125</f>
        <v>0</v>
      </c>
      <c r="H150" s="2">
        <f t="shared" si="28"/>
        <v>0</v>
      </c>
      <c r="J150" s="330">
        <f>C150-IFERROR(VLOOKUP(A150,'[1]FL DL&amp;OH FG'!$A:$K,3,0),0)</f>
        <v>0</v>
      </c>
      <c r="K150" s="326">
        <f t="shared" si="17"/>
        <v>0</v>
      </c>
    </row>
    <row r="151" spans="1:11">
      <c r="A151" s="4" t="s">
        <v>2000</v>
      </c>
      <c r="B151" t="s">
        <v>691</v>
      </c>
      <c r="C151" s="228">
        <f>IFERROR(GETPIVOTDATA("Sum of qty",PT!$A$17,"product",A151,"FL/AZ","FL"),0)</f>
        <v>0</v>
      </c>
      <c r="D151" s="129">
        <v>4</v>
      </c>
      <c r="E151" s="2">
        <f t="shared" si="23"/>
        <v>0</v>
      </c>
      <c r="F151" s="2">
        <f>E151</f>
        <v>0</v>
      </c>
      <c r="G151" s="2">
        <f>E151*0.3125</f>
        <v>0</v>
      </c>
      <c r="H151" s="2">
        <f t="shared" si="28"/>
        <v>0</v>
      </c>
      <c r="J151" s="330">
        <f>C151-IFERROR(VLOOKUP(A151,'[1]FL DL&amp;OH FG'!$A:$K,3,0),0)</f>
        <v>0</v>
      </c>
      <c r="K151" s="326">
        <f t="shared" si="17"/>
        <v>0</v>
      </c>
    </row>
    <row r="152" spans="1:11">
      <c r="A152" s="4" t="s">
        <v>2001</v>
      </c>
      <c r="B152" t="s">
        <v>2002</v>
      </c>
      <c r="C152" s="228">
        <f>IFERROR(GETPIVOTDATA("Sum of qty",PT!$A$17,"product",A152,"FL/AZ","FL"),0)</f>
        <v>0</v>
      </c>
      <c r="D152" s="129">
        <v>2.8125</v>
      </c>
      <c r="E152" s="2">
        <f t="shared" si="23"/>
        <v>0</v>
      </c>
      <c r="F152" s="2">
        <f>E152</f>
        <v>0</v>
      </c>
      <c r="G152" s="2">
        <f>E152*0.3125</f>
        <v>0</v>
      </c>
      <c r="H152" s="2">
        <f t="shared" si="28"/>
        <v>0</v>
      </c>
      <c r="J152" s="330">
        <f>C152-IFERROR(VLOOKUP(A152,'[1]FL DL&amp;OH FG'!$A:$K,3,0),0)</f>
        <v>0</v>
      </c>
      <c r="K152" s="326">
        <f t="shared" si="17"/>
        <v>0</v>
      </c>
    </row>
    <row r="153" spans="1:11">
      <c r="A153" s="163" t="s">
        <v>2003</v>
      </c>
      <c r="B153" t="s">
        <v>1557</v>
      </c>
      <c r="C153" s="228">
        <f>IFERROR(GETPIVOTDATA("Sum of qty",PT!$A$17,"product",A153,"FL/AZ","FL"),0)</f>
        <v>0</v>
      </c>
      <c r="D153" s="129">
        <f>8*24/128</f>
        <v>1.5</v>
      </c>
      <c r="E153" s="2">
        <f t="shared" ref="E153" si="29">C153*D153</f>
        <v>0</v>
      </c>
      <c r="F153" s="2"/>
      <c r="G153" s="2">
        <f>E153*0.3125</f>
        <v>0</v>
      </c>
      <c r="H153" s="2">
        <f t="shared" si="28"/>
        <v>0</v>
      </c>
      <c r="J153" s="330">
        <f>C153-IFERROR(VLOOKUP(A153,'[1]FL DL&amp;OH FG'!$A:$K,3,0),0)</f>
        <v>0</v>
      </c>
      <c r="K153" s="326">
        <f t="shared" si="17"/>
        <v>0</v>
      </c>
    </row>
    <row r="154" spans="1:11">
      <c r="A154" s="4" t="s">
        <v>2004</v>
      </c>
      <c r="B154" t="s">
        <v>1558</v>
      </c>
      <c r="C154" s="228">
        <f>IFERROR(GETPIVOTDATA("Sum of qty",PT!$A$17,"product",A154,"FL/AZ","FL"),0)</f>
        <v>898</v>
      </c>
      <c r="D154" s="129">
        <v>3</v>
      </c>
      <c r="E154" s="2">
        <f t="shared" si="23"/>
        <v>2694</v>
      </c>
      <c r="F154" s="2"/>
      <c r="G154" s="2">
        <f>E154*0.5</f>
        <v>1347</v>
      </c>
      <c r="H154" s="2">
        <f>E154*0.5</f>
        <v>1347</v>
      </c>
      <c r="J154" s="330">
        <f>C154-IFERROR(VLOOKUP(A154,'[1]FL DL&amp;OH FG'!$A:$K,3,0),0)</f>
        <v>401</v>
      </c>
      <c r="K154" s="326">
        <f t="shared" si="17"/>
        <v>1203</v>
      </c>
    </row>
    <row r="155" spans="1:11">
      <c r="A155" s="244" t="s">
        <v>2005</v>
      </c>
      <c r="B155" t="s">
        <v>345</v>
      </c>
      <c r="C155" s="228">
        <f>IFERROR(GETPIVOTDATA("Sum of qty",PT!$A$17,"product",A155,"FL/AZ","FL"),0)</f>
        <v>648</v>
      </c>
      <c r="D155" s="129">
        <f>61.5/128*6</f>
        <v>2.8828125</v>
      </c>
      <c r="E155" s="2">
        <f t="shared" ref="E155" si="30">C155*D155</f>
        <v>1868.0625</v>
      </c>
      <c r="F155" s="2">
        <f>E155</f>
        <v>1868.0625</v>
      </c>
      <c r="G155" s="2">
        <f>E155*0.5</f>
        <v>934.03125</v>
      </c>
      <c r="H155" s="2"/>
      <c r="J155" s="330">
        <f>C155-IFERROR(VLOOKUP(A155,'[1]FL DL&amp;OH FG'!$A:$K,3,0),0)</f>
        <v>-61</v>
      </c>
      <c r="K155" s="326">
        <f t="shared" si="17"/>
        <v>-175.8515625</v>
      </c>
    </row>
    <row r="156" spans="1:11">
      <c r="A156" s="4" t="s">
        <v>2006</v>
      </c>
      <c r="B156" t="s">
        <v>1561</v>
      </c>
      <c r="C156" s="228">
        <f>IFERROR(GETPIVOTDATA("Sum of qty",PT!$A$17,"product",A156,"FL/AZ","FL"),0)</f>
        <v>0</v>
      </c>
      <c r="D156" s="129">
        <v>4</v>
      </c>
      <c r="E156" s="2">
        <f t="shared" si="23"/>
        <v>0</v>
      </c>
      <c r="F156" s="2"/>
      <c r="G156" s="2">
        <f>E156*0.2673</f>
        <v>0</v>
      </c>
      <c r="H156" s="2">
        <f>E156*0.0428</f>
        <v>0</v>
      </c>
      <c r="J156" s="330">
        <f>C156-IFERROR(VLOOKUP(A156,'[1]FL DL&amp;OH FG'!$A:$K,3,0),0)</f>
        <v>0</v>
      </c>
      <c r="K156" s="326">
        <f t="shared" si="17"/>
        <v>0</v>
      </c>
    </row>
    <row r="157" spans="1:11">
      <c r="A157" s="4" t="s">
        <v>1751</v>
      </c>
      <c r="B157" t="s">
        <v>2007</v>
      </c>
      <c r="C157" s="228">
        <f>IFERROR(GETPIVOTDATA("Sum of qty",PT!$A$17,"product",A157,"FL/AZ","FL"),0)</f>
        <v>0</v>
      </c>
      <c r="D157" s="129">
        <v>4</v>
      </c>
      <c r="E157" s="2">
        <f t="shared" si="23"/>
        <v>0</v>
      </c>
      <c r="F157" s="2">
        <f>E157</f>
        <v>0</v>
      </c>
      <c r="G157" s="2">
        <f>E157*0.2673</f>
        <v>0</v>
      </c>
      <c r="H157" s="2">
        <f>E157*0.0428</f>
        <v>0</v>
      </c>
      <c r="J157" s="330">
        <f>C157-IFERROR(VLOOKUP(A157,'[1]FL DL&amp;OH FG'!$A:$K,3,0),0)</f>
        <v>0</v>
      </c>
      <c r="K157" s="326">
        <f t="shared" si="17"/>
        <v>0</v>
      </c>
    </row>
    <row r="158" spans="1:11">
      <c r="A158" s="163" t="s">
        <v>2008</v>
      </c>
      <c r="B158" s="157" t="s">
        <v>2009</v>
      </c>
      <c r="C158" s="228">
        <f>IFERROR(GETPIVOTDATA("Sum of qty",PT!$A$17,"product",A158,"FL/AZ","FL"),0)</f>
        <v>0</v>
      </c>
      <c r="D158" s="129">
        <f>(61.5*6)/128</f>
        <v>2.8828125</v>
      </c>
      <c r="E158" s="2">
        <f t="shared" ref="E158" si="31">C158*D158</f>
        <v>0</v>
      </c>
      <c r="F158" s="2">
        <f>E158</f>
        <v>0</v>
      </c>
      <c r="G158" s="2">
        <f>E158*0.098</f>
        <v>0</v>
      </c>
      <c r="H158" s="2">
        <f>E158*0.2651</f>
        <v>0</v>
      </c>
      <c r="J158" s="330">
        <f>C158-IFERROR(VLOOKUP(A158,'[1]FL DL&amp;OH FG'!$A:$K,3,0),0)</f>
        <v>0</v>
      </c>
      <c r="K158" s="326">
        <f t="shared" si="17"/>
        <v>0</v>
      </c>
    </row>
    <row r="159" spans="1:11">
      <c r="A159" s="227">
        <v>5142</v>
      </c>
      <c r="B159" t="s">
        <v>62</v>
      </c>
      <c r="C159" s="228">
        <f>IFERROR(GETPIVOTDATA("Sum of qty",PT!$A$17,"product",A159,"FL/AZ","FL"),0)</f>
        <v>251</v>
      </c>
      <c r="D159" s="129">
        <v>4.5</v>
      </c>
      <c r="E159" s="2">
        <f t="shared" si="23"/>
        <v>1129.5</v>
      </c>
      <c r="F159" s="2"/>
      <c r="G159" s="2">
        <f>E159*0.3125</f>
        <v>352.96875</v>
      </c>
      <c r="H159" s="2">
        <f>E159*0.05</f>
        <v>56.475000000000001</v>
      </c>
      <c r="J159" s="330">
        <f>C159-IFERROR(VLOOKUP(A159,'[1]FL DL&amp;OH FG'!$A:$K,3,0),0)</f>
        <v>123</v>
      </c>
      <c r="K159" s="326">
        <f t="shared" si="17"/>
        <v>553.5</v>
      </c>
    </row>
    <row r="160" spans="1:11">
      <c r="A160" s="4" t="s">
        <v>369</v>
      </c>
      <c r="B160" t="s">
        <v>2010</v>
      </c>
      <c r="C160" s="228">
        <f>IFERROR(GETPIVOTDATA("Sum of qty",PT!$A$17,"product",A160,"FL/AZ","FL"),0)</f>
        <v>4541</v>
      </c>
      <c r="D160" s="129">
        <v>4.5</v>
      </c>
      <c r="E160" s="2">
        <f t="shared" si="23"/>
        <v>20434.5</v>
      </c>
      <c r="F160" s="2">
        <f>E160</f>
        <v>20434.5</v>
      </c>
      <c r="G160" s="2">
        <f>E160*0.3125</f>
        <v>6385.78125</v>
      </c>
      <c r="H160" s="2">
        <f>E160*0.05</f>
        <v>1021.725</v>
      </c>
      <c r="J160" s="330">
        <f>C160-IFERROR(VLOOKUP(A160,'[1]FL DL&amp;OH FG'!$A:$K,3,0),0)</f>
        <v>890</v>
      </c>
      <c r="K160" s="326">
        <f t="shared" si="17"/>
        <v>4005</v>
      </c>
    </row>
    <row r="161" spans="1:11">
      <c r="A161" s="4" t="s">
        <v>2011</v>
      </c>
      <c r="B161" t="s">
        <v>2012</v>
      </c>
      <c r="C161" s="228">
        <f>IFERROR(GETPIVOTDATA("Sum of qty",PT!$A$17,"product",A161,"FL/AZ","FL"),0)</f>
        <v>0</v>
      </c>
      <c r="D161" s="129">
        <v>4</v>
      </c>
      <c r="E161" s="2">
        <f t="shared" si="23"/>
        <v>0</v>
      </c>
      <c r="F161" s="2"/>
      <c r="G161" s="2">
        <f>E161*0.5</f>
        <v>0</v>
      </c>
      <c r="H161" s="2">
        <f>E161*0.5</f>
        <v>0</v>
      </c>
      <c r="J161" s="330">
        <f>C161-IFERROR(VLOOKUP(A161,'[1]FL DL&amp;OH FG'!$A:$K,3,0),0)</f>
        <v>0</v>
      </c>
      <c r="K161" s="326">
        <f t="shared" si="17"/>
        <v>0</v>
      </c>
    </row>
    <row r="162" spans="1:11">
      <c r="A162" s="4" t="s">
        <v>2013</v>
      </c>
      <c r="B162" t="s">
        <v>2014</v>
      </c>
      <c r="C162" s="228">
        <f>IFERROR(GETPIVOTDATA("Sum of qty",PT!$A$17,"product",A162,"FL/AZ","FL"),0)</f>
        <v>0</v>
      </c>
      <c r="D162" s="129">
        <v>1.5</v>
      </c>
      <c r="E162" s="2">
        <f t="shared" si="23"/>
        <v>0</v>
      </c>
      <c r="F162" s="2"/>
      <c r="G162" s="2">
        <f>E162*0.3125</f>
        <v>0</v>
      </c>
      <c r="H162" s="2">
        <f>E162*0.05</f>
        <v>0</v>
      </c>
      <c r="J162" s="330">
        <f>C162-IFERROR(VLOOKUP(A162,'[1]FL DL&amp;OH FG'!$A:$K,3,0),0)</f>
        <v>0</v>
      </c>
      <c r="K162" s="326">
        <f t="shared" si="17"/>
        <v>0</v>
      </c>
    </row>
    <row r="163" spans="1:11">
      <c r="A163" s="4" t="s">
        <v>2015</v>
      </c>
      <c r="B163" t="s">
        <v>1570</v>
      </c>
      <c r="C163" s="228">
        <f>IFERROR(GETPIVOTDATA("Sum of qty",PT!$A$17,"product",A163,"FL/AZ","FL"),0)</f>
        <v>0</v>
      </c>
      <c r="D163" s="129">
        <v>4</v>
      </c>
      <c r="E163" s="2">
        <f t="shared" si="23"/>
        <v>0</v>
      </c>
      <c r="F163" s="2"/>
      <c r="G163" s="2">
        <f>E163*0.25</f>
        <v>0</v>
      </c>
      <c r="H163" s="2">
        <f>E163*0.5</f>
        <v>0</v>
      </c>
      <c r="J163" s="330">
        <f>C163-IFERROR(VLOOKUP(A163,'[1]FL DL&amp;OH FG'!$A:$K,3,0),0)</f>
        <v>0</v>
      </c>
      <c r="K163" s="326">
        <f t="shared" si="17"/>
        <v>0</v>
      </c>
    </row>
    <row r="164" spans="1:11">
      <c r="A164" s="4" t="s">
        <v>2016</v>
      </c>
      <c r="B164" t="s">
        <v>1571</v>
      </c>
      <c r="C164" s="228">
        <f>IFERROR(GETPIVOTDATA("Sum of qty",PT!$A$17,"product",A164,"FL/AZ","FL"),0)</f>
        <v>972</v>
      </c>
      <c r="D164" s="129">
        <v>2.8125</v>
      </c>
      <c r="E164" s="2">
        <f t="shared" si="23"/>
        <v>2733.75</v>
      </c>
      <c r="F164" s="2">
        <f t="shared" ref="F164:F168" si="32">E164</f>
        <v>2733.75</v>
      </c>
      <c r="G164" s="2">
        <f>E164*0.3125</f>
        <v>854.296875</v>
      </c>
      <c r="H164" s="2">
        <f>E164*0.05</f>
        <v>136.6875</v>
      </c>
      <c r="J164" s="330">
        <f>C164-IFERROR(VLOOKUP(A164,'[1]FL DL&amp;OH FG'!$A:$K,3,0),0)</f>
        <v>-363</v>
      </c>
      <c r="K164" s="326">
        <f t="shared" si="17"/>
        <v>-1020.9375</v>
      </c>
    </row>
    <row r="165" spans="1:11">
      <c r="A165" s="4" t="s">
        <v>2017</v>
      </c>
      <c r="B165" s="157" t="s">
        <v>2018</v>
      </c>
      <c r="C165" s="228">
        <f>IFERROR(GETPIVOTDATA("Sum of qty",PT!$A$17,"product",A165,"FL/AZ","FL"),0)</f>
        <v>0</v>
      </c>
      <c r="D165" s="129">
        <v>2.8125</v>
      </c>
      <c r="E165" s="2">
        <f t="shared" si="23"/>
        <v>0</v>
      </c>
      <c r="F165" s="2">
        <f t="shared" si="32"/>
        <v>0</v>
      </c>
      <c r="G165" s="2"/>
      <c r="H165" s="2"/>
      <c r="J165" s="330">
        <f>C165-IFERROR(VLOOKUP(A165,'[1]FL DL&amp;OH FG'!$A:$K,3,0),0)</f>
        <v>0</v>
      </c>
      <c r="K165" s="326">
        <f t="shared" si="17"/>
        <v>0</v>
      </c>
    </row>
    <row r="166" spans="1:11">
      <c r="A166" s="4" t="s">
        <v>2019</v>
      </c>
      <c r="B166" t="s">
        <v>1576</v>
      </c>
      <c r="C166" s="228">
        <f>IFERROR(GETPIVOTDATA("Sum of qty",PT!$A$17,"product",A166,"FL/AZ","FL"),0)</f>
        <v>0</v>
      </c>
      <c r="D166" s="129">
        <v>2.8125</v>
      </c>
      <c r="E166" s="2">
        <f t="shared" si="23"/>
        <v>0</v>
      </c>
      <c r="F166" s="2">
        <f t="shared" si="32"/>
        <v>0</v>
      </c>
      <c r="G166" s="2"/>
      <c r="H166" s="2"/>
      <c r="J166" s="330">
        <f>C166-IFERROR(VLOOKUP(A166,'[1]FL DL&amp;OH FG'!$A:$K,3,0),0)</f>
        <v>0</v>
      </c>
      <c r="K166" s="326">
        <f t="shared" si="17"/>
        <v>0</v>
      </c>
    </row>
    <row r="167" spans="1:11">
      <c r="A167" s="4" t="s">
        <v>2020</v>
      </c>
      <c r="B167" t="s">
        <v>1577</v>
      </c>
      <c r="C167" s="228">
        <f>IFERROR(GETPIVOTDATA("Sum of qty",PT!$A$17,"product",A167,"FL/AZ","FL"),0)</f>
        <v>0</v>
      </c>
      <c r="D167" s="129">
        <v>2.8125</v>
      </c>
      <c r="E167" s="2">
        <f t="shared" si="23"/>
        <v>0</v>
      </c>
      <c r="F167" s="2">
        <f t="shared" si="32"/>
        <v>0</v>
      </c>
      <c r="G167" s="2"/>
      <c r="H167" s="2"/>
      <c r="J167" s="330">
        <f>C167-IFERROR(VLOOKUP(A167,'[1]FL DL&amp;OH FG'!$A:$K,3,0),0)</f>
        <v>0</v>
      </c>
      <c r="K167" s="326">
        <f t="shared" si="17"/>
        <v>0</v>
      </c>
    </row>
    <row r="168" spans="1:11">
      <c r="A168" s="4" t="s">
        <v>2021</v>
      </c>
      <c r="B168" t="s">
        <v>1579</v>
      </c>
      <c r="C168" s="228">
        <f>IFERROR(GETPIVOTDATA("Sum of qty",PT!$A$17,"product",A168,"FL/AZ","FL"),0)</f>
        <v>0</v>
      </c>
      <c r="D168" s="129">
        <v>2.8125</v>
      </c>
      <c r="E168" s="2">
        <f t="shared" si="23"/>
        <v>0</v>
      </c>
      <c r="F168" s="2">
        <f t="shared" si="32"/>
        <v>0</v>
      </c>
      <c r="G168" s="2">
        <f>E168*0.245</f>
        <v>0</v>
      </c>
      <c r="H168" s="2">
        <f>E168*0.1225</f>
        <v>0</v>
      </c>
      <c r="J168" s="330">
        <f>C168-IFERROR(VLOOKUP(A168,'[1]FL DL&amp;OH FG'!$A:$K,3,0),0)</f>
        <v>0</v>
      </c>
      <c r="K168" s="326">
        <f t="shared" si="17"/>
        <v>0</v>
      </c>
    </row>
    <row r="169" spans="1:11">
      <c r="A169" s="4" t="s">
        <v>2022</v>
      </c>
      <c r="B169" t="s">
        <v>1581</v>
      </c>
      <c r="C169" s="228">
        <f>IFERROR(GETPIVOTDATA("Sum of qty",PT!$A$17,"product",A169,"FL/AZ","FL"),0)</f>
        <v>526</v>
      </c>
      <c r="D169" s="129">
        <v>3</v>
      </c>
      <c r="E169" s="2">
        <f>C169*D169</f>
        <v>1578</v>
      </c>
      <c r="F169" s="2"/>
      <c r="G169" s="2">
        <f>E169*0.245</f>
        <v>386.61</v>
      </c>
      <c r="H169" s="2">
        <f>E169*0.1225</f>
        <v>193.30500000000001</v>
      </c>
      <c r="J169" s="330">
        <f>C169-IFERROR(VLOOKUP(A169,'[1]FL DL&amp;OH FG'!$A:$K,3,0),0)</f>
        <v>261</v>
      </c>
      <c r="K169" s="326">
        <f t="shared" ref="K169:K233" si="33">J169*D169</f>
        <v>783</v>
      </c>
    </row>
    <row r="170" spans="1:11">
      <c r="A170" s="163" t="s">
        <v>2023</v>
      </c>
      <c r="B170" s="157" t="s">
        <v>508</v>
      </c>
      <c r="C170" s="228">
        <f>IFERROR(GETPIVOTDATA("Sum of qty",PT!$A$17,"product",A170,"FL/AZ","FL"),0)</f>
        <v>193</v>
      </c>
      <c r="D170" s="129">
        <v>3</v>
      </c>
      <c r="E170" s="2">
        <f>C170*D170</f>
        <v>579</v>
      </c>
      <c r="F170" s="2"/>
      <c r="G170" s="2">
        <f>E170*0.245</f>
        <v>141.85499999999999</v>
      </c>
      <c r="H170" s="2">
        <f>E170*0.1225</f>
        <v>70.927499999999995</v>
      </c>
      <c r="J170" s="330">
        <f>C170-IFERROR(VLOOKUP(A170,'[1]FL DL&amp;OH FG'!$A:$K,3,0),0)</f>
        <v>96</v>
      </c>
      <c r="K170" s="326">
        <f t="shared" si="33"/>
        <v>288</v>
      </c>
    </row>
    <row r="171" spans="1:11">
      <c r="A171" s="244" t="s">
        <v>2024</v>
      </c>
      <c r="B171" t="s">
        <v>1583</v>
      </c>
      <c r="C171" s="228">
        <f>IFERROR(GETPIVOTDATA("Sum of qty",PT!$A$17,"product",A171,"FL/AZ","FL"),0)</f>
        <v>0</v>
      </c>
      <c r="D171" s="129">
        <v>1.5</v>
      </c>
      <c r="E171" s="2">
        <f>C171*D171</f>
        <v>0</v>
      </c>
      <c r="F171" s="2"/>
      <c r="G171" s="2"/>
      <c r="H171" s="2"/>
      <c r="J171" s="330">
        <f>C171-IFERROR(VLOOKUP(A171,'[1]FL DL&amp;OH FG'!$A:$K,3,0),0)</f>
        <v>0</v>
      </c>
      <c r="K171" s="326">
        <f t="shared" si="33"/>
        <v>0</v>
      </c>
    </row>
    <row r="172" spans="1:11">
      <c r="A172" s="244" t="s">
        <v>2025</v>
      </c>
      <c r="B172" t="s">
        <v>75</v>
      </c>
      <c r="C172" s="228">
        <f>IFERROR(GETPIVOTDATA("Sum of qty",PT!$A$17,"product",A172,"FL/AZ","FL"),0)</f>
        <v>250</v>
      </c>
      <c r="D172" s="129">
        <v>3</v>
      </c>
      <c r="E172" s="2">
        <f>C172*D172</f>
        <v>750</v>
      </c>
      <c r="F172" s="2"/>
      <c r="G172" s="2">
        <f>E172</f>
        <v>750</v>
      </c>
      <c r="H172" s="2"/>
      <c r="J172" s="330">
        <f>C172-IFERROR(VLOOKUP(A172,'[1]FL DL&amp;OH FG'!$A:$K,3,0),0)</f>
        <v>215</v>
      </c>
      <c r="K172" s="326">
        <f t="shared" si="33"/>
        <v>645</v>
      </c>
    </row>
    <row r="173" spans="1:11">
      <c r="A173" s="4" t="s">
        <v>2026</v>
      </c>
      <c r="B173" t="s">
        <v>2027</v>
      </c>
      <c r="C173" s="228">
        <f>IFERROR(GETPIVOTDATA("Sum of qty",PT!$A$17,"product",A173,"FL/AZ","FL"),0)</f>
        <v>0</v>
      </c>
      <c r="D173" s="129">
        <v>1.5</v>
      </c>
      <c r="E173" s="2">
        <f t="shared" si="23"/>
        <v>0</v>
      </c>
      <c r="F173" s="2"/>
      <c r="G173" s="2"/>
      <c r="H173" s="2">
        <f>E173</f>
        <v>0</v>
      </c>
      <c r="J173" s="330">
        <f>C173-IFERROR(VLOOKUP(A173,'[1]FL DL&amp;OH FG'!$A:$K,3,0),0)</f>
        <v>0</v>
      </c>
      <c r="K173" s="326">
        <f t="shared" si="33"/>
        <v>0</v>
      </c>
    </row>
    <row r="174" spans="1:11">
      <c r="A174" s="4" t="s">
        <v>2028</v>
      </c>
      <c r="B174" t="s">
        <v>2029</v>
      </c>
      <c r="C174" s="228">
        <f>IFERROR(GETPIVOTDATA("Sum of qty",PT!$A$17,"product",A174,"FL/AZ","FL"),0)</f>
        <v>0</v>
      </c>
      <c r="D174" s="129">
        <v>4</v>
      </c>
      <c r="E174" s="2">
        <f t="shared" si="23"/>
        <v>0</v>
      </c>
      <c r="F174" s="2"/>
      <c r="G174" s="2">
        <f>E174*0.51</f>
        <v>0</v>
      </c>
      <c r="H174" s="2">
        <f>E174*0.49</f>
        <v>0</v>
      </c>
      <c r="J174" s="330">
        <f>C174-IFERROR(VLOOKUP(A174,'[1]FL DL&amp;OH FG'!$A:$K,3,0),0)</f>
        <v>0</v>
      </c>
      <c r="K174" s="326">
        <f t="shared" si="33"/>
        <v>0</v>
      </c>
    </row>
    <row r="175" spans="1:11">
      <c r="A175" s="4" t="s">
        <v>2030</v>
      </c>
      <c r="B175" t="s">
        <v>262</v>
      </c>
      <c r="C175" s="228">
        <f>IFERROR(GETPIVOTDATA("Sum of qty",PT!$A$17,"product",A175,"FL/AZ","FL"),0)</f>
        <v>8598</v>
      </c>
      <c r="D175" s="129">
        <v>4</v>
      </c>
      <c r="E175" s="2">
        <f t="shared" si="23"/>
        <v>34392</v>
      </c>
      <c r="F175" s="2"/>
      <c r="G175" s="2">
        <f>0.25*E175</f>
        <v>8598</v>
      </c>
      <c r="H175" s="2">
        <f>0.75*E175</f>
        <v>25794</v>
      </c>
      <c r="J175" s="330">
        <f>C175-IFERROR(VLOOKUP(A175,'[1]FL DL&amp;OH FG'!$A:$K,3,0),0)</f>
        <v>-433</v>
      </c>
      <c r="K175" s="326">
        <f t="shared" si="33"/>
        <v>-1732</v>
      </c>
    </row>
    <row r="176" spans="1:11">
      <c r="A176" s="163" t="s">
        <v>2819</v>
      </c>
      <c r="B176" t="s">
        <v>246</v>
      </c>
      <c r="C176" s="228">
        <f>IFERROR(GETPIVOTDATA("Sum of qty",PT!$A$17,"product",A176,"FL/AZ","FL"),0)</f>
        <v>286</v>
      </c>
      <c r="D176" s="129">
        <v>4</v>
      </c>
      <c r="E176" s="2">
        <f>C176*D176</f>
        <v>1144</v>
      </c>
      <c r="F176" s="2"/>
      <c r="G176" s="2">
        <f>0.25*E176</f>
        <v>286</v>
      </c>
      <c r="H176" s="2">
        <f>0.75*E176</f>
        <v>858</v>
      </c>
      <c r="J176" s="330">
        <f>C176-IFERROR(VLOOKUP(A176,'[1]FL DL&amp;OH FG'!$A:$K,3,0),0)</f>
        <v>-200</v>
      </c>
      <c r="K176" s="326">
        <f t="shared" ref="K176" si="34">J176*D176</f>
        <v>-800</v>
      </c>
    </row>
    <row r="177" spans="1:11">
      <c r="A177" s="163" t="s">
        <v>2031</v>
      </c>
      <c r="B177" t="s">
        <v>355</v>
      </c>
      <c r="C177" s="228">
        <f>IFERROR(GETPIVOTDATA("Sum of qty",PT!$A$17,"product",A177,"FL/AZ","FL"),0)</f>
        <v>819</v>
      </c>
      <c r="D177" s="129">
        <v>3</v>
      </c>
      <c r="E177" s="2">
        <f t="shared" ref="E177" si="35">C177*D177</f>
        <v>2457</v>
      </c>
      <c r="F177" s="2">
        <f>E177</f>
        <v>2457</v>
      </c>
      <c r="G177" s="2"/>
      <c r="H177" s="2">
        <f>E177</f>
        <v>2457</v>
      </c>
      <c r="J177" s="330">
        <f>C177-IFERROR(VLOOKUP(A177,'[1]FL DL&amp;OH FG'!$A:$K,3,0),0)</f>
        <v>379</v>
      </c>
      <c r="K177" s="326">
        <f t="shared" si="33"/>
        <v>1137</v>
      </c>
    </row>
    <row r="178" spans="1:11">
      <c r="A178" s="4" t="s">
        <v>2032</v>
      </c>
      <c r="B178" t="s">
        <v>1585</v>
      </c>
      <c r="C178" s="228">
        <f>IFERROR(GETPIVOTDATA("Sum of qty",PT!$A$17,"product",A178,"FL/AZ","FL"),0)</f>
        <v>0</v>
      </c>
      <c r="D178" s="129">
        <v>4.5</v>
      </c>
      <c r="E178" s="2">
        <f t="shared" si="23"/>
        <v>0</v>
      </c>
      <c r="F178" s="2">
        <f>E178</f>
        <v>0</v>
      </c>
      <c r="G178" s="2"/>
      <c r="H178" s="2"/>
      <c r="J178" s="330">
        <f>C178-IFERROR(VLOOKUP(A178,'[1]FL DL&amp;OH FG'!$A:$K,3,0),0)</f>
        <v>0</v>
      </c>
      <c r="K178" s="326">
        <f t="shared" si="33"/>
        <v>0</v>
      </c>
    </row>
    <row r="179" spans="1:11">
      <c r="A179" s="4" t="s">
        <v>2033</v>
      </c>
      <c r="B179" t="s">
        <v>1586</v>
      </c>
      <c r="C179" s="228">
        <f>IFERROR(GETPIVOTDATA("Sum of qty",PT!$A$17,"product",A179,"FL/AZ","FL"),0)</f>
        <v>6073</v>
      </c>
      <c r="D179" s="129">
        <v>1.429</v>
      </c>
      <c r="E179" s="2">
        <f t="shared" si="23"/>
        <v>8678.3170000000009</v>
      </c>
      <c r="F179" s="2">
        <f>E179</f>
        <v>8678.3170000000009</v>
      </c>
      <c r="G179" s="2"/>
      <c r="H179" s="2">
        <f t="shared" ref="H179:H190" si="36">E179</f>
        <v>8678.3170000000009</v>
      </c>
      <c r="J179" s="330">
        <f>C179-IFERROR(VLOOKUP(A179,'[1]FL DL&amp;OH FG'!$A:$K,3,0),0)</f>
        <v>1285</v>
      </c>
      <c r="K179" s="326">
        <f t="shared" si="33"/>
        <v>1836.2650000000001</v>
      </c>
    </row>
    <row r="180" spans="1:11">
      <c r="A180" s="4" t="s">
        <v>2034</v>
      </c>
      <c r="B180" t="s">
        <v>1587</v>
      </c>
      <c r="C180" s="228">
        <f>IFERROR(GETPIVOTDATA("Sum of qty",PT!$A$17,"product",A180,"FL/AZ","FL"),0)</f>
        <v>2329</v>
      </c>
      <c r="D180" s="129">
        <v>3.8125</v>
      </c>
      <c r="E180" s="2">
        <f t="shared" si="23"/>
        <v>8879.3125</v>
      </c>
      <c r="F180" s="2">
        <f>E180</f>
        <v>8879.3125</v>
      </c>
      <c r="G180" s="2"/>
      <c r="H180" s="2">
        <f t="shared" si="36"/>
        <v>8879.3125</v>
      </c>
      <c r="J180" s="330">
        <f>C180-IFERROR(VLOOKUP(A180,'[1]FL DL&amp;OH FG'!$A:$K,3,0),0)</f>
        <v>-2618</v>
      </c>
      <c r="K180" s="326">
        <f t="shared" si="33"/>
        <v>-9981.125</v>
      </c>
    </row>
    <row r="181" spans="1:11">
      <c r="A181" s="4" t="s">
        <v>2035</v>
      </c>
      <c r="B181" t="s">
        <v>570</v>
      </c>
      <c r="C181" s="228">
        <f>IFERROR(GETPIVOTDATA("Sum of qty",PT!$A$17,"product",A181,"FL/AZ","FL"),0)</f>
        <v>1039</v>
      </c>
      <c r="D181" s="129">
        <v>4</v>
      </c>
      <c r="E181" s="2">
        <f t="shared" si="23"/>
        <v>4156</v>
      </c>
      <c r="F181" s="2"/>
      <c r="G181" s="2"/>
      <c r="H181" s="2">
        <f t="shared" si="36"/>
        <v>4156</v>
      </c>
      <c r="J181" s="330">
        <f>C181-IFERROR(VLOOKUP(A181,'[1]FL DL&amp;OH FG'!$A:$K,3,0),0)</f>
        <v>-1265</v>
      </c>
      <c r="K181" s="326">
        <f t="shared" si="33"/>
        <v>-5060</v>
      </c>
    </row>
    <row r="182" spans="1:11">
      <c r="A182" s="4" t="s">
        <v>2036</v>
      </c>
      <c r="B182" t="s">
        <v>574</v>
      </c>
      <c r="C182" s="228">
        <f>IFERROR(GETPIVOTDATA("Sum of qty",PT!$A$17,"product",A182,"FL/AZ","FL"),0)</f>
        <v>1443</v>
      </c>
      <c r="D182" s="129">
        <v>4</v>
      </c>
      <c r="E182" s="2">
        <f t="shared" si="23"/>
        <v>5772</v>
      </c>
      <c r="F182" s="2"/>
      <c r="G182" s="2"/>
      <c r="H182" s="2">
        <f t="shared" si="36"/>
        <v>5772</v>
      </c>
      <c r="J182" s="330">
        <f>C182-IFERROR(VLOOKUP(A182,'[1]FL DL&amp;OH FG'!$A:$K,3,0),0)</f>
        <v>-952</v>
      </c>
      <c r="K182" s="326">
        <f t="shared" si="33"/>
        <v>-3808</v>
      </c>
    </row>
    <row r="183" spans="1:11">
      <c r="A183" s="4" t="s">
        <v>1752</v>
      </c>
      <c r="B183" t="s">
        <v>1753</v>
      </c>
      <c r="C183" s="228">
        <f>IFERROR(GETPIVOTDATA("Sum of qty",PT!$A$17,"product",A183,"FL/AZ","FL"),0)</f>
        <v>0</v>
      </c>
      <c r="D183" s="129">
        <v>4</v>
      </c>
      <c r="E183" s="2">
        <f t="shared" si="23"/>
        <v>0</v>
      </c>
      <c r="F183" s="2"/>
      <c r="G183" s="2"/>
      <c r="H183" s="2">
        <f>E183</f>
        <v>0</v>
      </c>
      <c r="J183" s="330">
        <f>C183-IFERROR(VLOOKUP(A183,'[1]FL DL&amp;OH FG'!$A:$K,3,0),0)</f>
        <v>0</v>
      </c>
      <c r="K183" s="326">
        <f t="shared" si="33"/>
        <v>0</v>
      </c>
    </row>
    <row r="184" spans="1:11">
      <c r="A184" s="4" t="s">
        <v>1754</v>
      </c>
      <c r="B184" t="s">
        <v>1755</v>
      </c>
      <c r="C184" s="228">
        <f>IFERROR(GETPIVOTDATA("Sum of qty",PT!$A$17,"product",A184,"FL/AZ","FL"),0)</f>
        <v>0</v>
      </c>
      <c r="D184" s="129">
        <v>3.8437999999999999</v>
      </c>
      <c r="E184" s="2">
        <f>C184*D184</f>
        <v>0</v>
      </c>
      <c r="F184" s="2">
        <v>0</v>
      </c>
      <c r="G184" s="2">
        <v>0</v>
      </c>
      <c r="H184" s="2">
        <f>E184</f>
        <v>0</v>
      </c>
      <c r="J184" s="330">
        <f>C184-IFERROR(VLOOKUP(A184,'[1]FL DL&amp;OH FG'!$A:$K,3,0),0)</f>
        <v>0</v>
      </c>
      <c r="K184" s="326">
        <f t="shared" si="33"/>
        <v>0</v>
      </c>
    </row>
    <row r="185" spans="1:11">
      <c r="A185" s="163" t="s">
        <v>2037</v>
      </c>
      <c r="B185" t="s">
        <v>1588</v>
      </c>
      <c r="C185" s="228">
        <f>IFERROR(GETPIVOTDATA("Sum of qty",PT!$A$17,"product",A185,"FL/AZ","FL"),0)</f>
        <v>0</v>
      </c>
      <c r="D185" s="129">
        <v>3</v>
      </c>
      <c r="E185" s="2">
        <f>C185*D185</f>
        <v>0</v>
      </c>
      <c r="F185" s="2">
        <v>0</v>
      </c>
      <c r="G185" s="2">
        <v>0</v>
      </c>
      <c r="H185" s="2">
        <f>E185</f>
        <v>0</v>
      </c>
      <c r="J185" s="330">
        <f>C185-IFERROR(VLOOKUP(A185,'[1]FL DL&amp;OH FG'!$A:$K,3,0),0)</f>
        <v>0</v>
      </c>
      <c r="K185" s="326">
        <f t="shared" si="33"/>
        <v>0</v>
      </c>
    </row>
    <row r="186" spans="1:11">
      <c r="A186" s="4" t="s">
        <v>2038</v>
      </c>
      <c r="B186" t="s">
        <v>2039</v>
      </c>
      <c r="C186" s="228">
        <f>IFERROR(GETPIVOTDATA("Sum of qty",PT!$A$17,"product",A186,"FL/AZ","FL"),0)</f>
        <v>775</v>
      </c>
      <c r="D186" s="129">
        <v>3</v>
      </c>
      <c r="E186" s="2">
        <f>C186*D186</f>
        <v>2325</v>
      </c>
      <c r="F186" s="2">
        <v>0</v>
      </c>
      <c r="G186" s="2">
        <v>0</v>
      </c>
      <c r="H186" s="2">
        <f>E186</f>
        <v>2325</v>
      </c>
      <c r="J186" s="330">
        <f>C186-IFERROR(VLOOKUP(A186,'[1]FL DL&amp;OH FG'!$A:$K,3,0),0)</f>
        <v>-210</v>
      </c>
      <c r="K186" s="326">
        <f t="shared" si="33"/>
        <v>-630</v>
      </c>
    </row>
    <row r="187" spans="1:11" ht="12.75" customHeight="1">
      <c r="A187" s="4" t="s">
        <v>2040</v>
      </c>
      <c r="B187" t="s">
        <v>580</v>
      </c>
      <c r="C187" s="228">
        <f>IFERROR(GETPIVOTDATA("Sum of qty",PT!$A$17,"product",A187,"FL/AZ","FL"),0)</f>
        <v>0</v>
      </c>
      <c r="D187" s="129">
        <v>3</v>
      </c>
      <c r="E187" s="2">
        <f t="shared" si="23"/>
        <v>0</v>
      </c>
      <c r="F187" s="2"/>
      <c r="G187" s="2"/>
      <c r="H187" s="2">
        <f t="shared" si="36"/>
        <v>0</v>
      </c>
      <c r="J187" s="330">
        <f>C187-IFERROR(VLOOKUP(A187,'[1]FL DL&amp;OH FG'!$A:$K,3,0),0)</f>
        <v>0</v>
      </c>
      <c r="K187" s="326">
        <f t="shared" si="33"/>
        <v>0</v>
      </c>
    </row>
    <row r="188" spans="1:11" ht="12.75" customHeight="1">
      <c r="A188" s="4" t="s">
        <v>2041</v>
      </c>
      <c r="B188" t="s">
        <v>1589</v>
      </c>
      <c r="C188" s="228">
        <f>IFERROR(GETPIVOTDATA("Sum of qty",PT!$A$17,"product",A188,"FL/AZ","FL"),0)</f>
        <v>0</v>
      </c>
      <c r="D188" s="129">
        <v>4</v>
      </c>
      <c r="E188" s="2">
        <f>C188*D188</f>
        <v>0</v>
      </c>
      <c r="F188" s="2"/>
      <c r="G188" s="2"/>
      <c r="H188" s="2">
        <f>E188</f>
        <v>0</v>
      </c>
      <c r="J188" s="330">
        <f>C188-IFERROR(VLOOKUP(A188,'[1]FL DL&amp;OH FG'!$A:$K,3,0),0)</f>
        <v>0</v>
      </c>
      <c r="K188" s="326">
        <f t="shared" si="33"/>
        <v>0</v>
      </c>
    </row>
    <row r="189" spans="1:11">
      <c r="A189" s="4" t="s">
        <v>2042</v>
      </c>
      <c r="B189" t="s">
        <v>637</v>
      </c>
      <c r="C189" s="228">
        <f>IFERROR(GETPIVOTDATA("Sum of qty",PT!$A$17,"product",A189,"FL/AZ","FL"),0)</f>
        <v>401</v>
      </c>
      <c r="D189" s="129">
        <v>3</v>
      </c>
      <c r="E189" s="2">
        <f t="shared" si="23"/>
        <v>1203</v>
      </c>
      <c r="F189" s="2"/>
      <c r="G189" s="2"/>
      <c r="H189" s="2">
        <f t="shared" si="36"/>
        <v>1203</v>
      </c>
      <c r="J189" s="330">
        <f>C189-IFERROR(VLOOKUP(A189,'[1]FL DL&amp;OH FG'!$A:$K,3,0),0)</f>
        <v>-280</v>
      </c>
      <c r="K189" s="326">
        <f t="shared" si="33"/>
        <v>-840</v>
      </c>
    </row>
    <row r="190" spans="1:11">
      <c r="A190" s="4" t="s">
        <v>2043</v>
      </c>
      <c r="B190" t="s">
        <v>575</v>
      </c>
      <c r="C190" s="228">
        <f>IFERROR(GETPIVOTDATA("Sum of qty",PT!$A$17,"product",A190,"FL/AZ","FL"),0)</f>
        <v>2069</v>
      </c>
      <c r="D190" s="129">
        <v>1.5</v>
      </c>
      <c r="E190" s="2">
        <f t="shared" si="23"/>
        <v>3103.5</v>
      </c>
      <c r="F190" s="2"/>
      <c r="G190" s="2"/>
      <c r="H190" s="2">
        <f t="shared" si="36"/>
        <v>3103.5</v>
      </c>
      <c r="J190" s="330">
        <f>C190-IFERROR(VLOOKUP(A190,'[1]FL DL&amp;OH FG'!$A:$K,3,0),0)</f>
        <v>-592</v>
      </c>
      <c r="K190" s="326">
        <f t="shared" si="33"/>
        <v>-888</v>
      </c>
    </row>
    <row r="191" spans="1:11">
      <c r="A191" s="4" t="s">
        <v>2044</v>
      </c>
      <c r="B191" t="s">
        <v>1299</v>
      </c>
      <c r="C191" s="228">
        <f>IFERROR(GETPIVOTDATA("Sum of qty",PT!$A$17,"product",A191,"FL/AZ","FL"),0)</f>
        <v>0</v>
      </c>
      <c r="D191" s="129">
        <v>3</v>
      </c>
      <c r="E191" s="2">
        <f t="shared" si="23"/>
        <v>0</v>
      </c>
      <c r="F191" s="2"/>
      <c r="G191" s="2"/>
      <c r="H191" s="2">
        <f t="shared" ref="H191:H196" si="37">E191*0.115</f>
        <v>0</v>
      </c>
      <c r="J191" s="330">
        <f>C191-IFERROR(VLOOKUP(A191,'[1]FL DL&amp;OH FG'!$A:$K,3,0),0)</f>
        <v>0</v>
      </c>
      <c r="K191" s="326">
        <f t="shared" si="33"/>
        <v>0</v>
      </c>
    </row>
    <row r="192" spans="1:11">
      <c r="A192" s="4" t="s">
        <v>2045</v>
      </c>
      <c r="B192" t="s">
        <v>2046</v>
      </c>
      <c r="C192" s="228">
        <f>IFERROR(GETPIVOTDATA("Sum of qty",PT!$A$17,"product",A192,"FL/AZ","FL"),0)</f>
        <v>0</v>
      </c>
      <c r="D192" s="129">
        <v>1.44</v>
      </c>
      <c r="E192" s="2">
        <f t="shared" si="23"/>
        <v>0</v>
      </c>
      <c r="F192" s="2">
        <f>E192</f>
        <v>0</v>
      </c>
      <c r="G192" s="2"/>
      <c r="H192" s="2">
        <f t="shared" si="37"/>
        <v>0</v>
      </c>
      <c r="J192" s="330">
        <f>C192-IFERROR(VLOOKUP(A192,'[1]FL DL&amp;OH FG'!$A:$K,3,0),0)</f>
        <v>0</v>
      </c>
      <c r="K192" s="326">
        <f t="shared" si="33"/>
        <v>0</v>
      </c>
    </row>
    <row r="193" spans="1:11">
      <c r="A193" s="4" t="s">
        <v>1757</v>
      </c>
      <c r="B193" t="s">
        <v>1758</v>
      </c>
      <c r="C193" s="228">
        <f>IFERROR(GETPIVOTDATA("Sum of qty",PT!$A$17,"product",A193,"FL/AZ","FL"),0)</f>
        <v>0</v>
      </c>
      <c r="D193" s="129">
        <v>3</v>
      </c>
      <c r="E193" s="2">
        <f t="shared" si="23"/>
        <v>0</v>
      </c>
      <c r="F193" s="2">
        <f>E193</f>
        <v>0</v>
      </c>
      <c r="G193" s="2"/>
      <c r="H193" s="2">
        <f t="shared" si="37"/>
        <v>0</v>
      </c>
      <c r="J193" s="330">
        <f>C193-IFERROR(VLOOKUP(A193,'[1]FL DL&amp;OH FG'!$A:$K,3,0),0)</f>
        <v>0</v>
      </c>
      <c r="K193" s="326">
        <f t="shared" si="33"/>
        <v>0</v>
      </c>
    </row>
    <row r="194" spans="1:11">
      <c r="A194" s="4" t="s">
        <v>2047</v>
      </c>
      <c r="B194" t="s">
        <v>2048</v>
      </c>
      <c r="C194" s="228">
        <f>IFERROR(GETPIVOTDATA("Sum of qty",PT!$A$17,"product",A194,"FL/AZ","FL"),0)</f>
        <v>327</v>
      </c>
      <c r="D194" s="129">
        <v>2.88</v>
      </c>
      <c r="E194" s="2">
        <f t="shared" si="23"/>
        <v>941.76</v>
      </c>
      <c r="F194" s="2">
        <f>E194</f>
        <v>941.76</v>
      </c>
      <c r="G194" s="2"/>
      <c r="H194" s="2">
        <f>E194*0.115</f>
        <v>108.30240000000001</v>
      </c>
      <c r="J194" s="330">
        <f>C194-IFERROR(VLOOKUP(A194,'[1]FL DL&amp;OH FG'!$A:$K,3,0),0)</f>
        <v>-2</v>
      </c>
      <c r="K194" s="326">
        <f t="shared" si="33"/>
        <v>-5.76</v>
      </c>
    </row>
    <row r="195" spans="1:11">
      <c r="A195" s="4" t="s">
        <v>2049</v>
      </c>
      <c r="B195" t="s">
        <v>507</v>
      </c>
      <c r="C195" s="228">
        <f>IFERROR(GETPIVOTDATA("Sum of qty",PT!$A$17,"product",A195,"FL/AZ","FL"),0)</f>
        <v>3185</v>
      </c>
      <c r="D195" s="129">
        <v>4</v>
      </c>
      <c r="E195" s="2">
        <f t="shared" si="23"/>
        <v>12740</v>
      </c>
      <c r="F195" s="2"/>
      <c r="G195" s="2"/>
      <c r="H195" s="2">
        <f t="shared" si="37"/>
        <v>1465.1000000000001</v>
      </c>
      <c r="J195" s="330">
        <f>C195-IFERROR(VLOOKUP(A195,'[1]FL DL&amp;OH FG'!$A:$K,3,0),0)</f>
        <v>1540</v>
      </c>
      <c r="K195" s="326">
        <f t="shared" si="33"/>
        <v>6160</v>
      </c>
    </row>
    <row r="196" spans="1:11">
      <c r="A196" s="4" t="s">
        <v>2050</v>
      </c>
      <c r="B196" t="s">
        <v>2051</v>
      </c>
      <c r="C196" s="228">
        <f>IFERROR(GETPIVOTDATA("Sum of qty",PT!$A$17,"product",A196,"FL/AZ","FL"),0)</f>
        <v>0</v>
      </c>
      <c r="D196" s="129">
        <v>2.88</v>
      </c>
      <c r="E196" s="2">
        <f>C196*D196</f>
        <v>0</v>
      </c>
      <c r="F196" s="2">
        <f>E196</f>
        <v>0</v>
      </c>
      <c r="G196" s="2"/>
      <c r="H196" s="2">
        <f t="shared" si="37"/>
        <v>0</v>
      </c>
      <c r="J196" s="330">
        <f>C196-IFERROR(VLOOKUP(A196,'[1]FL DL&amp;OH FG'!$A:$K,3,0),0)</f>
        <v>0</v>
      </c>
      <c r="K196" s="326">
        <f t="shared" si="33"/>
        <v>0</v>
      </c>
    </row>
    <row r="197" spans="1:11">
      <c r="A197" s="4" t="s">
        <v>2052</v>
      </c>
      <c r="B197" t="s">
        <v>2053</v>
      </c>
      <c r="C197" s="228">
        <f>IFERROR(GETPIVOTDATA("Sum of qty",PT!$A$17,"product",A197,"FL/AZ","FL"),0)</f>
        <v>0</v>
      </c>
      <c r="D197" s="129">
        <v>2.88</v>
      </c>
      <c r="E197" s="2">
        <f>C197*D197</f>
        <v>0</v>
      </c>
      <c r="F197" s="2">
        <f>E197</f>
        <v>0</v>
      </c>
      <c r="G197" s="2"/>
      <c r="H197" s="2">
        <f t="shared" ref="H197:H205" si="38">E197</f>
        <v>0</v>
      </c>
      <c r="J197" s="330">
        <f>C197-IFERROR(VLOOKUP(A197,'[1]FL DL&amp;OH FG'!$A:$K,3,0),0)</f>
        <v>0</v>
      </c>
      <c r="K197" s="326">
        <f t="shared" si="33"/>
        <v>0</v>
      </c>
    </row>
    <row r="198" spans="1:11">
      <c r="A198" s="4" t="s">
        <v>2054</v>
      </c>
      <c r="B198" t="s">
        <v>1596</v>
      </c>
      <c r="C198" s="228">
        <f>IFERROR(GETPIVOTDATA("Sum of qty",PT!$A$17,"product",A198,"FL/AZ","FL"),0)</f>
        <v>0</v>
      </c>
      <c r="D198" s="129">
        <v>2.88</v>
      </c>
      <c r="E198" s="2">
        <f>C198*D198</f>
        <v>0</v>
      </c>
      <c r="F198" s="2"/>
      <c r="G198" s="2"/>
      <c r="H198" s="2">
        <f t="shared" si="38"/>
        <v>0</v>
      </c>
      <c r="J198" s="330">
        <f>C198-IFERROR(VLOOKUP(A198,'[1]FL DL&amp;OH FG'!$A:$K,3,0),0)</f>
        <v>0</v>
      </c>
      <c r="K198" s="326">
        <f t="shared" si="33"/>
        <v>0</v>
      </c>
    </row>
    <row r="199" spans="1:11">
      <c r="A199" s="4" t="s">
        <v>2055</v>
      </c>
      <c r="B199" t="s">
        <v>572</v>
      </c>
      <c r="C199" s="228">
        <f>IFERROR(GETPIVOTDATA("Sum of qty",PT!$A$17,"product",A199,"FL/AZ","FL"),0)</f>
        <v>5431</v>
      </c>
      <c r="D199" s="129">
        <v>1.5</v>
      </c>
      <c r="E199" s="2">
        <f t="shared" si="23"/>
        <v>8146.5</v>
      </c>
      <c r="F199" s="2"/>
      <c r="G199" s="2"/>
      <c r="H199" s="2">
        <f t="shared" si="38"/>
        <v>8146.5</v>
      </c>
      <c r="J199" s="330">
        <f>C199-IFERROR(VLOOKUP(A199,'[1]FL DL&amp;OH FG'!$A:$K,3,0),0)</f>
        <v>-818</v>
      </c>
      <c r="K199" s="326">
        <f t="shared" si="33"/>
        <v>-1227</v>
      </c>
    </row>
    <row r="200" spans="1:11">
      <c r="A200" s="4" t="s">
        <v>2056</v>
      </c>
      <c r="B200" t="s">
        <v>2057</v>
      </c>
      <c r="C200" s="228">
        <f>IFERROR(GETPIVOTDATA("Sum of qty",PT!$A$17,"product",A200,"FL/AZ","FL"),0)</f>
        <v>0</v>
      </c>
      <c r="D200" s="129">
        <v>1.429</v>
      </c>
      <c r="E200" s="2">
        <f t="shared" si="23"/>
        <v>0</v>
      </c>
      <c r="F200" s="2">
        <f>E200</f>
        <v>0</v>
      </c>
      <c r="G200" s="2"/>
      <c r="H200" s="2">
        <f t="shared" si="38"/>
        <v>0</v>
      </c>
      <c r="J200" s="330">
        <f>C200-IFERROR(VLOOKUP(A200,'[1]FL DL&amp;OH FG'!$A:$K,3,0),0)</f>
        <v>0</v>
      </c>
      <c r="K200" s="326">
        <f t="shared" si="33"/>
        <v>0</v>
      </c>
    </row>
    <row r="201" spans="1:11">
      <c r="A201" s="244" t="s">
        <v>2058</v>
      </c>
      <c r="B201" t="s">
        <v>1598</v>
      </c>
      <c r="C201" s="228">
        <f>IFERROR(GETPIVOTDATA("Sum of qty",PT!$A$17,"product",A201&amp;"","FL/AZ","FL"),0)</f>
        <v>0</v>
      </c>
      <c r="D201" s="129">
        <f>123*0.03125</f>
        <v>3.84375</v>
      </c>
      <c r="E201" s="2">
        <f t="shared" si="23"/>
        <v>0</v>
      </c>
      <c r="F201" s="2"/>
      <c r="G201" s="2"/>
      <c r="H201" s="2">
        <f t="shared" si="38"/>
        <v>0</v>
      </c>
      <c r="J201" s="330">
        <f>C201-IFERROR(VLOOKUP(A201,'[1]FL DL&amp;OH FG'!$A:$K,3,0),0)</f>
        <v>0</v>
      </c>
      <c r="K201" s="326">
        <f t="shared" si="33"/>
        <v>0</v>
      </c>
    </row>
    <row r="202" spans="1:11">
      <c r="A202" s="4" t="s">
        <v>2059</v>
      </c>
      <c r="B202" t="s">
        <v>2060</v>
      </c>
      <c r="C202" s="228">
        <f>IFERROR(GETPIVOTDATA("Sum of qty",PT!$A$17,"product",A202,"FL/AZ","FL"),0)</f>
        <v>0</v>
      </c>
      <c r="D202" s="129">
        <f>123*0.03125</f>
        <v>3.84375</v>
      </c>
      <c r="E202" s="2">
        <f t="shared" si="23"/>
        <v>0</v>
      </c>
      <c r="F202" s="2">
        <f>E202</f>
        <v>0</v>
      </c>
      <c r="G202" s="2"/>
      <c r="H202" s="2"/>
      <c r="J202" s="330">
        <f>C202-IFERROR(VLOOKUP(A202,'[1]FL DL&amp;OH FG'!$A:$K,3,0),0)</f>
        <v>0</v>
      </c>
      <c r="K202" s="326">
        <f t="shared" si="33"/>
        <v>0</v>
      </c>
    </row>
    <row r="203" spans="1:11">
      <c r="A203" s="4" t="s">
        <v>1599</v>
      </c>
      <c r="B203" t="s">
        <v>1600</v>
      </c>
      <c r="C203" s="228">
        <f>IFERROR(GETPIVOTDATA("Sum of qty",PT!$A$17,"product",A203,"FL/AZ","FL"),0)</f>
        <v>0</v>
      </c>
      <c r="D203" s="129">
        <f>30.5*0.046875</f>
        <v>1.4296875</v>
      </c>
      <c r="E203" s="2">
        <f t="shared" si="23"/>
        <v>0</v>
      </c>
      <c r="F203" s="2">
        <f t="shared" ref="F203" si="39">E203</f>
        <v>0</v>
      </c>
      <c r="G203" s="2"/>
      <c r="H203" s="2"/>
      <c r="J203" s="330">
        <f>C203-IFERROR(VLOOKUP(A203,'[1]FL DL&amp;OH FG'!$A:$K,3,0),0)</f>
        <v>0</v>
      </c>
      <c r="K203" s="326">
        <f t="shared" si="33"/>
        <v>0</v>
      </c>
    </row>
    <row r="204" spans="1:11">
      <c r="A204" s="4" t="s">
        <v>2061</v>
      </c>
      <c r="B204" t="s">
        <v>1601</v>
      </c>
      <c r="C204" s="228">
        <f>IFERROR(GETPIVOTDATA("Sum of qty",PT!$A$17,"product",A204,"FL/AZ","FL"),0)</f>
        <v>724</v>
      </c>
      <c r="D204" s="129">
        <v>3</v>
      </c>
      <c r="E204" s="2">
        <f t="shared" si="23"/>
        <v>2172</v>
      </c>
      <c r="F204" s="2"/>
      <c r="G204" s="2"/>
      <c r="H204" s="2"/>
      <c r="J204" s="330">
        <f>C204-IFERROR(VLOOKUP(A204,'[1]FL DL&amp;OH FG'!$A:$K,3,0),0)</f>
        <v>-112</v>
      </c>
      <c r="K204" s="326">
        <f t="shared" si="33"/>
        <v>-336</v>
      </c>
    </row>
    <row r="205" spans="1:11">
      <c r="A205" s="4" t="s">
        <v>2062</v>
      </c>
      <c r="B205" t="s">
        <v>1603</v>
      </c>
      <c r="C205" s="228">
        <f>IFERROR(GETPIVOTDATA("Sum of qty",PT!$A$17,"product",A205,"FL/AZ","FL"),0)</f>
        <v>0</v>
      </c>
      <c r="D205" s="129">
        <v>4</v>
      </c>
      <c r="E205" s="2">
        <f>C205*D205</f>
        <v>0</v>
      </c>
      <c r="F205" s="2"/>
      <c r="G205" s="2"/>
      <c r="H205" s="2">
        <f t="shared" si="38"/>
        <v>0</v>
      </c>
      <c r="J205" s="330">
        <f>C205-IFERROR(VLOOKUP(A205,'[1]FL DL&amp;OH FG'!$A:$K,3,0),0)</f>
        <v>0</v>
      </c>
      <c r="K205" s="326">
        <f t="shared" si="33"/>
        <v>0</v>
      </c>
    </row>
    <row r="206" spans="1:11">
      <c r="A206" s="4" t="s">
        <v>2063</v>
      </c>
      <c r="B206" t="s">
        <v>2064</v>
      </c>
      <c r="C206" s="228">
        <f>IFERROR(GETPIVOTDATA("Sum of qty",PT!$A$17,"product",A206,"FL/AZ","FL"),0)</f>
        <v>0</v>
      </c>
      <c r="D206" s="129"/>
      <c r="E206" s="2">
        <f t="shared" ref="E206:E210" si="40">C206*D206</f>
        <v>0</v>
      </c>
      <c r="F206" s="2"/>
      <c r="G206" s="2"/>
      <c r="H206" s="2"/>
      <c r="J206" s="330">
        <f>C206-IFERROR(VLOOKUP(A206,'[1]FL DL&amp;OH FG'!$A:$K,3,0),0)</f>
        <v>0</v>
      </c>
      <c r="K206" s="326">
        <f t="shared" si="33"/>
        <v>0</v>
      </c>
    </row>
    <row r="207" spans="1:11">
      <c r="A207" s="4" t="s">
        <v>2065</v>
      </c>
      <c r="B207" t="s">
        <v>1605</v>
      </c>
      <c r="C207" s="228">
        <f>IFERROR(GETPIVOTDATA("Sum of qty",PT!$A$17,"product",A207,"FL/AZ","FL"),0)</f>
        <v>0</v>
      </c>
      <c r="D207" s="129"/>
      <c r="E207" s="2">
        <f t="shared" si="40"/>
        <v>0</v>
      </c>
      <c r="F207" s="2"/>
      <c r="G207" s="2"/>
      <c r="H207" s="2"/>
      <c r="J207" s="330">
        <f>C207-IFERROR(VLOOKUP(A207,'[1]FL DL&amp;OH FG'!$A:$K,3,0),0)</f>
        <v>0</v>
      </c>
      <c r="K207" s="326">
        <f t="shared" si="33"/>
        <v>0</v>
      </c>
    </row>
    <row r="208" spans="1:11">
      <c r="A208" s="244" t="s">
        <v>2066</v>
      </c>
      <c r="B208" t="s">
        <v>1607</v>
      </c>
      <c r="C208" s="228">
        <f>IFERROR(GETPIVOTDATA("Sum of qty",PT!$A$17,"product",A208,"FL/AZ","FL"),0)</f>
        <v>0</v>
      </c>
      <c r="D208" s="129">
        <v>48</v>
      </c>
      <c r="E208" s="2">
        <f t="shared" si="40"/>
        <v>0</v>
      </c>
      <c r="F208" s="2"/>
      <c r="G208" s="2"/>
      <c r="H208" s="2">
        <f t="shared" ref="H208" si="41">E208</f>
        <v>0</v>
      </c>
      <c r="J208" s="330">
        <f>C208-IFERROR(VLOOKUP(A208,'[1]FL DL&amp;OH FG'!$A:$K,3,0),0)</f>
        <v>0</v>
      </c>
      <c r="K208" s="326">
        <f t="shared" si="33"/>
        <v>0</v>
      </c>
    </row>
    <row r="209" spans="1:11">
      <c r="A209" s="4" t="s">
        <v>2067</v>
      </c>
      <c r="B209" t="s">
        <v>2068</v>
      </c>
      <c r="C209" s="228">
        <f>IFERROR(GETPIVOTDATA("Sum of qty",PT!$A$17,"product",A209,"FL/AZ","FL"),0)</f>
        <v>0</v>
      </c>
      <c r="D209" s="129">
        <v>4</v>
      </c>
      <c r="E209" s="2">
        <f t="shared" si="40"/>
        <v>0</v>
      </c>
      <c r="F209" s="2"/>
      <c r="G209" s="2"/>
      <c r="H209" s="2"/>
      <c r="I209" s="8">
        <f t="shared" ref="I209:I280" si="42">E209</f>
        <v>0</v>
      </c>
      <c r="J209" s="330">
        <f>C209-IFERROR(VLOOKUP(A209,'[1]FL DL&amp;OH FG'!$A:$K,3,0),0)</f>
        <v>0</v>
      </c>
      <c r="K209" s="326">
        <f t="shared" si="33"/>
        <v>0</v>
      </c>
    </row>
    <row r="210" spans="1:11">
      <c r="A210" s="4" t="s">
        <v>2069</v>
      </c>
      <c r="B210" t="s">
        <v>1609</v>
      </c>
      <c r="C210" s="228">
        <f>IFERROR(GETPIVOTDATA("Sum of qty",PT!$A$17,"product",A210,"FL/AZ","FL"),0)</f>
        <v>0</v>
      </c>
      <c r="D210" s="129">
        <v>2.8828125</v>
      </c>
      <c r="E210" s="2">
        <f t="shared" si="40"/>
        <v>0</v>
      </c>
      <c r="F210" s="2">
        <f>E210</f>
        <v>0</v>
      </c>
      <c r="G210" s="2"/>
      <c r="H210" s="2"/>
      <c r="I210" s="8">
        <f t="shared" si="42"/>
        <v>0</v>
      </c>
      <c r="J210" s="330">
        <f>C210-IFERROR(VLOOKUP(A210,'[1]FL DL&amp;OH FG'!$A:$K,3,0),0)</f>
        <v>0</v>
      </c>
      <c r="K210" s="326">
        <f t="shared" si="33"/>
        <v>0</v>
      </c>
    </row>
    <row r="211" spans="1:11">
      <c r="A211" s="4" t="s">
        <v>2070</v>
      </c>
      <c r="B211" t="s">
        <v>2071</v>
      </c>
      <c r="C211" s="228">
        <f>IFERROR(GETPIVOTDATA("Sum of qty",PT!$A$17,"product",A211,"FL/AZ","FL"),0)</f>
        <v>0</v>
      </c>
      <c r="D211" s="129">
        <f>8*12/128</f>
        <v>0.75</v>
      </c>
      <c r="E211" s="2">
        <f t="shared" ref="E211:E286" si="43">C211*D211</f>
        <v>0</v>
      </c>
      <c r="F211" s="2"/>
      <c r="G211" s="2"/>
      <c r="H211" s="2"/>
      <c r="I211" s="8">
        <f t="shared" si="42"/>
        <v>0</v>
      </c>
      <c r="J211" s="330">
        <f>C211-IFERROR(VLOOKUP(A211,'[1]FL DL&amp;OH FG'!$A:$K,3,0),0)</f>
        <v>0</v>
      </c>
      <c r="K211" s="326">
        <f t="shared" si="33"/>
        <v>0</v>
      </c>
    </row>
    <row r="212" spans="1:11">
      <c r="A212" s="4" t="s">
        <v>2072</v>
      </c>
      <c r="B212" t="s">
        <v>2073</v>
      </c>
      <c r="C212" s="228">
        <f>IFERROR(GETPIVOTDATA("Sum of qty",PT!$A$17,"product",A212,"FL/AZ","FL"),0)</f>
        <v>0</v>
      </c>
      <c r="D212" s="129">
        <f>8*12/128</f>
        <v>0.75</v>
      </c>
      <c r="E212" s="2">
        <f t="shared" si="43"/>
        <v>0</v>
      </c>
      <c r="F212" s="2"/>
      <c r="G212" s="2"/>
      <c r="H212" s="2"/>
      <c r="I212" s="8">
        <f t="shared" si="42"/>
        <v>0</v>
      </c>
      <c r="J212" s="330">
        <f>C212-IFERROR(VLOOKUP(A212,'[1]FL DL&amp;OH FG'!$A:$K,3,0),0)</f>
        <v>0</v>
      </c>
      <c r="K212" s="326">
        <f t="shared" si="33"/>
        <v>0</v>
      </c>
    </row>
    <row r="213" spans="1:11">
      <c r="A213" s="4" t="s">
        <v>2074</v>
      </c>
      <c r="B213" t="s">
        <v>2075</v>
      </c>
      <c r="C213" s="228">
        <f>IFERROR(GETPIVOTDATA("Sum of qty",PT!$A$17,"product",A213,"FL/AZ","FL"),0)</f>
        <v>0</v>
      </c>
      <c r="D213" s="129">
        <v>1.5</v>
      </c>
      <c r="E213" s="2">
        <f t="shared" si="43"/>
        <v>0</v>
      </c>
      <c r="F213" s="2"/>
      <c r="G213" s="2"/>
      <c r="H213" s="2"/>
      <c r="I213" s="8">
        <f t="shared" si="42"/>
        <v>0</v>
      </c>
      <c r="J213" s="330">
        <f>C213-IFERROR(VLOOKUP(A213,'[1]FL DL&amp;OH FG'!$A:$K,3,0),0)</f>
        <v>0</v>
      </c>
      <c r="K213" s="326">
        <f t="shared" si="33"/>
        <v>0</v>
      </c>
    </row>
    <row r="214" spans="1:11">
      <c r="A214" s="163" t="s">
        <v>2076</v>
      </c>
      <c r="B214" t="s">
        <v>2077</v>
      </c>
      <c r="C214" s="228">
        <f>IFERROR(GETPIVOTDATA("Sum of qty",PT!$A$17,"product",A214,"FL/AZ","FL"),0)</f>
        <v>0</v>
      </c>
      <c r="D214" s="129">
        <v>1.5</v>
      </c>
      <c r="E214" s="2">
        <f>C214*D214</f>
        <v>0</v>
      </c>
      <c r="F214" s="2"/>
      <c r="G214" s="2"/>
      <c r="H214" s="2"/>
      <c r="I214" s="8">
        <f t="shared" si="42"/>
        <v>0</v>
      </c>
      <c r="J214" s="330">
        <f>C214-IFERROR(VLOOKUP(A214,'[1]FL DL&amp;OH FG'!$A:$K,3,0),0)</f>
        <v>0</v>
      </c>
      <c r="K214" s="326">
        <f t="shared" si="33"/>
        <v>0</v>
      </c>
    </row>
    <row r="215" spans="1:11">
      <c r="A215" s="163" t="s">
        <v>2078</v>
      </c>
      <c r="B215" t="s">
        <v>2079</v>
      </c>
      <c r="C215" s="228">
        <f>IFERROR(GETPIVOTDATA("Sum of qty",PT!$A$17,"product",A215,"FL/AZ","FL"),0)</f>
        <v>0</v>
      </c>
      <c r="D215" s="129">
        <f>8/12/128</f>
        <v>5.208333333333333E-3</v>
      </c>
      <c r="E215" s="2">
        <f>C215*D215</f>
        <v>0</v>
      </c>
      <c r="F215" s="2"/>
      <c r="G215" s="2"/>
      <c r="H215" s="2"/>
      <c r="I215" s="8">
        <f t="shared" si="42"/>
        <v>0</v>
      </c>
      <c r="J215" s="330">
        <f>C215-IFERROR(VLOOKUP(A215,'[1]FL DL&amp;OH FG'!$A:$K,3,0),0)</f>
        <v>0</v>
      </c>
      <c r="K215" s="326">
        <f t="shared" si="33"/>
        <v>0</v>
      </c>
    </row>
    <row r="216" spans="1:11">
      <c r="A216" s="4" t="s">
        <v>2080</v>
      </c>
      <c r="B216" t="s">
        <v>2081</v>
      </c>
      <c r="C216" s="228">
        <f>IFERROR(GETPIVOTDATA("Sum of qty",PT!$A$17,"product",A216,"FL/AZ","FL"),0)</f>
        <v>0</v>
      </c>
      <c r="D216" s="129">
        <v>0.75</v>
      </c>
      <c r="E216" s="2">
        <f t="shared" si="43"/>
        <v>0</v>
      </c>
      <c r="F216" s="2"/>
      <c r="G216" s="2"/>
      <c r="H216" s="2"/>
      <c r="I216" s="8">
        <f t="shared" si="42"/>
        <v>0</v>
      </c>
      <c r="J216" s="330">
        <f>C216-IFERROR(VLOOKUP(A216,'[1]FL DL&amp;OH FG'!$A:$K,3,0),0)</f>
        <v>0</v>
      </c>
      <c r="K216" s="326">
        <f t="shared" si="33"/>
        <v>0</v>
      </c>
    </row>
    <row r="217" spans="1:11">
      <c r="A217" s="244" t="s">
        <v>2082</v>
      </c>
      <c r="B217" t="s">
        <v>1616</v>
      </c>
      <c r="C217" s="228">
        <f>IFERROR(GETPIVOTDATA("Sum of qty",PT!$A$17,"product",A217,"FL/AZ","FL"),0)</f>
        <v>0</v>
      </c>
      <c r="D217" s="129">
        <v>1.5</v>
      </c>
      <c r="E217" s="2">
        <f t="shared" ref="E217" si="44">C217*D217</f>
        <v>0</v>
      </c>
      <c r="F217" s="2"/>
      <c r="G217" s="2"/>
      <c r="H217" s="2"/>
      <c r="I217" s="8">
        <f t="shared" ref="I217" si="45">E217</f>
        <v>0</v>
      </c>
      <c r="J217" s="330">
        <f>C217-IFERROR(VLOOKUP(A217,'[1]FL DL&amp;OH FG'!$A:$K,3,0),0)</f>
        <v>0</v>
      </c>
      <c r="K217" s="326">
        <f t="shared" si="33"/>
        <v>0</v>
      </c>
    </row>
    <row r="218" spans="1:11">
      <c r="A218" s="244" t="s">
        <v>2083</v>
      </c>
      <c r="B218" t="s">
        <v>2084</v>
      </c>
      <c r="C218" s="228">
        <f>IFERROR(GETPIVOTDATA("Sum of qty",PT!$A$17,"product",A218,"FL/AZ","FL"),0)</f>
        <v>0</v>
      </c>
      <c r="D218" s="129">
        <f>0.25*6</f>
        <v>1.5</v>
      </c>
      <c r="E218" s="2">
        <f t="shared" ref="E218:E219" si="46">C218*D218</f>
        <v>0</v>
      </c>
      <c r="F218" s="2"/>
      <c r="G218" s="2"/>
      <c r="H218" s="2"/>
      <c r="I218" s="8"/>
      <c r="J218" s="330">
        <f>C218-IFERROR(VLOOKUP(A218,'[1]FL DL&amp;OH FG'!$A:$K,3,0),0)</f>
        <v>0</v>
      </c>
      <c r="K218" s="326">
        <f t="shared" si="33"/>
        <v>0</v>
      </c>
    </row>
    <row r="219" spans="1:11">
      <c r="A219" s="163" t="s">
        <v>2085</v>
      </c>
      <c r="B219" t="s">
        <v>147</v>
      </c>
      <c r="C219" s="228">
        <f>IFERROR(GETPIVOTDATA("Sum of qty",PT!$A$17,"product",A219,"FL/AZ","FL"),0)</f>
        <v>286</v>
      </c>
      <c r="D219" s="129">
        <v>1.5</v>
      </c>
      <c r="E219" s="2">
        <f t="shared" si="46"/>
        <v>429</v>
      </c>
      <c r="F219" s="2"/>
      <c r="G219" s="2"/>
      <c r="H219" s="2"/>
      <c r="I219" s="8">
        <f t="shared" ref="I219" si="47">E219</f>
        <v>429</v>
      </c>
      <c r="J219" s="330">
        <f>C219-IFERROR(VLOOKUP(A219,'[1]FL DL&amp;OH FG'!$A:$K,3,0),0)</f>
        <v>78</v>
      </c>
      <c r="K219" s="326">
        <f t="shared" si="33"/>
        <v>117</v>
      </c>
    </row>
    <row r="220" spans="1:11">
      <c r="A220" s="244" t="s">
        <v>2086</v>
      </c>
      <c r="B220" t="s">
        <v>236</v>
      </c>
      <c r="C220" s="228">
        <f>IFERROR(GETPIVOTDATA("Sum of qty",PT!$A$17,"product",A220,"FL/AZ","FL"),0)</f>
        <v>569</v>
      </c>
      <c r="D220" s="129">
        <v>1.5</v>
      </c>
      <c r="E220" s="2">
        <f t="shared" ref="E220" si="48">C220*D220</f>
        <v>853.5</v>
      </c>
      <c r="F220" s="2"/>
      <c r="G220" s="2"/>
      <c r="H220" s="2"/>
      <c r="I220" s="8">
        <f t="shared" si="42"/>
        <v>853.5</v>
      </c>
      <c r="J220" s="330">
        <f>C220-IFERROR(VLOOKUP(A220,'[1]FL DL&amp;OH FG'!$A:$K,3,0),0)</f>
        <v>541</v>
      </c>
      <c r="K220" s="326">
        <f t="shared" si="33"/>
        <v>811.5</v>
      </c>
    </row>
    <row r="221" spans="1:11">
      <c r="A221" s="4" t="s">
        <v>2087</v>
      </c>
      <c r="B221" t="s">
        <v>2088</v>
      </c>
      <c r="C221" s="228">
        <f>IFERROR(GETPIVOTDATA("Sum of qty",PT!$A$17,"product",A221,"FL/AZ","FL"),0)</f>
        <v>0</v>
      </c>
      <c r="D221" s="129">
        <v>1.5</v>
      </c>
      <c r="E221" s="2">
        <f t="shared" si="43"/>
        <v>0</v>
      </c>
      <c r="F221" s="2"/>
      <c r="G221" s="2"/>
      <c r="H221" s="2"/>
      <c r="I221" s="8">
        <f t="shared" si="42"/>
        <v>0</v>
      </c>
      <c r="J221" s="330">
        <f>C221-IFERROR(VLOOKUP(A221,'[1]FL DL&amp;OH FG'!$A:$K,3,0),0)</f>
        <v>0</v>
      </c>
      <c r="K221" s="326">
        <f t="shared" si="33"/>
        <v>0</v>
      </c>
    </row>
    <row r="222" spans="1:11">
      <c r="A222" s="4" t="s">
        <v>2089</v>
      </c>
      <c r="B222" t="s">
        <v>2090</v>
      </c>
      <c r="C222" s="228">
        <f>IFERROR(GETPIVOTDATA("Sum of qty",PT!$A$17,"product",A222,"FL/AZ","FL"),0)</f>
        <v>0</v>
      </c>
      <c r="D222" s="129">
        <v>1.5</v>
      </c>
      <c r="E222" s="2">
        <f>C222*D222</f>
        <v>0</v>
      </c>
      <c r="F222" s="2"/>
      <c r="G222" s="2"/>
      <c r="H222" s="2"/>
      <c r="I222" s="8">
        <f t="shared" si="42"/>
        <v>0</v>
      </c>
      <c r="J222" s="330">
        <f>C222-IFERROR(VLOOKUP(A222,'[1]FL DL&amp;OH FG'!$A:$K,3,0),0)</f>
        <v>0</v>
      </c>
      <c r="K222" s="326">
        <f t="shared" si="33"/>
        <v>0</v>
      </c>
    </row>
    <row r="223" spans="1:11">
      <c r="A223" s="4" t="s">
        <v>2091</v>
      </c>
      <c r="B223" t="s">
        <v>2092</v>
      </c>
      <c r="C223" s="228">
        <f>IFERROR(GETPIVOTDATA("Sum of qty",PT!$A$17,"product",A223,"FL/AZ","FL"),0)</f>
        <v>0</v>
      </c>
      <c r="D223" s="129">
        <v>3</v>
      </c>
      <c r="E223" s="2">
        <f t="shared" si="43"/>
        <v>0</v>
      </c>
      <c r="F223" s="2">
        <f>E223</f>
        <v>0</v>
      </c>
      <c r="G223" s="2"/>
      <c r="H223" s="2"/>
      <c r="I223" s="8">
        <f t="shared" si="42"/>
        <v>0</v>
      </c>
      <c r="J223" s="330">
        <f>C223-IFERROR(VLOOKUP(A223,'[1]FL DL&amp;OH FG'!$A:$K,3,0),0)</f>
        <v>0</v>
      </c>
      <c r="K223" s="326">
        <f t="shared" si="33"/>
        <v>0</v>
      </c>
    </row>
    <row r="224" spans="1:11">
      <c r="A224" s="4" t="s">
        <v>2093</v>
      </c>
      <c r="B224" t="s">
        <v>1614</v>
      </c>
      <c r="C224" s="228">
        <f>IFERROR(GETPIVOTDATA("Sum of qty",PT!$A$17,"product",A224,"FL/AZ","FL"),0)</f>
        <v>0</v>
      </c>
      <c r="D224" s="129">
        <v>4.3239999999999998</v>
      </c>
      <c r="E224" s="2">
        <f t="shared" si="43"/>
        <v>0</v>
      </c>
      <c r="F224" s="2">
        <f>E224</f>
        <v>0</v>
      </c>
      <c r="G224" s="2"/>
      <c r="H224" s="2"/>
      <c r="I224" s="8">
        <f t="shared" si="42"/>
        <v>0</v>
      </c>
      <c r="J224" s="330">
        <f>C224-IFERROR(VLOOKUP(A224,'[1]FL DL&amp;OH FG'!$A:$K,3,0),0)</f>
        <v>0</v>
      </c>
      <c r="K224" s="326">
        <f t="shared" si="33"/>
        <v>0</v>
      </c>
    </row>
    <row r="225" spans="1:11">
      <c r="A225" s="4" t="s">
        <v>2094</v>
      </c>
      <c r="B225" t="s">
        <v>2095</v>
      </c>
      <c r="C225" s="228">
        <f>IFERROR(GETPIVOTDATA("Sum of qty",PT!$A$17,"product",A225,"FL/AZ","FL"),0)</f>
        <v>0</v>
      </c>
      <c r="D225" s="129">
        <v>2.8828125</v>
      </c>
      <c r="E225" s="2">
        <f>C225*D225</f>
        <v>0</v>
      </c>
      <c r="F225" s="2">
        <f>E225</f>
        <v>0</v>
      </c>
      <c r="G225" s="2"/>
      <c r="H225" s="2"/>
      <c r="I225" s="8">
        <f t="shared" si="42"/>
        <v>0</v>
      </c>
      <c r="J225" s="330">
        <f>C225-IFERROR(VLOOKUP(A225,'[1]FL DL&amp;OH FG'!$A:$K,3,0),0)</f>
        <v>0</v>
      </c>
      <c r="K225" s="326">
        <f t="shared" si="33"/>
        <v>0</v>
      </c>
    </row>
    <row r="226" spans="1:11">
      <c r="A226" s="4" t="s">
        <v>2096</v>
      </c>
      <c r="B226" t="s">
        <v>27</v>
      </c>
      <c r="C226" s="228">
        <f>IFERROR(GETPIVOTDATA("Sum of qty",PT!$A$17,"product",A226,"FL/AZ","FL"),0)</f>
        <v>1357</v>
      </c>
      <c r="D226" s="129">
        <v>4</v>
      </c>
      <c r="E226" s="2">
        <f t="shared" si="43"/>
        <v>5428</v>
      </c>
      <c r="F226" s="2"/>
      <c r="G226" s="2"/>
      <c r="H226" s="2"/>
      <c r="I226" s="8">
        <f t="shared" si="42"/>
        <v>5428</v>
      </c>
      <c r="J226" s="330">
        <f>C226-IFERROR(VLOOKUP(A226,'[1]FL DL&amp;OH FG'!$A:$K,3,0),0)</f>
        <v>804</v>
      </c>
      <c r="K226" s="326">
        <f t="shared" si="33"/>
        <v>3216</v>
      </c>
    </row>
    <row r="227" spans="1:11">
      <c r="A227" s="4" t="s">
        <v>2097</v>
      </c>
      <c r="B227" t="s">
        <v>2098</v>
      </c>
      <c r="C227" s="228">
        <f>IFERROR(GETPIVOTDATA("Sum of qty",PT!$A$17,"product",A227,"FL/AZ","FL"),0)</f>
        <v>0</v>
      </c>
      <c r="D227" s="129">
        <v>3</v>
      </c>
      <c r="E227" s="2">
        <f t="shared" si="43"/>
        <v>0</v>
      </c>
      <c r="F227" s="2"/>
      <c r="G227" s="2"/>
      <c r="H227" s="2"/>
      <c r="I227" s="8">
        <f t="shared" si="42"/>
        <v>0</v>
      </c>
      <c r="J227" s="330">
        <f>C227-IFERROR(VLOOKUP(A227,'[1]FL DL&amp;OH FG'!$A:$K,3,0),0)</f>
        <v>0</v>
      </c>
      <c r="K227" s="326">
        <f t="shared" si="33"/>
        <v>0</v>
      </c>
    </row>
    <row r="228" spans="1:11">
      <c r="A228" s="4" t="s">
        <v>2099</v>
      </c>
      <c r="B228" t="s">
        <v>102</v>
      </c>
      <c r="C228" s="228">
        <f>IFERROR(GETPIVOTDATA("Sum of qty",PT!$A$17,"product",A228,"FL/AZ","FL"),0)</f>
        <v>639</v>
      </c>
      <c r="D228" s="129">
        <v>4</v>
      </c>
      <c r="E228" s="2">
        <f t="shared" si="43"/>
        <v>2556</v>
      </c>
      <c r="F228" s="2"/>
      <c r="G228" s="2"/>
      <c r="H228" s="2"/>
      <c r="I228" s="8">
        <f t="shared" si="42"/>
        <v>2556</v>
      </c>
      <c r="J228" s="330">
        <f>C228-IFERROR(VLOOKUP(A228,'[1]FL DL&amp;OH FG'!$A:$K,3,0),0)</f>
        <v>230</v>
      </c>
      <c r="K228" s="326">
        <f t="shared" si="33"/>
        <v>920</v>
      </c>
    </row>
    <row r="229" spans="1:11">
      <c r="A229" s="4" t="s">
        <v>2100</v>
      </c>
      <c r="B229" t="s">
        <v>1623</v>
      </c>
      <c r="C229" s="228">
        <f>IFERROR(GETPIVOTDATA("Sum of qty",PT!$A$17,"product",A229,"FL/AZ","FL"),0)</f>
        <v>0</v>
      </c>
      <c r="D229" s="129">
        <v>1.4410000000000001</v>
      </c>
      <c r="E229" s="2">
        <f t="shared" si="43"/>
        <v>0</v>
      </c>
      <c r="F229" s="2"/>
      <c r="G229" s="2"/>
      <c r="H229" s="2"/>
      <c r="I229" s="8">
        <f t="shared" si="42"/>
        <v>0</v>
      </c>
      <c r="J229" s="330">
        <f>C229-IFERROR(VLOOKUP(A229,'[1]FL DL&amp;OH FG'!$A:$K,3,0),0)</f>
        <v>0</v>
      </c>
      <c r="K229" s="326">
        <f t="shared" si="33"/>
        <v>0</v>
      </c>
    </row>
    <row r="230" spans="1:11">
      <c r="A230" s="4" t="s">
        <v>2101</v>
      </c>
      <c r="B230" t="s">
        <v>2102</v>
      </c>
      <c r="C230" s="228">
        <f>IFERROR(GETPIVOTDATA("Sum of qty",PT!$A$17,"product",A230,"FL/AZ","FL"),0)</f>
        <v>0</v>
      </c>
      <c r="D230" s="129">
        <v>1.4410000000000001</v>
      </c>
      <c r="E230" s="2">
        <f t="shared" si="43"/>
        <v>0</v>
      </c>
      <c r="F230" s="2"/>
      <c r="G230" s="2"/>
      <c r="H230" s="2"/>
      <c r="I230" s="8">
        <f t="shared" si="42"/>
        <v>0</v>
      </c>
      <c r="J230" s="330">
        <f>C230-IFERROR(VLOOKUP(A230,'[1]FL DL&amp;OH FG'!$A:$K,3,0),0)</f>
        <v>0</v>
      </c>
      <c r="K230" s="326">
        <f t="shared" si="33"/>
        <v>0</v>
      </c>
    </row>
    <row r="231" spans="1:11">
      <c r="A231" s="4" t="s">
        <v>2103</v>
      </c>
      <c r="B231" t="s">
        <v>2104</v>
      </c>
      <c r="C231" s="228">
        <f>IFERROR(GETPIVOTDATA("Sum of qty",PT!$A$17,"product",A231,"FL/AZ","FL"),0)</f>
        <v>0</v>
      </c>
      <c r="D231" s="129">
        <v>1.5</v>
      </c>
      <c r="E231" s="2">
        <f t="shared" si="43"/>
        <v>0</v>
      </c>
      <c r="F231" s="2"/>
      <c r="G231" s="2"/>
      <c r="H231" s="2"/>
      <c r="I231" s="8">
        <f t="shared" si="42"/>
        <v>0</v>
      </c>
      <c r="J231" s="330">
        <f>C231-IFERROR(VLOOKUP(A231,'[1]FL DL&amp;OH FG'!$A:$K,3,0),0)</f>
        <v>0</v>
      </c>
      <c r="K231" s="326">
        <f t="shared" si="33"/>
        <v>0</v>
      </c>
    </row>
    <row r="232" spans="1:11">
      <c r="A232" s="4" t="s">
        <v>2105</v>
      </c>
      <c r="B232" t="s">
        <v>108</v>
      </c>
      <c r="C232" s="228">
        <f>IFERROR(GETPIVOTDATA("Sum of qty",PT!$A$17,"product",A232,"FL/AZ","FL"),0)</f>
        <v>175</v>
      </c>
      <c r="D232" s="129">
        <v>3</v>
      </c>
      <c r="E232" s="2">
        <f>C232*D232</f>
        <v>525</v>
      </c>
      <c r="F232" s="2"/>
      <c r="G232" s="2"/>
      <c r="H232" s="2"/>
      <c r="I232" s="8">
        <f t="shared" si="42"/>
        <v>525</v>
      </c>
      <c r="J232" s="330">
        <f>C232-IFERROR(VLOOKUP(A232,'[1]FL DL&amp;OH FG'!$A:$K,3,0),0)</f>
        <v>72</v>
      </c>
      <c r="K232" s="326">
        <f t="shared" si="33"/>
        <v>216</v>
      </c>
    </row>
    <row r="233" spans="1:11">
      <c r="A233" s="4" t="s">
        <v>2106</v>
      </c>
      <c r="B233" t="s">
        <v>2107</v>
      </c>
      <c r="C233" s="228">
        <f>IFERROR(GETPIVOTDATA("Sum of qty",PT!$A$17,"product",A233,"FL/AZ","FL"),0)</f>
        <v>0</v>
      </c>
      <c r="D233" s="129">
        <v>3.125</v>
      </c>
      <c r="E233" s="2">
        <f t="shared" si="43"/>
        <v>0</v>
      </c>
      <c r="F233" s="2"/>
      <c r="G233" s="2"/>
      <c r="H233" s="2"/>
      <c r="I233" s="8">
        <f t="shared" si="42"/>
        <v>0</v>
      </c>
      <c r="J233" s="330">
        <f>C233-IFERROR(VLOOKUP(A233,'[1]FL DL&amp;OH FG'!$A:$K,3,0),0)</f>
        <v>0</v>
      </c>
      <c r="K233" s="326">
        <f t="shared" si="33"/>
        <v>0</v>
      </c>
    </row>
    <row r="234" spans="1:11">
      <c r="A234" s="4" t="s">
        <v>2108</v>
      </c>
      <c r="B234" t="s">
        <v>2109</v>
      </c>
      <c r="C234" s="228">
        <f>IFERROR(GETPIVOTDATA("Sum of qty",PT!$A$17,"product",A234,"FL/AZ","FL"),0)</f>
        <v>0</v>
      </c>
      <c r="D234" s="129">
        <v>2.1562999999999999</v>
      </c>
      <c r="E234" s="2">
        <f t="shared" si="43"/>
        <v>0</v>
      </c>
      <c r="F234" s="2"/>
      <c r="G234" s="2"/>
      <c r="H234" s="2"/>
      <c r="I234" s="8">
        <f t="shared" si="42"/>
        <v>0</v>
      </c>
      <c r="J234" s="330">
        <f>C234-IFERROR(VLOOKUP(A234,'[1]FL DL&amp;OH FG'!$A:$K,3,0),0)</f>
        <v>0</v>
      </c>
      <c r="K234" s="326">
        <f t="shared" ref="K234:K298" si="49">J234*D234</f>
        <v>0</v>
      </c>
    </row>
    <row r="235" spans="1:11">
      <c r="A235" s="4" t="s">
        <v>2110</v>
      </c>
      <c r="B235" t="s">
        <v>2111</v>
      </c>
      <c r="C235" s="228">
        <f>IFERROR(GETPIVOTDATA("Sum of qty",PT!$A$17,"product",A235,"FL/AZ","FL"),0)</f>
        <v>0</v>
      </c>
      <c r="D235" s="129">
        <v>3.125</v>
      </c>
      <c r="E235" s="2">
        <f>C235*D235</f>
        <v>0</v>
      </c>
      <c r="F235" s="2"/>
      <c r="G235" s="2"/>
      <c r="H235" s="2"/>
      <c r="I235" s="8">
        <f t="shared" si="42"/>
        <v>0</v>
      </c>
      <c r="J235" s="330">
        <f>C235-IFERROR(VLOOKUP(A235,'[1]FL DL&amp;OH FG'!$A:$K,3,0),0)</f>
        <v>0</v>
      </c>
      <c r="K235" s="326">
        <f t="shared" si="49"/>
        <v>0</v>
      </c>
    </row>
    <row r="236" spans="1:11">
      <c r="A236" s="4" t="s">
        <v>2112</v>
      </c>
      <c r="B236" t="s">
        <v>1627</v>
      </c>
      <c r="C236" s="228">
        <f>IFERROR(GETPIVOTDATA("Sum of qty",PT!$A$17,"product",A236,"FL/AZ","FL"),0)</f>
        <v>0</v>
      </c>
      <c r="D236" s="129">
        <v>4</v>
      </c>
      <c r="E236" s="2">
        <f>C236*D236</f>
        <v>0</v>
      </c>
      <c r="F236" s="2"/>
      <c r="G236" s="2"/>
      <c r="H236" s="2"/>
      <c r="I236" s="8">
        <f t="shared" si="42"/>
        <v>0</v>
      </c>
      <c r="J236" s="330">
        <f>C236-IFERROR(VLOOKUP(A236,'[1]FL DL&amp;OH FG'!$A:$K,3,0),0)</f>
        <v>0</v>
      </c>
      <c r="K236" s="326">
        <f t="shared" si="49"/>
        <v>0</v>
      </c>
    </row>
    <row r="237" spans="1:11">
      <c r="A237" s="4" t="s">
        <v>2113</v>
      </c>
      <c r="B237" t="s">
        <v>1631</v>
      </c>
      <c r="C237" s="228">
        <f>IFERROR(GETPIVOTDATA("Sum of qty",PT!$A$17,"product",A237,"FL/AZ","FL"),0)</f>
        <v>0</v>
      </c>
      <c r="D237" s="129">
        <v>3.125</v>
      </c>
      <c r="E237" s="2">
        <f t="shared" si="43"/>
        <v>0</v>
      </c>
      <c r="F237" s="2"/>
      <c r="G237" s="2"/>
      <c r="H237" s="2"/>
      <c r="I237" s="8">
        <f t="shared" si="42"/>
        <v>0</v>
      </c>
      <c r="J237" s="330">
        <f>C237-IFERROR(VLOOKUP(A237,'[1]FL DL&amp;OH FG'!$A:$K,3,0),0)</f>
        <v>0</v>
      </c>
      <c r="K237" s="326">
        <f t="shared" si="49"/>
        <v>0</v>
      </c>
    </row>
    <row r="238" spans="1:11">
      <c r="A238" s="4" t="s">
        <v>2114</v>
      </c>
      <c r="B238" t="s">
        <v>2115</v>
      </c>
      <c r="C238" s="228">
        <f>IFERROR(GETPIVOTDATA("Sum of qty",PT!$A$17,"product",A238,"FL/AZ","FL"),0)</f>
        <v>0</v>
      </c>
      <c r="D238" s="129">
        <v>3.125</v>
      </c>
      <c r="E238" s="2">
        <f t="shared" si="43"/>
        <v>0</v>
      </c>
      <c r="F238" s="2"/>
      <c r="G238" s="2"/>
      <c r="H238" s="2"/>
      <c r="I238" s="8">
        <f t="shared" si="42"/>
        <v>0</v>
      </c>
      <c r="J238" s="330">
        <f>C238-IFERROR(VLOOKUP(A238,'[1]FL DL&amp;OH FG'!$A:$K,3,0),0)</f>
        <v>0</v>
      </c>
      <c r="K238" s="326">
        <f t="shared" si="49"/>
        <v>0</v>
      </c>
    </row>
    <row r="239" spans="1:11">
      <c r="A239" s="4" t="s">
        <v>2116</v>
      </c>
      <c r="B239" t="s">
        <v>1637</v>
      </c>
      <c r="C239" s="228">
        <f>IFERROR(GETPIVOTDATA("Sum of qty",PT!$A$17,"product",A239,"FL/AZ","FL"),0)</f>
        <v>0</v>
      </c>
      <c r="D239" s="129">
        <v>3.125</v>
      </c>
      <c r="E239" s="2">
        <f t="shared" si="43"/>
        <v>0</v>
      </c>
      <c r="F239" s="2"/>
      <c r="G239" s="2"/>
      <c r="H239" s="2"/>
      <c r="I239" s="8">
        <f t="shared" si="42"/>
        <v>0</v>
      </c>
      <c r="J239" s="330">
        <f>C239-IFERROR(VLOOKUP(A239,'[1]FL DL&amp;OH FG'!$A:$K,3,0),0)</f>
        <v>0</v>
      </c>
      <c r="K239" s="326">
        <f t="shared" si="49"/>
        <v>0</v>
      </c>
    </row>
    <row r="240" spans="1:11">
      <c r="A240" s="4" t="s">
        <v>2117</v>
      </c>
      <c r="B240" t="s">
        <v>2118</v>
      </c>
      <c r="C240" s="228">
        <f>IFERROR(GETPIVOTDATA("Sum of qty",PT!$A$17,"product",A240,"FL/AZ","FL"),0)</f>
        <v>0</v>
      </c>
      <c r="D240" s="129">
        <v>3.125</v>
      </c>
      <c r="E240" s="2">
        <f t="shared" si="43"/>
        <v>0</v>
      </c>
      <c r="F240" s="2"/>
      <c r="G240" s="2"/>
      <c r="H240" s="2"/>
      <c r="I240" s="8">
        <f t="shared" si="42"/>
        <v>0</v>
      </c>
      <c r="J240" s="330">
        <f>C240-IFERROR(VLOOKUP(A240,'[1]FL DL&amp;OH FG'!$A:$K,3,0),0)</f>
        <v>0</v>
      </c>
      <c r="K240" s="326">
        <f t="shared" si="49"/>
        <v>0</v>
      </c>
    </row>
    <row r="241" spans="1:11">
      <c r="A241" s="4" t="s">
        <v>2119</v>
      </c>
      <c r="B241" t="s">
        <v>2120</v>
      </c>
      <c r="C241" s="228">
        <f>IFERROR(GETPIVOTDATA("Sum of qty",PT!$A$17,"product",A241,"FL/AZ","FL"),0)</f>
        <v>0</v>
      </c>
      <c r="D241" s="129">
        <v>1.5</v>
      </c>
      <c r="E241" s="2">
        <f t="shared" si="43"/>
        <v>0</v>
      </c>
      <c r="F241" s="2"/>
      <c r="G241" s="2"/>
      <c r="H241" s="2"/>
      <c r="I241" s="8">
        <f t="shared" si="42"/>
        <v>0</v>
      </c>
      <c r="J241" s="330">
        <f>C241-IFERROR(VLOOKUP(A241,'[1]FL DL&amp;OH FG'!$A:$K,3,0),0)</f>
        <v>0</v>
      </c>
      <c r="K241" s="326">
        <f t="shared" si="49"/>
        <v>0</v>
      </c>
    </row>
    <row r="242" spans="1:11">
      <c r="A242" s="4" t="s">
        <v>2121</v>
      </c>
      <c r="B242" t="s">
        <v>358</v>
      </c>
      <c r="C242" s="228">
        <f>IFERROR(GETPIVOTDATA("Sum of qty",PT!$A$17,"product",A242,"FL/AZ","FL"),0)</f>
        <v>169</v>
      </c>
      <c r="D242" s="129">
        <v>4</v>
      </c>
      <c r="E242" s="2">
        <f>C242*D242</f>
        <v>676</v>
      </c>
      <c r="F242" s="2"/>
      <c r="G242" s="2"/>
      <c r="H242" s="2"/>
      <c r="I242" s="8">
        <f t="shared" si="42"/>
        <v>676</v>
      </c>
      <c r="J242" s="330">
        <f>C242-IFERROR(VLOOKUP(A242,'[1]FL DL&amp;OH FG'!$A:$K,3,0),0)</f>
        <v>-139</v>
      </c>
      <c r="K242" s="326">
        <f t="shared" si="49"/>
        <v>-556</v>
      </c>
    </row>
    <row r="243" spans="1:11">
      <c r="A243" s="4" t="s">
        <v>2122</v>
      </c>
      <c r="B243" t="s">
        <v>172</v>
      </c>
      <c r="C243" s="228">
        <f>IFERROR(GETPIVOTDATA("Sum of qty",PT!$A$17,"product",A243,"FL/AZ","FL"),0)</f>
        <v>1953</v>
      </c>
      <c r="D243" s="129">
        <v>2.88</v>
      </c>
      <c r="E243" s="2">
        <f t="shared" si="43"/>
        <v>5624.6399999999994</v>
      </c>
      <c r="F243" s="2">
        <f>E243</f>
        <v>5624.6399999999994</v>
      </c>
      <c r="G243" s="2"/>
      <c r="H243" s="2"/>
      <c r="I243" s="8">
        <f t="shared" si="42"/>
        <v>5624.6399999999994</v>
      </c>
      <c r="J243" s="330">
        <f>C243-IFERROR(VLOOKUP(A243,'[1]FL DL&amp;OH FG'!$A:$K,3,0),0)</f>
        <v>-451</v>
      </c>
      <c r="K243" s="326">
        <f>J243*D243</f>
        <v>-1298.8799999999999</v>
      </c>
    </row>
    <row r="244" spans="1:11">
      <c r="A244" s="4" t="s">
        <v>2123</v>
      </c>
      <c r="B244" t="s">
        <v>1641</v>
      </c>
      <c r="C244" s="228">
        <f>IFERROR(GETPIVOTDATA("Sum of qty",PT!$A$17,"product",A244,"FL/AZ","FL"),0)</f>
        <v>0</v>
      </c>
      <c r="D244" s="129">
        <v>1.5</v>
      </c>
      <c r="E244" s="2">
        <f t="shared" si="43"/>
        <v>0</v>
      </c>
      <c r="F244" s="2"/>
      <c r="G244" s="2"/>
      <c r="H244" s="2"/>
      <c r="I244" s="8">
        <f t="shared" si="42"/>
        <v>0</v>
      </c>
      <c r="J244" s="330">
        <f>C244-IFERROR(VLOOKUP(A244,'[1]FL DL&amp;OH FG'!$A:$K,3,0),0)</f>
        <v>0</v>
      </c>
      <c r="K244" s="326">
        <f t="shared" si="49"/>
        <v>0</v>
      </c>
    </row>
    <row r="245" spans="1:11">
      <c r="A245" s="4" t="s">
        <v>2124</v>
      </c>
      <c r="B245" t="s">
        <v>1643</v>
      </c>
      <c r="C245" s="228">
        <f>IFERROR(GETPIVOTDATA("Sum of qty",PT!$A$17,"product",A245,"FL/AZ","FL"),0)</f>
        <v>0</v>
      </c>
      <c r="D245" s="129">
        <v>3</v>
      </c>
      <c r="E245" s="2">
        <f t="shared" si="43"/>
        <v>0</v>
      </c>
      <c r="F245" s="2"/>
      <c r="G245" s="2"/>
      <c r="H245" s="2"/>
      <c r="I245" s="8">
        <f t="shared" si="42"/>
        <v>0</v>
      </c>
      <c r="J245" s="330">
        <f>C245-IFERROR(VLOOKUP(A245,'[1]FL DL&amp;OH FG'!$A:$K,3,0),0)</f>
        <v>0</v>
      </c>
      <c r="K245" s="326">
        <f t="shared" si="49"/>
        <v>0</v>
      </c>
    </row>
    <row r="246" spans="1:11">
      <c r="A246" s="4" t="s">
        <v>2125</v>
      </c>
      <c r="B246" t="s">
        <v>1645</v>
      </c>
      <c r="C246" s="228">
        <f>IFERROR(GETPIVOTDATA("Sum of qty",PT!$A$17,"product",A246,"FL/AZ","FL"),0)</f>
        <v>0</v>
      </c>
      <c r="D246" s="129">
        <v>4</v>
      </c>
      <c r="E246" s="2">
        <f t="shared" si="43"/>
        <v>0</v>
      </c>
      <c r="F246" s="2"/>
      <c r="G246" s="2"/>
      <c r="H246" s="2"/>
      <c r="I246" s="8">
        <f t="shared" si="42"/>
        <v>0</v>
      </c>
      <c r="J246" s="330">
        <f>C246-IFERROR(VLOOKUP(A246,'[1]FL DL&amp;OH FG'!$A:$K,3,0),0)</f>
        <v>0</v>
      </c>
      <c r="K246" s="326">
        <f t="shared" si="49"/>
        <v>0</v>
      </c>
    </row>
    <row r="247" spans="1:11">
      <c r="A247" s="4" t="s">
        <v>2126</v>
      </c>
      <c r="B247" t="s">
        <v>1646</v>
      </c>
      <c r="C247" s="228">
        <f>IFERROR(GETPIVOTDATA("Sum of qty",PT!$A$17,"product",A247,"FL/AZ","FL"),0)</f>
        <v>0</v>
      </c>
      <c r="D247" s="129">
        <v>3</v>
      </c>
      <c r="E247" s="2">
        <f t="shared" si="43"/>
        <v>0</v>
      </c>
      <c r="F247" s="2"/>
      <c r="G247" s="2"/>
      <c r="H247" s="2"/>
      <c r="I247" s="8">
        <f t="shared" si="42"/>
        <v>0</v>
      </c>
      <c r="J247" s="330">
        <f>C247-IFERROR(VLOOKUP(A247,'[1]FL DL&amp;OH FG'!$A:$K,3,0),0)</f>
        <v>0</v>
      </c>
      <c r="K247" s="326">
        <f t="shared" si="49"/>
        <v>0</v>
      </c>
    </row>
    <row r="248" spans="1:11">
      <c r="A248" s="4" t="s">
        <v>2127</v>
      </c>
      <c r="B248" t="s">
        <v>2128</v>
      </c>
      <c r="C248" s="228">
        <f>IFERROR(GETPIVOTDATA("Sum of qty",PT!$A$17,"product",A248,"FL/AZ","FL"),0)</f>
        <v>0</v>
      </c>
      <c r="D248" s="129">
        <v>3.125</v>
      </c>
      <c r="E248" s="2">
        <f t="shared" si="43"/>
        <v>0</v>
      </c>
      <c r="F248" s="2"/>
      <c r="G248" s="2"/>
      <c r="H248" s="2"/>
      <c r="I248" s="8">
        <f t="shared" si="42"/>
        <v>0</v>
      </c>
      <c r="J248" s="330">
        <f>C248-IFERROR(VLOOKUP(A248,'[1]FL DL&amp;OH FG'!$A:$K,3,0),0)</f>
        <v>0</v>
      </c>
      <c r="K248" s="326">
        <f t="shared" si="49"/>
        <v>0</v>
      </c>
    </row>
    <row r="249" spans="1:11">
      <c r="A249" s="4" t="s">
        <v>2129</v>
      </c>
      <c r="B249" t="s">
        <v>2130</v>
      </c>
      <c r="C249" s="228">
        <f>IFERROR(GETPIVOTDATA("Sum of qty",PT!$A$17,"product",A249,"FL/AZ","FL"),0)</f>
        <v>0</v>
      </c>
      <c r="D249" s="129">
        <v>1.5</v>
      </c>
      <c r="E249" s="2">
        <f t="shared" si="43"/>
        <v>0</v>
      </c>
      <c r="F249" s="2"/>
      <c r="G249" s="2"/>
      <c r="H249" s="2"/>
      <c r="I249" s="8">
        <f t="shared" si="42"/>
        <v>0</v>
      </c>
      <c r="J249" s="330">
        <f>C249-IFERROR(VLOOKUP(A249,'[1]FL DL&amp;OH FG'!$A:$K,3,0),0)</f>
        <v>0</v>
      </c>
      <c r="K249" s="326">
        <f t="shared" si="49"/>
        <v>0</v>
      </c>
    </row>
    <row r="250" spans="1:11">
      <c r="A250" s="4" t="s">
        <v>2131</v>
      </c>
      <c r="B250" t="s">
        <v>2132</v>
      </c>
      <c r="C250" s="228">
        <f>IFERROR(GETPIVOTDATA("Sum of qty",PT!$A$17,"product",A250,"FL/AZ","FL"),0)</f>
        <v>0</v>
      </c>
      <c r="D250" s="129">
        <f>8*12/128</f>
        <v>0.75</v>
      </c>
      <c r="E250" s="2">
        <f t="shared" si="43"/>
        <v>0</v>
      </c>
      <c r="F250" s="2"/>
      <c r="G250" s="2"/>
      <c r="H250" s="2"/>
      <c r="I250" s="8">
        <f t="shared" si="42"/>
        <v>0</v>
      </c>
      <c r="J250" s="330">
        <f>C250-IFERROR(VLOOKUP(A250,'[1]FL DL&amp;OH FG'!$A:$K,3,0),0)</f>
        <v>0</v>
      </c>
      <c r="K250" s="326">
        <f t="shared" si="49"/>
        <v>0</v>
      </c>
    </row>
    <row r="251" spans="1:11">
      <c r="A251" s="4" t="s">
        <v>2133</v>
      </c>
      <c r="B251" t="s">
        <v>2134</v>
      </c>
      <c r="C251" s="228">
        <f>IFERROR(GETPIVOTDATA("Sum of qty",PT!$A$17,"product",A251,"FL/AZ","FL"),0)</f>
        <v>0</v>
      </c>
      <c r="D251" s="129">
        <f>8*12/128</f>
        <v>0.75</v>
      </c>
      <c r="E251" s="2">
        <f>C251*D251</f>
        <v>0</v>
      </c>
      <c r="F251" s="2"/>
      <c r="G251" s="2"/>
      <c r="H251" s="2"/>
      <c r="I251" s="8">
        <f t="shared" si="42"/>
        <v>0</v>
      </c>
      <c r="J251" s="330">
        <f>C251-IFERROR(VLOOKUP(A251,'[1]FL DL&amp;OH FG'!$A:$K,3,0),0)</f>
        <v>0</v>
      </c>
      <c r="K251" s="326">
        <f t="shared" si="49"/>
        <v>0</v>
      </c>
    </row>
    <row r="252" spans="1:11">
      <c r="A252" s="4" t="s">
        <v>2135</v>
      </c>
      <c r="B252" t="s">
        <v>2136</v>
      </c>
      <c r="C252" s="228">
        <f>IFERROR(GETPIVOTDATA("Sum of qty",PT!$A$17,"product",A252,"FL/AZ","FL"),0)</f>
        <v>0</v>
      </c>
      <c r="D252" s="129">
        <v>1.5</v>
      </c>
      <c r="E252" s="2">
        <f>C252*D252</f>
        <v>0</v>
      </c>
      <c r="F252" s="2"/>
      <c r="G252" s="2"/>
      <c r="H252" s="2"/>
      <c r="I252" s="8">
        <f t="shared" si="42"/>
        <v>0</v>
      </c>
      <c r="J252" s="330">
        <f>C252-IFERROR(VLOOKUP(A252,'[1]FL DL&amp;OH FG'!$A:$K,3,0),0)</f>
        <v>0</v>
      </c>
      <c r="K252" s="326">
        <f t="shared" si="49"/>
        <v>0</v>
      </c>
    </row>
    <row r="253" spans="1:11">
      <c r="A253" s="4" t="s">
        <v>2137</v>
      </c>
      <c r="B253" t="s">
        <v>2138</v>
      </c>
      <c r="C253" s="228">
        <f>IFERROR(GETPIVOTDATA("Sum of qty",PT!$A$17,"product",A253,"FL/AZ","FL"),0)</f>
        <v>0</v>
      </c>
      <c r="D253" s="129">
        <v>4</v>
      </c>
      <c r="E253" s="2">
        <f t="shared" si="43"/>
        <v>0</v>
      </c>
      <c r="F253" s="2"/>
      <c r="G253" s="2"/>
      <c r="H253" s="2"/>
      <c r="I253" s="8">
        <f t="shared" si="42"/>
        <v>0</v>
      </c>
      <c r="J253" s="330">
        <f>C253-IFERROR(VLOOKUP(A253,'[1]FL DL&amp;OH FG'!$A:$K,3,0),0)</f>
        <v>0</v>
      </c>
      <c r="K253" s="326">
        <f t="shared" si="49"/>
        <v>0</v>
      </c>
    </row>
    <row r="254" spans="1:11">
      <c r="A254" s="4" t="s">
        <v>2139</v>
      </c>
      <c r="B254" t="s">
        <v>2140</v>
      </c>
      <c r="C254" s="228">
        <f>IFERROR(GETPIVOTDATA("Sum of qty",PT!$A$17,"product",A254,"FL/AZ","FL"),0)</f>
        <v>0</v>
      </c>
      <c r="D254" s="129">
        <v>1.5</v>
      </c>
      <c r="E254" s="2">
        <f>C254*D254</f>
        <v>0</v>
      </c>
      <c r="F254" s="2"/>
      <c r="G254" s="2"/>
      <c r="H254" s="2"/>
      <c r="I254" s="8">
        <f t="shared" si="42"/>
        <v>0</v>
      </c>
      <c r="J254" s="330">
        <f>C254-IFERROR(VLOOKUP(A254,'[1]FL DL&amp;OH FG'!$A:$K,3,0),0)</f>
        <v>0</v>
      </c>
      <c r="K254" s="326">
        <f t="shared" si="49"/>
        <v>0</v>
      </c>
    </row>
    <row r="255" spans="1:11">
      <c r="A255" s="4" t="s">
        <v>2141</v>
      </c>
      <c r="B255" t="s">
        <v>1649</v>
      </c>
      <c r="C255" s="228">
        <f>IFERROR(GETPIVOTDATA("Sum of qty",PT!$A$17,"product",A255,"FL/AZ","FL"),0)</f>
        <v>0</v>
      </c>
      <c r="D255" s="129">
        <v>1.4297</v>
      </c>
      <c r="E255" s="2">
        <f t="shared" si="43"/>
        <v>0</v>
      </c>
      <c r="F255" s="2"/>
      <c r="G255" s="2"/>
      <c r="H255" s="2"/>
      <c r="I255" s="8">
        <f t="shared" si="42"/>
        <v>0</v>
      </c>
      <c r="J255" s="330">
        <f>C255-IFERROR(VLOOKUP(A255,'[1]FL DL&amp;OH FG'!$A:$K,3,0),0)</f>
        <v>0</v>
      </c>
      <c r="K255" s="326">
        <f t="shared" si="49"/>
        <v>0</v>
      </c>
    </row>
    <row r="256" spans="1:11">
      <c r="A256" s="4">
        <v>7573</v>
      </c>
      <c r="B256" t="s">
        <v>2142</v>
      </c>
      <c r="C256" s="228">
        <f>IFERROR(GETPIVOTDATA("Sum of qty",PT!$A$17,"product",A256,"FL/AZ","FL"),0)</f>
        <v>0</v>
      </c>
      <c r="D256" s="129">
        <v>4</v>
      </c>
      <c r="E256" s="2">
        <f t="shared" ref="E256" si="50">C256*D256</f>
        <v>0</v>
      </c>
      <c r="F256" s="2"/>
      <c r="G256" s="2"/>
      <c r="H256" s="2"/>
      <c r="I256" s="8">
        <f t="shared" ref="I256" si="51">E256</f>
        <v>0</v>
      </c>
      <c r="J256" s="330">
        <f>C256-IFERROR(VLOOKUP(A256,'[1]FL DL&amp;OH FG'!$A:$K,3,0),0)</f>
        <v>0</v>
      </c>
      <c r="K256" s="326">
        <f t="shared" si="49"/>
        <v>0</v>
      </c>
    </row>
    <row r="257" spans="1:11">
      <c r="A257" s="4" t="s">
        <v>2143</v>
      </c>
      <c r="B257" t="s">
        <v>235</v>
      </c>
      <c r="C257" s="228">
        <f>IFERROR(GETPIVOTDATA("Sum of qty",PT!$A$17,"product",A257,"FL/AZ","FL"),0)</f>
        <v>4023</v>
      </c>
      <c r="D257" s="129">
        <v>4</v>
      </c>
      <c r="E257" s="2">
        <f t="shared" si="43"/>
        <v>16092</v>
      </c>
      <c r="F257" s="2"/>
      <c r="G257" s="2"/>
      <c r="H257" s="2"/>
      <c r="I257" s="8">
        <f t="shared" si="42"/>
        <v>16092</v>
      </c>
      <c r="J257" s="330">
        <f>C257-IFERROR(VLOOKUP(A257,'[1]FL DL&amp;OH FG'!$A:$K,3,0),0)</f>
        <v>832</v>
      </c>
      <c r="K257" s="326">
        <f t="shared" si="49"/>
        <v>3328</v>
      </c>
    </row>
    <row r="258" spans="1:11">
      <c r="A258" s="4" t="s">
        <v>2144</v>
      </c>
      <c r="B258" t="s">
        <v>1650</v>
      </c>
      <c r="C258" s="228">
        <f>IFERROR(GETPIVOTDATA("Sum of qty",PT!$A$17,"product",A258,"FL/AZ","FL"),0)</f>
        <v>0</v>
      </c>
      <c r="D258" s="129">
        <v>3</v>
      </c>
      <c r="E258" s="2">
        <f t="shared" si="43"/>
        <v>0</v>
      </c>
      <c r="F258" s="2"/>
      <c r="G258" s="2"/>
      <c r="H258" s="2"/>
      <c r="I258" s="8">
        <f t="shared" si="42"/>
        <v>0</v>
      </c>
      <c r="J258" s="330">
        <f>C258-IFERROR(VLOOKUP(A258,'[1]FL DL&amp;OH FG'!$A:$K,3,0),0)</f>
        <v>0</v>
      </c>
      <c r="K258" s="326">
        <f t="shared" si="49"/>
        <v>0</v>
      </c>
    </row>
    <row r="259" spans="1:11">
      <c r="A259" s="4" t="s">
        <v>2145</v>
      </c>
      <c r="B259" t="s">
        <v>516</v>
      </c>
      <c r="C259" s="228">
        <f>IFERROR(GETPIVOTDATA("Sum of qty",PT!$A$17,"product",A259,"FL/AZ","FL"),0)</f>
        <v>2899</v>
      </c>
      <c r="D259" s="129">
        <v>4</v>
      </c>
      <c r="E259" s="2">
        <f t="shared" si="43"/>
        <v>11596</v>
      </c>
      <c r="F259" s="2"/>
      <c r="G259" s="2"/>
      <c r="H259" s="2"/>
      <c r="I259" s="8">
        <f t="shared" si="42"/>
        <v>11596</v>
      </c>
      <c r="J259" s="330">
        <f>C259-IFERROR(VLOOKUP(A259,'[1]FL DL&amp;OH FG'!$A:$K,3,0),0)</f>
        <v>1476</v>
      </c>
      <c r="K259" s="326">
        <f t="shared" si="49"/>
        <v>5904</v>
      </c>
    </row>
    <row r="260" spans="1:11">
      <c r="A260" s="163" t="s">
        <v>2146</v>
      </c>
      <c r="B260" s="157" t="s">
        <v>328</v>
      </c>
      <c r="C260" s="228">
        <f>IFERROR(GETPIVOTDATA("Sum of qty",PT!$A$17,"product",A260,"FL/AZ","FL"),0)</f>
        <v>275</v>
      </c>
      <c r="D260" s="129">
        <v>4</v>
      </c>
      <c r="E260" s="2">
        <f t="shared" ref="E260" si="52">C260*D260</f>
        <v>1100</v>
      </c>
      <c r="F260" s="2"/>
      <c r="G260" s="2"/>
      <c r="H260" s="2"/>
      <c r="I260" s="8">
        <f t="shared" ref="I260" si="53">E260</f>
        <v>1100</v>
      </c>
      <c r="J260" s="330">
        <f>C260-IFERROR(VLOOKUP(A260,'[1]FL DL&amp;OH FG'!$A:$K,3,0),0)</f>
        <v>93</v>
      </c>
      <c r="K260" s="326">
        <f t="shared" ref="K260" si="54">J260*D260</f>
        <v>372</v>
      </c>
    </row>
    <row r="261" spans="1:11">
      <c r="A261" s="4" t="s">
        <v>2147</v>
      </c>
      <c r="B261" t="s">
        <v>2148</v>
      </c>
      <c r="C261" s="228">
        <f>IFERROR(GETPIVOTDATA("Sum of qty",PT!$A$17,"product",A261,"FL/AZ","FL"),0)</f>
        <v>0</v>
      </c>
      <c r="D261" s="129">
        <v>1.5</v>
      </c>
      <c r="E261" s="2">
        <f t="shared" si="43"/>
        <v>0</v>
      </c>
      <c r="F261" s="2"/>
      <c r="G261" s="2"/>
      <c r="H261" s="2"/>
      <c r="I261" s="8">
        <f t="shared" si="42"/>
        <v>0</v>
      </c>
      <c r="J261" s="330">
        <f>C261-IFERROR(VLOOKUP(A261,'[1]FL DL&amp;OH FG'!$A:$K,3,0),0)</f>
        <v>0</v>
      </c>
      <c r="K261" s="326">
        <f t="shared" si="49"/>
        <v>0</v>
      </c>
    </row>
    <row r="262" spans="1:11">
      <c r="A262" s="4" t="s">
        <v>2149</v>
      </c>
      <c r="B262" t="s">
        <v>2150</v>
      </c>
      <c r="C262" s="228">
        <f>IFERROR(GETPIVOTDATA("Sum of qty",PT!$A$17,"product",A262,"FL/AZ","FL"),0)</f>
        <v>0</v>
      </c>
      <c r="D262" s="129">
        <v>1.5</v>
      </c>
      <c r="E262" s="2">
        <f t="shared" si="43"/>
        <v>0</v>
      </c>
      <c r="F262" s="2"/>
      <c r="G262" s="2"/>
      <c r="H262" s="2"/>
      <c r="I262" s="8">
        <f t="shared" si="42"/>
        <v>0</v>
      </c>
      <c r="J262" s="330">
        <f>C262-IFERROR(VLOOKUP(A262,'[1]FL DL&amp;OH FG'!$A:$K,3,0),0)</f>
        <v>0</v>
      </c>
      <c r="K262" s="326">
        <f t="shared" si="49"/>
        <v>0</v>
      </c>
    </row>
    <row r="263" spans="1:11">
      <c r="A263" s="4" t="s">
        <v>2151</v>
      </c>
      <c r="B263" t="s">
        <v>2152</v>
      </c>
      <c r="C263" s="228">
        <f>IFERROR(GETPIVOTDATA("Sum of qty",PT!$A$17,"product",A263,"FL/AZ","FL"),0)</f>
        <v>0</v>
      </c>
      <c r="D263" s="129">
        <v>3</v>
      </c>
      <c r="E263" s="2">
        <f t="shared" si="43"/>
        <v>0</v>
      </c>
      <c r="F263" s="2"/>
      <c r="G263" s="2"/>
      <c r="H263" s="2"/>
      <c r="I263" s="8">
        <f t="shared" si="42"/>
        <v>0</v>
      </c>
      <c r="J263" s="330">
        <f>C263-IFERROR(VLOOKUP(A263,'[1]FL DL&amp;OH FG'!$A:$K,3,0),0)</f>
        <v>0</v>
      </c>
      <c r="K263" s="326">
        <f t="shared" si="49"/>
        <v>0</v>
      </c>
    </row>
    <row r="264" spans="1:11">
      <c r="A264" s="4" t="s">
        <v>2153</v>
      </c>
      <c r="B264" t="s">
        <v>2154</v>
      </c>
      <c r="C264" s="228">
        <f>IFERROR(GETPIVOTDATA("Sum of qty",PT!$A$17,"product",A264,"FL/AZ","FL"),0)</f>
        <v>0</v>
      </c>
      <c r="D264" s="129">
        <v>1.5</v>
      </c>
      <c r="E264" s="2">
        <f t="shared" si="43"/>
        <v>0</v>
      </c>
      <c r="F264" s="2"/>
      <c r="G264" s="2"/>
      <c r="H264" s="2"/>
      <c r="I264" s="8">
        <f t="shared" si="42"/>
        <v>0</v>
      </c>
      <c r="J264" s="330">
        <f>C264-IFERROR(VLOOKUP(A264,'[1]FL DL&amp;OH FG'!$A:$K,3,0),0)</f>
        <v>0</v>
      </c>
      <c r="K264" s="326">
        <f t="shared" si="49"/>
        <v>0</v>
      </c>
    </row>
    <row r="265" spans="1:11">
      <c r="A265" s="4" t="s">
        <v>2155</v>
      </c>
      <c r="B265" t="s">
        <v>2156</v>
      </c>
      <c r="C265" s="228">
        <f>IFERROR(GETPIVOTDATA("Sum of qty",PT!$A$17,"product",A265,"FL/AZ","FL"),0)</f>
        <v>0</v>
      </c>
      <c r="D265" s="129">
        <v>1.5</v>
      </c>
      <c r="E265" s="2">
        <f t="shared" si="43"/>
        <v>0</v>
      </c>
      <c r="F265" s="2"/>
      <c r="G265" s="2"/>
      <c r="H265" s="2"/>
      <c r="I265" s="8">
        <f t="shared" si="42"/>
        <v>0</v>
      </c>
      <c r="J265" s="330">
        <f>C265-IFERROR(VLOOKUP(A265,'[1]FL DL&amp;OH FG'!$A:$K,3,0),0)</f>
        <v>0</v>
      </c>
      <c r="K265" s="326">
        <f t="shared" si="49"/>
        <v>0</v>
      </c>
    </row>
    <row r="266" spans="1:11">
      <c r="A266" s="4" t="s">
        <v>2157</v>
      </c>
      <c r="B266" t="s">
        <v>2158</v>
      </c>
      <c r="C266" s="228">
        <f>IFERROR(GETPIVOTDATA("Sum of qty",PT!$A$17,"product",A266,"FL/AZ","FL"),0)</f>
        <v>0</v>
      </c>
      <c r="D266" s="129">
        <f>8*12/128</f>
        <v>0.75</v>
      </c>
      <c r="E266" s="2">
        <f t="shared" si="43"/>
        <v>0</v>
      </c>
      <c r="F266" s="2"/>
      <c r="G266" s="2"/>
      <c r="H266" s="2"/>
      <c r="I266" s="8">
        <f t="shared" si="42"/>
        <v>0</v>
      </c>
      <c r="J266" s="330">
        <f>C266-IFERROR(VLOOKUP(A266,'[1]FL DL&amp;OH FG'!$A:$K,3,0),0)</f>
        <v>0</v>
      </c>
      <c r="K266" s="326">
        <f t="shared" si="49"/>
        <v>0</v>
      </c>
    </row>
    <row r="267" spans="1:11">
      <c r="A267" s="4" t="s">
        <v>2159</v>
      </c>
      <c r="B267" t="s">
        <v>2160</v>
      </c>
      <c r="C267" s="228">
        <f>IFERROR(GETPIVOTDATA("Sum of qty",PT!$A$17,"product",A267,"FL/AZ","FL"),0)</f>
        <v>0</v>
      </c>
      <c r="D267" s="129">
        <f>6*58/128</f>
        <v>2.71875</v>
      </c>
      <c r="E267" s="2">
        <f t="shared" si="43"/>
        <v>0</v>
      </c>
      <c r="F267" s="2"/>
      <c r="G267" s="2"/>
      <c r="H267" s="2"/>
      <c r="I267" s="8">
        <f t="shared" si="42"/>
        <v>0</v>
      </c>
      <c r="J267" s="330">
        <f>C267-IFERROR(VLOOKUP(A267,'[1]FL DL&amp;OH FG'!$A:$K,3,0),0)</f>
        <v>0</v>
      </c>
      <c r="K267" s="326">
        <f t="shared" si="49"/>
        <v>0</v>
      </c>
    </row>
    <row r="268" spans="1:11">
      <c r="A268" s="4" t="s">
        <v>2161</v>
      </c>
      <c r="B268" t="s">
        <v>2162</v>
      </c>
      <c r="C268" s="228">
        <f>IFERROR(GETPIVOTDATA("Sum of qty",PT!$A$17,"product",A268,"FL/AZ","FL"),0)</f>
        <v>0</v>
      </c>
      <c r="D268" s="129">
        <f>6*58/128</f>
        <v>2.71875</v>
      </c>
      <c r="E268" s="2">
        <f t="shared" si="43"/>
        <v>0</v>
      </c>
      <c r="F268" s="2"/>
      <c r="G268" s="2"/>
      <c r="H268" s="2"/>
      <c r="I268" s="8">
        <f t="shared" si="42"/>
        <v>0</v>
      </c>
      <c r="J268" s="330">
        <f>C268-IFERROR(VLOOKUP(A268,'[1]FL DL&amp;OH FG'!$A:$K,3,0),0)</f>
        <v>0</v>
      </c>
      <c r="K268" s="326">
        <f t="shared" si="49"/>
        <v>0</v>
      </c>
    </row>
    <row r="269" spans="1:11">
      <c r="A269" s="244" t="s">
        <v>2163</v>
      </c>
      <c r="B269" t="s">
        <v>2164</v>
      </c>
      <c r="C269" s="228">
        <f>IFERROR(GETPIVOTDATA("Sum of qty",PT!$A$17,"product",A269,"FL/AZ","FL"),0)</f>
        <v>0</v>
      </c>
      <c r="D269" s="129">
        <v>1.5</v>
      </c>
      <c r="E269" s="2">
        <f t="shared" ref="E269:E270" si="55">C269*D269</f>
        <v>0</v>
      </c>
      <c r="F269" s="2"/>
      <c r="G269" s="2"/>
      <c r="H269" s="2"/>
      <c r="I269" s="8"/>
      <c r="J269" s="330">
        <f>C269-IFERROR(VLOOKUP(A269,'[1]FL DL&amp;OH FG'!$A:$K,3,0),0)</f>
        <v>0</v>
      </c>
      <c r="K269" s="326">
        <f t="shared" si="49"/>
        <v>0</v>
      </c>
    </row>
    <row r="270" spans="1:11">
      <c r="A270" s="244" t="s">
        <v>2165</v>
      </c>
      <c r="B270" t="s">
        <v>2166</v>
      </c>
      <c r="C270" s="228">
        <f>IFERROR(GETPIVOTDATA("Sum of qty",PT!$A$17,"product",A270,"FL/AZ","FL"),0)</f>
        <v>0</v>
      </c>
      <c r="D270" s="129">
        <v>1.5</v>
      </c>
      <c r="E270" s="2">
        <f t="shared" si="55"/>
        <v>0</v>
      </c>
      <c r="F270" s="2"/>
      <c r="G270" s="2"/>
      <c r="H270" s="2"/>
      <c r="I270" s="8"/>
      <c r="J270" s="330">
        <f>C270-IFERROR(VLOOKUP(A270,'[1]FL DL&amp;OH FG'!$A:$K,3,0),0)</f>
        <v>0</v>
      </c>
      <c r="K270" s="326">
        <f t="shared" si="49"/>
        <v>0</v>
      </c>
    </row>
    <row r="271" spans="1:11">
      <c r="A271" s="4" t="s">
        <v>2167</v>
      </c>
      <c r="B271" t="s">
        <v>2168</v>
      </c>
      <c r="C271" s="228">
        <f>IFERROR(GETPIVOTDATA("Sum of qty",PT!$A$17,"product",A271,"FL/AZ","FL"),0)</f>
        <v>0</v>
      </c>
      <c r="D271" s="129">
        <f>8*12/128</f>
        <v>0.75</v>
      </c>
      <c r="E271" s="2">
        <f t="shared" si="43"/>
        <v>0</v>
      </c>
      <c r="F271" s="2"/>
      <c r="G271" s="2"/>
      <c r="H271" s="2"/>
      <c r="I271" s="8">
        <f t="shared" si="42"/>
        <v>0</v>
      </c>
      <c r="J271" s="330">
        <f>C271-IFERROR(VLOOKUP(A271,'[1]FL DL&amp;OH FG'!$A:$K,3,0),0)</f>
        <v>0</v>
      </c>
      <c r="K271" s="326">
        <f t="shared" si="49"/>
        <v>0</v>
      </c>
    </row>
    <row r="272" spans="1:11">
      <c r="A272" s="4" t="s">
        <v>2169</v>
      </c>
      <c r="B272" t="s">
        <v>2170</v>
      </c>
      <c r="C272" s="228">
        <f>IFERROR(GETPIVOTDATA("Sum of qty",PT!$A$17,"product",A272,"FL/AZ","FL"),0)</f>
        <v>0</v>
      </c>
      <c r="D272" s="129">
        <f>8*12/128</f>
        <v>0.75</v>
      </c>
      <c r="E272" s="2">
        <f t="shared" si="43"/>
        <v>0</v>
      </c>
      <c r="F272" s="2"/>
      <c r="G272" s="2"/>
      <c r="H272" s="2"/>
      <c r="I272" s="8">
        <f t="shared" si="42"/>
        <v>0</v>
      </c>
      <c r="J272" s="330">
        <f>C272-IFERROR(VLOOKUP(A272,'[1]FL DL&amp;OH FG'!$A:$K,3,0),0)</f>
        <v>0</v>
      </c>
      <c r="K272" s="326">
        <f t="shared" si="49"/>
        <v>0</v>
      </c>
    </row>
    <row r="273" spans="1:11">
      <c r="A273" s="4" t="s">
        <v>2171</v>
      </c>
      <c r="B273" t="s">
        <v>2172</v>
      </c>
      <c r="C273" s="228">
        <f>IFERROR(GETPIVOTDATA("Sum of qty",PT!$A$17,"product",A273,"FL/AZ","FL"),0)</f>
        <v>0</v>
      </c>
      <c r="D273" s="129">
        <f>8*12/128</f>
        <v>0.75</v>
      </c>
      <c r="E273" s="2">
        <f t="shared" si="43"/>
        <v>0</v>
      </c>
      <c r="F273" s="2"/>
      <c r="G273" s="2"/>
      <c r="H273" s="2"/>
      <c r="I273" s="8">
        <f t="shared" si="42"/>
        <v>0</v>
      </c>
      <c r="J273" s="330">
        <f>C273-IFERROR(VLOOKUP(A273,'[1]FL DL&amp;OH FG'!$A:$K,3,0),0)</f>
        <v>0</v>
      </c>
      <c r="K273" s="326">
        <f t="shared" si="49"/>
        <v>0</v>
      </c>
    </row>
    <row r="274" spans="1:11">
      <c r="A274" s="4" t="s">
        <v>2173</v>
      </c>
      <c r="B274" t="s">
        <v>2174</v>
      </c>
      <c r="C274" s="228">
        <f>IFERROR(GETPIVOTDATA("Sum of qty",PT!$A$17,"product",A274,"FL/AZ","FL"),0)</f>
        <v>0</v>
      </c>
      <c r="D274" s="129">
        <v>1.5</v>
      </c>
      <c r="E274" s="2">
        <f t="shared" si="43"/>
        <v>0</v>
      </c>
      <c r="F274" s="2"/>
      <c r="G274" s="2"/>
      <c r="H274" s="2"/>
      <c r="I274" s="8">
        <f t="shared" si="42"/>
        <v>0</v>
      </c>
      <c r="J274" s="330">
        <f>C274-IFERROR(VLOOKUP(A274,'[1]FL DL&amp;OH FG'!$A:$K,3,0),0)</f>
        <v>0</v>
      </c>
      <c r="K274" s="326">
        <f t="shared" si="49"/>
        <v>0</v>
      </c>
    </row>
    <row r="275" spans="1:11">
      <c r="A275" s="4" t="s">
        <v>2175</v>
      </c>
      <c r="B275" t="s">
        <v>2176</v>
      </c>
      <c r="C275" s="228">
        <f>IFERROR(GETPIVOTDATA("Sum of qty",PT!$A$17,"product",A275,"FL/AZ","FL"),0)</f>
        <v>0</v>
      </c>
      <c r="D275" s="129">
        <v>1.5</v>
      </c>
      <c r="E275" s="2">
        <f>C275*D275</f>
        <v>0</v>
      </c>
      <c r="F275" s="2"/>
      <c r="G275" s="2"/>
      <c r="H275" s="2"/>
      <c r="I275" s="8">
        <f t="shared" si="42"/>
        <v>0</v>
      </c>
      <c r="J275" s="330">
        <f>C275-IFERROR(VLOOKUP(A275,'[1]FL DL&amp;OH FG'!$A:$K,3,0),0)</f>
        <v>0</v>
      </c>
      <c r="K275" s="326">
        <f t="shared" si="49"/>
        <v>0</v>
      </c>
    </row>
    <row r="276" spans="1:11">
      <c r="A276" s="4" t="s">
        <v>2177</v>
      </c>
      <c r="B276" t="s">
        <v>2178</v>
      </c>
      <c r="C276" s="228">
        <f>IFERROR(GETPIVOTDATA("Sum of qty",PT!$A$17,"product",A276,"FL/AZ","FL"),0)</f>
        <v>0</v>
      </c>
      <c r="D276" s="129">
        <v>1.5</v>
      </c>
      <c r="E276" s="2">
        <f>C276*D276</f>
        <v>0</v>
      </c>
      <c r="F276" s="2"/>
      <c r="G276" s="2"/>
      <c r="H276" s="2"/>
      <c r="I276" s="8">
        <f t="shared" si="42"/>
        <v>0</v>
      </c>
      <c r="J276" s="330">
        <f>C276-IFERROR(VLOOKUP(A276,'[1]FL DL&amp;OH FG'!$A:$K,3,0),0)</f>
        <v>0</v>
      </c>
      <c r="K276" s="326">
        <f t="shared" si="49"/>
        <v>0</v>
      </c>
    </row>
    <row r="277" spans="1:11">
      <c r="A277" s="4" t="s">
        <v>2179</v>
      </c>
      <c r="B277" t="s">
        <v>2180</v>
      </c>
      <c r="C277" s="228">
        <f>IFERROR(GETPIVOTDATA("Sum of qty",PT!$A$17,"product",A277,"FL/AZ","FL"),0)</f>
        <v>0</v>
      </c>
      <c r="D277" s="129">
        <v>1.5</v>
      </c>
      <c r="E277" s="2">
        <f>C277*D277</f>
        <v>0</v>
      </c>
      <c r="F277" s="2"/>
      <c r="G277" s="2"/>
      <c r="H277" s="2"/>
      <c r="I277" s="8">
        <f t="shared" si="42"/>
        <v>0</v>
      </c>
      <c r="J277" s="330">
        <f>C277-IFERROR(VLOOKUP(A277,'[1]FL DL&amp;OH FG'!$A:$K,3,0),0)</f>
        <v>0</v>
      </c>
      <c r="K277" s="326">
        <f t="shared" si="49"/>
        <v>0</v>
      </c>
    </row>
    <row r="278" spans="1:11">
      <c r="A278" s="4" t="s">
        <v>2181</v>
      </c>
      <c r="B278" t="s">
        <v>2182</v>
      </c>
      <c r="C278" s="228">
        <f>IFERROR(GETPIVOTDATA("Sum of qty",PT!$A$17,"product",A278,"FL/AZ","FL"),0)</f>
        <v>0</v>
      </c>
      <c r="D278" s="129">
        <v>1.5</v>
      </c>
      <c r="E278" s="2">
        <f t="shared" si="43"/>
        <v>0</v>
      </c>
      <c r="F278" s="2"/>
      <c r="G278" s="2"/>
      <c r="H278" s="2"/>
      <c r="I278" s="8">
        <f t="shared" si="42"/>
        <v>0</v>
      </c>
      <c r="J278" s="330">
        <f>C278-IFERROR(VLOOKUP(A278,'[1]FL DL&amp;OH FG'!$A:$K,3,0),0)</f>
        <v>0</v>
      </c>
      <c r="K278" s="326">
        <f t="shared" si="49"/>
        <v>0</v>
      </c>
    </row>
    <row r="279" spans="1:11">
      <c r="A279" s="4" t="s">
        <v>2183</v>
      </c>
      <c r="B279" t="s">
        <v>2184</v>
      </c>
      <c r="C279" s="228">
        <f>IFERROR(GETPIVOTDATA("Sum of qty",PT!$A$17,"product",A279,"FL/AZ","FL"),0)</f>
        <v>0</v>
      </c>
      <c r="D279" s="129">
        <v>1.5</v>
      </c>
      <c r="E279" s="2">
        <f t="shared" si="43"/>
        <v>0</v>
      </c>
      <c r="F279" s="2" t="s">
        <v>1133</v>
      </c>
      <c r="G279" s="2"/>
      <c r="H279" s="2"/>
      <c r="I279" s="8">
        <f t="shared" si="42"/>
        <v>0</v>
      </c>
      <c r="J279" s="330">
        <f>C279-IFERROR(VLOOKUP(A279,'[1]FL DL&amp;OH FG'!$A:$K,3,0),0)</f>
        <v>0</v>
      </c>
      <c r="K279" s="326">
        <f t="shared" si="49"/>
        <v>0</v>
      </c>
    </row>
    <row r="280" spans="1:11">
      <c r="A280" s="4" t="s">
        <v>2185</v>
      </c>
      <c r="B280" t="s">
        <v>2186</v>
      </c>
      <c r="C280" s="228">
        <f>IFERROR(GETPIVOTDATA("Sum of qty",PT!$A$17,"product",A280,"FL/AZ","FL"),0)</f>
        <v>0</v>
      </c>
      <c r="D280" s="129">
        <v>3.125</v>
      </c>
      <c r="E280" s="2">
        <f t="shared" si="43"/>
        <v>0</v>
      </c>
      <c r="F280" s="2">
        <f>E280</f>
        <v>0</v>
      </c>
      <c r="G280" s="2"/>
      <c r="H280" s="2"/>
      <c r="I280" s="8">
        <f t="shared" si="42"/>
        <v>0</v>
      </c>
      <c r="J280" s="330">
        <f>C280-IFERROR(VLOOKUP(A280,'[1]FL DL&amp;OH FG'!$A:$K,3,0),0)</f>
        <v>0</v>
      </c>
      <c r="K280" s="326">
        <f t="shared" si="49"/>
        <v>0</v>
      </c>
    </row>
    <row r="281" spans="1:11">
      <c r="A281" s="244" t="s">
        <v>2187</v>
      </c>
      <c r="B281" t="s">
        <v>2188</v>
      </c>
      <c r="C281" s="228">
        <f>IFERROR(GETPIVOTDATA("Sum of qty",PT!$A$17,"product",A281,"FL/AZ","FL"),0)</f>
        <v>0</v>
      </c>
      <c r="D281" s="129">
        <v>48</v>
      </c>
      <c r="E281" s="2">
        <f t="shared" ref="E281" si="56">C281*D281</f>
        <v>0</v>
      </c>
      <c r="F281" s="2">
        <f>E281</f>
        <v>0</v>
      </c>
      <c r="G281" s="2"/>
      <c r="H281" s="2"/>
      <c r="I281" s="8"/>
      <c r="J281" s="330">
        <f>C281-IFERROR(VLOOKUP(A281,'[1]FL DL&amp;OH FG'!$A:$K,3,0),0)</f>
        <v>0</v>
      </c>
      <c r="K281" s="326">
        <f t="shared" si="49"/>
        <v>0</v>
      </c>
    </row>
    <row r="282" spans="1:11">
      <c r="A282" s="4" t="s">
        <v>2189</v>
      </c>
      <c r="B282" t="s">
        <v>2190</v>
      </c>
      <c r="C282" s="228">
        <f>IFERROR(GETPIVOTDATA("Sum of qty",PT!$A$17,"product",A282,"FL/AZ","FL"),0)</f>
        <v>0</v>
      </c>
      <c r="D282" s="129">
        <v>4.3239999999999998</v>
      </c>
      <c r="E282" s="2">
        <f t="shared" si="43"/>
        <v>0</v>
      </c>
      <c r="F282" s="2">
        <f>E282</f>
        <v>0</v>
      </c>
      <c r="G282" s="2"/>
      <c r="H282" s="2"/>
      <c r="I282" s="8">
        <f>E282</f>
        <v>0</v>
      </c>
      <c r="J282" s="330">
        <f>C282-IFERROR(VLOOKUP(A282,'[1]FL DL&amp;OH FG'!$A:$K,3,0),0)</f>
        <v>0</v>
      </c>
      <c r="K282" s="326">
        <f t="shared" si="49"/>
        <v>0</v>
      </c>
    </row>
    <row r="283" spans="1:11">
      <c r="A283" s="4" t="s">
        <v>2191</v>
      </c>
      <c r="B283" t="s">
        <v>528</v>
      </c>
      <c r="C283" s="228">
        <f>IFERROR(GETPIVOTDATA("Sum of qty",PT!$A$17,"product",A283,"FL/AZ","FL"),0)</f>
        <v>0</v>
      </c>
      <c r="D283" s="129">
        <v>0</v>
      </c>
      <c r="E283" s="2">
        <f>C283*D283</f>
        <v>0</v>
      </c>
      <c r="F283" s="2"/>
      <c r="G283" s="2"/>
      <c r="H283" s="2"/>
      <c r="J283" s="330">
        <f>C283-IFERROR(VLOOKUP(A283,'[1]FL DL&amp;OH FG'!$A:$K,3,0),0)</f>
        <v>0</v>
      </c>
      <c r="K283" s="326">
        <f t="shared" si="49"/>
        <v>0</v>
      </c>
    </row>
    <row r="284" spans="1:11">
      <c r="A284" s="244" t="s">
        <v>2192</v>
      </c>
      <c r="B284" t="s">
        <v>105</v>
      </c>
      <c r="C284" s="228">
        <f>IFERROR(GETPIVOTDATA("Sum of qty",PT!$A$17,"product",A284,"FL/AZ","FL"),0)</f>
        <v>132</v>
      </c>
      <c r="D284" s="129">
        <f>30.5*0.046875</f>
        <v>1.4296875</v>
      </c>
      <c r="E284" s="2">
        <f t="shared" ref="E284" si="57">C284*D284</f>
        <v>188.71875</v>
      </c>
      <c r="F284" s="2">
        <f>E284</f>
        <v>188.71875</v>
      </c>
      <c r="G284" s="2"/>
      <c r="H284" s="2"/>
      <c r="J284" s="330">
        <f>C284-IFERROR(VLOOKUP(A284,'[1]FL DL&amp;OH FG'!$A:$K,3,0),0)</f>
        <v>45</v>
      </c>
      <c r="K284" s="326">
        <f t="shared" si="49"/>
        <v>64.3359375</v>
      </c>
    </row>
    <row r="285" spans="1:11">
      <c r="A285" s="4" t="s">
        <v>2193</v>
      </c>
      <c r="B285" t="s">
        <v>2194</v>
      </c>
      <c r="C285" s="228">
        <f>IFERROR(GETPIVOTDATA("Sum of qty",PT!$A$17,"product",A285,"FL/AZ","FL"),0)</f>
        <v>0</v>
      </c>
      <c r="D285" s="129">
        <v>1.429</v>
      </c>
      <c r="E285" s="2">
        <f t="shared" si="43"/>
        <v>0</v>
      </c>
      <c r="F285" s="2">
        <f>E285</f>
        <v>0</v>
      </c>
      <c r="G285" s="2"/>
      <c r="H285" s="2"/>
      <c r="J285" s="330">
        <f>C285-IFERROR(VLOOKUP(A285,'[1]FL DL&amp;OH FG'!$A:$K,3,0),0)</f>
        <v>0</v>
      </c>
      <c r="K285" s="326">
        <f t="shared" si="49"/>
        <v>0</v>
      </c>
    </row>
    <row r="286" spans="1:11">
      <c r="A286" s="4" t="s">
        <v>2195</v>
      </c>
      <c r="B286" t="s">
        <v>1663</v>
      </c>
      <c r="C286" s="228">
        <f>IFERROR(GETPIVOTDATA("Sum of qty",PT!$A$17,"product",A286,"FL/AZ","FL"),0)</f>
        <v>0</v>
      </c>
      <c r="D286" s="129">
        <v>1.4297</v>
      </c>
      <c r="E286" s="2">
        <f t="shared" si="43"/>
        <v>0</v>
      </c>
      <c r="F286" s="2">
        <f>E286</f>
        <v>0</v>
      </c>
      <c r="G286" s="2"/>
      <c r="H286" s="2"/>
      <c r="J286" s="330">
        <f>C286-IFERROR(VLOOKUP(A286,'[1]FL DL&amp;OH FG'!$A:$K,3,0),0)</f>
        <v>0</v>
      </c>
      <c r="K286" s="326">
        <f t="shared" si="49"/>
        <v>0</v>
      </c>
    </row>
    <row r="287" spans="1:11">
      <c r="A287" s="4" t="s">
        <v>2196</v>
      </c>
      <c r="B287" t="s">
        <v>2197</v>
      </c>
      <c r="C287" s="228">
        <f>IFERROR(GETPIVOTDATA("Sum of qty",PT!$A$17,"product",A287,"FL/AZ","FL"),0)</f>
        <v>0</v>
      </c>
      <c r="D287" s="129">
        <v>1.5</v>
      </c>
      <c r="E287" s="2">
        <f t="shared" ref="E287:E351" si="58">C287*D287</f>
        <v>0</v>
      </c>
      <c r="F287" s="2"/>
      <c r="G287" s="2"/>
      <c r="H287" s="2"/>
      <c r="J287" s="330">
        <f>C287-IFERROR(VLOOKUP(A287,'[1]FL DL&amp;OH FG'!$A:$K,3,0),0)</f>
        <v>0</v>
      </c>
      <c r="K287" s="326">
        <f t="shared" si="49"/>
        <v>0</v>
      </c>
    </row>
    <row r="288" spans="1:11">
      <c r="A288" s="4" t="s">
        <v>2198</v>
      </c>
      <c r="B288" t="s">
        <v>2199</v>
      </c>
      <c r="C288" s="228">
        <f>IFERROR(GETPIVOTDATA("Sum of qty",PT!$A$17,"product",A288,"FL/AZ","FL"),0)</f>
        <v>0</v>
      </c>
      <c r="D288" s="129">
        <v>1.5</v>
      </c>
      <c r="E288" s="2">
        <f t="shared" si="58"/>
        <v>0</v>
      </c>
      <c r="F288" s="2"/>
      <c r="G288" s="2"/>
      <c r="H288" s="2"/>
      <c r="J288" s="330">
        <f>C288-IFERROR(VLOOKUP(A288,'[1]FL DL&amp;OH FG'!$A:$K,3,0),0)</f>
        <v>0</v>
      </c>
      <c r="K288" s="326">
        <f t="shared" si="49"/>
        <v>0</v>
      </c>
    </row>
    <row r="289" spans="1:11">
      <c r="A289" s="4" t="s">
        <v>2200</v>
      </c>
      <c r="B289" t="s">
        <v>2201</v>
      </c>
      <c r="C289" s="228">
        <f>IFERROR(GETPIVOTDATA("Sum of qty",PT!$A$17,"product",A289,"FL/AZ","FL"),0)</f>
        <v>0</v>
      </c>
      <c r="D289" s="129">
        <f>6*0.453125</f>
        <v>2.71875</v>
      </c>
      <c r="E289" s="2">
        <f t="shared" si="58"/>
        <v>0</v>
      </c>
      <c r="F289" s="2"/>
      <c r="G289" s="2"/>
      <c r="H289" s="2"/>
      <c r="J289" s="330">
        <f>C289-IFERROR(VLOOKUP(A289,'[1]FL DL&amp;OH FG'!$A:$K,3,0),0)</f>
        <v>0</v>
      </c>
      <c r="K289" s="326">
        <f t="shared" si="49"/>
        <v>0</v>
      </c>
    </row>
    <row r="290" spans="1:11">
      <c r="A290" s="4" t="s">
        <v>2202</v>
      </c>
      <c r="B290" t="s">
        <v>2203</v>
      </c>
      <c r="C290" s="228">
        <f>IFERROR(GETPIVOTDATA("Sum of qty",PT!$A$17,"product",A290,"FL/AZ","FL"),0)</f>
        <v>0</v>
      </c>
      <c r="D290" s="129">
        <v>3</v>
      </c>
      <c r="E290" s="2">
        <f t="shared" si="58"/>
        <v>0</v>
      </c>
      <c r="F290" s="2"/>
      <c r="G290" s="2"/>
      <c r="H290" s="2"/>
      <c r="J290" s="330">
        <f>C290-IFERROR(VLOOKUP(A290,'[1]FL DL&amp;OH FG'!$A:$K,3,0),0)</f>
        <v>0</v>
      </c>
      <c r="K290" s="326">
        <f t="shared" si="49"/>
        <v>0</v>
      </c>
    </row>
    <row r="291" spans="1:11">
      <c r="A291" s="4" t="s">
        <v>2204</v>
      </c>
      <c r="B291" t="s">
        <v>2205</v>
      </c>
      <c r="C291" s="228">
        <f>IFERROR(GETPIVOTDATA("Sum of qty",PT!$A$17,"product",A291,"FL/AZ","FL"),0)</f>
        <v>0</v>
      </c>
      <c r="D291" s="129">
        <v>4</v>
      </c>
      <c r="E291" s="2">
        <f t="shared" si="58"/>
        <v>0</v>
      </c>
      <c r="F291" s="2"/>
      <c r="G291" s="2"/>
      <c r="H291" s="2"/>
      <c r="J291" s="330">
        <f>C291-IFERROR(VLOOKUP(A291,'[1]FL DL&amp;OH FG'!$A:$K,3,0),0)</f>
        <v>0</v>
      </c>
      <c r="K291" s="326">
        <f t="shared" si="49"/>
        <v>0</v>
      </c>
    </row>
    <row r="292" spans="1:11">
      <c r="A292" s="163" t="s">
        <v>2206</v>
      </c>
      <c r="B292" t="s">
        <v>1668</v>
      </c>
      <c r="C292" s="228">
        <f>IFERROR(GETPIVOTDATA("Sum of qty",PT!$A$17,"product",A292,"FL/AZ","FL"),0)</f>
        <v>0</v>
      </c>
      <c r="D292" s="129">
        <v>3</v>
      </c>
      <c r="E292" s="2">
        <f>C292*D292</f>
        <v>0</v>
      </c>
      <c r="F292" s="2"/>
      <c r="G292" s="2"/>
      <c r="H292" s="2"/>
      <c r="J292" s="330">
        <f>C292-IFERROR(VLOOKUP(A292,'[1]FL DL&amp;OH FG'!$A:$K,3,0),0)</f>
        <v>0</v>
      </c>
      <c r="K292" s="326">
        <f t="shared" si="49"/>
        <v>0</v>
      </c>
    </row>
    <row r="293" spans="1:11">
      <c r="A293" s="4" t="s">
        <v>2207</v>
      </c>
      <c r="B293" t="s">
        <v>2208</v>
      </c>
      <c r="C293" s="228">
        <f>IFERROR(GETPIVOTDATA("Sum of qty",PT!$A$17,"product",A293,"FL/AZ","FL"),0)</f>
        <v>0</v>
      </c>
      <c r="D293" s="129">
        <v>3</v>
      </c>
      <c r="E293" s="2">
        <f t="shared" si="58"/>
        <v>0</v>
      </c>
      <c r="F293" s="2"/>
      <c r="G293" s="2"/>
      <c r="H293" s="2"/>
      <c r="J293" s="330">
        <f>C293-IFERROR(VLOOKUP(A293,'[1]FL DL&amp;OH FG'!$A:$K,3,0),0)</f>
        <v>0</v>
      </c>
      <c r="K293" s="326">
        <f t="shared" si="49"/>
        <v>0</v>
      </c>
    </row>
    <row r="294" spans="1:11">
      <c r="A294" s="4" t="s">
        <v>2209</v>
      </c>
      <c r="B294" t="s">
        <v>474</v>
      </c>
      <c r="C294" s="228">
        <f>IFERROR(GETPIVOTDATA("Sum of qty",PT!$A$17,"product",A294,"FL/AZ","FL"),0)</f>
        <v>430</v>
      </c>
      <c r="D294" s="129">
        <v>3</v>
      </c>
      <c r="E294" s="2">
        <f t="shared" si="58"/>
        <v>1290</v>
      </c>
      <c r="F294" s="2"/>
      <c r="G294" s="2"/>
      <c r="H294" s="2"/>
      <c r="J294" s="330">
        <f>C294-IFERROR(VLOOKUP(A294,'[1]FL DL&amp;OH FG'!$A:$K,3,0),0)</f>
        <v>166</v>
      </c>
      <c r="K294" s="326">
        <f t="shared" si="49"/>
        <v>498</v>
      </c>
    </row>
    <row r="295" spans="1:11">
      <c r="A295" s="4" t="s">
        <v>2210</v>
      </c>
      <c r="B295" t="s">
        <v>2211</v>
      </c>
      <c r="C295" s="228">
        <f>IFERROR(GETPIVOTDATA("Sum of qty",PT!$A$17,"product",A295,"FL/AZ","FL"),0)</f>
        <v>0</v>
      </c>
      <c r="D295" s="129">
        <v>1.5</v>
      </c>
      <c r="E295" s="2">
        <f t="shared" si="58"/>
        <v>0</v>
      </c>
      <c r="F295" s="2"/>
      <c r="G295" s="2"/>
      <c r="H295" s="2"/>
      <c r="J295" s="330">
        <f>C295-IFERROR(VLOOKUP(A295,'[1]FL DL&amp;OH FG'!$A:$K,3,0),0)</f>
        <v>0</v>
      </c>
      <c r="K295" s="326">
        <f t="shared" si="49"/>
        <v>0</v>
      </c>
    </row>
    <row r="296" spans="1:11">
      <c r="A296" s="4" t="s">
        <v>2212</v>
      </c>
      <c r="B296" t="s">
        <v>2213</v>
      </c>
      <c r="C296" s="228">
        <f>IFERROR(GETPIVOTDATA("Sum of qty",PT!$A$17,"product",A296,"FL/AZ","FL"),0)</f>
        <v>0</v>
      </c>
      <c r="D296" s="129">
        <v>1.5</v>
      </c>
      <c r="E296" s="2">
        <f t="shared" si="58"/>
        <v>0</v>
      </c>
      <c r="F296" s="2"/>
      <c r="G296" s="2"/>
      <c r="H296" s="2"/>
      <c r="J296" s="330">
        <f>C296-IFERROR(VLOOKUP(A296,'[1]FL DL&amp;OH FG'!$A:$K,3,0),0)</f>
        <v>0</v>
      </c>
      <c r="K296" s="326">
        <f t="shared" si="49"/>
        <v>0</v>
      </c>
    </row>
    <row r="297" spans="1:11">
      <c r="A297" s="163" t="s">
        <v>2214</v>
      </c>
      <c r="B297" t="s">
        <v>2215</v>
      </c>
      <c r="C297" s="228">
        <f>IFERROR(GETPIVOTDATA("Sum of qty",PT!$A$17,"product",A297,"FL/AZ","FL"),0)</f>
        <v>150</v>
      </c>
      <c r="D297" s="129">
        <v>3</v>
      </c>
      <c r="E297" s="2">
        <f t="shared" si="58"/>
        <v>450</v>
      </c>
      <c r="F297" s="2"/>
      <c r="G297" s="2"/>
      <c r="H297" s="2"/>
      <c r="J297" s="330">
        <f>C297-IFERROR(VLOOKUP(A297,'[1]FL DL&amp;OH FG'!$A:$K,3,0),0)</f>
        <v>87</v>
      </c>
      <c r="K297" s="326">
        <f t="shared" si="49"/>
        <v>261</v>
      </c>
    </row>
    <row r="298" spans="1:11">
      <c r="A298" s="4" t="s">
        <v>2216</v>
      </c>
      <c r="B298" t="s">
        <v>2217</v>
      </c>
      <c r="C298" s="228">
        <f>IFERROR(GETPIVOTDATA("Sum of qty",PT!$A$17,"product",A298,"FL/AZ","FL"),0)</f>
        <v>0</v>
      </c>
      <c r="D298" s="129">
        <v>3</v>
      </c>
      <c r="E298" s="2">
        <f t="shared" si="58"/>
        <v>0</v>
      </c>
      <c r="F298" s="2"/>
      <c r="G298" s="2"/>
      <c r="H298" s="2"/>
      <c r="J298" s="330">
        <f>C298-IFERROR(VLOOKUP(A298,'[1]FL DL&amp;OH FG'!$A:$K,3,0),0)</f>
        <v>0</v>
      </c>
      <c r="K298" s="326">
        <f t="shared" si="49"/>
        <v>0</v>
      </c>
    </row>
    <row r="299" spans="1:11">
      <c r="A299" s="4" t="s">
        <v>2218</v>
      </c>
      <c r="B299" t="s">
        <v>1675</v>
      </c>
      <c r="C299" s="228">
        <f>IFERROR(GETPIVOTDATA("Sum of qty",PT!$A$17,"product",A299,"FL/AZ","FL"),0)</f>
        <v>0</v>
      </c>
      <c r="D299" s="129">
        <v>3</v>
      </c>
      <c r="E299" s="2">
        <f t="shared" si="58"/>
        <v>0</v>
      </c>
      <c r="F299" s="2"/>
      <c r="G299" s="2"/>
      <c r="H299" s="2"/>
      <c r="J299" s="330">
        <f>C299-IFERROR(VLOOKUP(A299,'[1]FL DL&amp;OH FG'!$A:$K,3,0),0)</f>
        <v>0</v>
      </c>
      <c r="K299" s="326">
        <f t="shared" ref="K299:K364" si="59">J299*D299</f>
        <v>0</v>
      </c>
    </row>
    <row r="300" spans="1:11">
      <c r="A300" s="4" t="s">
        <v>2219</v>
      </c>
      <c r="B300" t="s">
        <v>2220</v>
      </c>
      <c r="C300" s="228">
        <f>IFERROR(GETPIVOTDATA("Sum of qty",PT!$A$17,"product",A300,"FL/AZ","FL"),0)</f>
        <v>0</v>
      </c>
      <c r="D300" s="129">
        <v>3</v>
      </c>
      <c r="E300" s="2">
        <f t="shared" si="58"/>
        <v>0</v>
      </c>
      <c r="F300" s="2"/>
      <c r="G300" s="2"/>
      <c r="H300" s="2"/>
      <c r="J300" s="330">
        <f>C300-IFERROR(VLOOKUP(A300,'[1]FL DL&amp;OH FG'!$A:$K,3,0),0)</f>
        <v>0</v>
      </c>
      <c r="K300" s="326">
        <f t="shared" si="59"/>
        <v>0</v>
      </c>
    </row>
    <row r="301" spans="1:11">
      <c r="A301" s="4" t="s">
        <v>2221</v>
      </c>
      <c r="B301" t="s">
        <v>2222</v>
      </c>
      <c r="C301" s="228">
        <f>IFERROR(GETPIVOTDATA("Sum of qty",PT!$A$17,"product",A301,"FL/AZ","FL"),0)</f>
        <v>0</v>
      </c>
      <c r="D301" s="129">
        <v>48</v>
      </c>
      <c r="E301" s="2">
        <f t="shared" si="58"/>
        <v>0</v>
      </c>
      <c r="F301" s="2"/>
      <c r="G301" s="2"/>
      <c r="H301" s="2"/>
      <c r="J301" s="330">
        <f>C301-IFERROR(VLOOKUP(A301,'[1]FL DL&amp;OH FG'!$A:$K,3,0),0)</f>
        <v>0</v>
      </c>
      <c r="K301" s="326">
        <f t="shared" si="59"/>
        <v>0</v>
      </c>
    </row>
    <row r="302" spans="1:11">
      <c r="A302" s="4" t="s">
        <v>2223</v>
      </c>
      <c r="B302" t="s">
        <v>2224</v>
      </c>
      <c r="C302" s="228">
        <f>IFERROR(GETPIVOTDATA("Sum of qty",PT!$A$17,"product",A302,"FL/AZ","FL"),0)</f>
        <v>0</v>
      </c>
      <c r="D302" s="129">
        <v>48</v>
      </c>
      <c r="E302" s="2">
        <f t="shared" si="58"/>
        <v>0</v>
      </c>
      <c r="F302" s="2"/>
      <c r="G302" s="2"/>
      <c r="H302" s="2"/>
      <c r="J302" s="330">
        <f>C302-IFERROR(VLOOKUP(A302,'[1]FL DL&amp;OH FG'!$A:$K,3,0),0)</f>
        <v>0</v>
      </c>
      <c r="K302" s="326">
        <f t="shared" si="59"/>
        <v>0</v>
      </c>
    </row>
    <row r="303" spans="1:11">
      <c r="A303" s="4" t="s">
        <v>2225</v>
      </c>
      <c r="B303" t="s">
        <v>1682</v>
      </c>
      <c r="C303" s="228">
        <f>IFERROR(GETPIVOTDATA("Sum of qty",PT!$A$17,"product",A303,"FL/AZ","FL"),0)</f>
        <v>0</v>
      </c>
      <c r="D303" s="129">
        <v>4</v>
      </c>
      <c r="E303" s="2">
        <f t="shared" si="58"/>
        <v>0</v>
      </c>
      <c r="F303" s="2"/>
      <c r="G303" s="2">
        <f>E303*0.154</f>
        <v>0</v>
      </c>
      <c r="H303" s="2"/>
      <c r="J303" s="330">
        <f>C303-IFERROR(VLOOKUP(A303,'[1]FL DL&amp;OH FG'!$A:$K,3,0),0)</f>
        <v>0</v>
      </c>
      <c r="K303" s="326">
        <f t="shared" si="59"/>
        <v>0</v>
      </c>
    </row>
    <row r="304" spans="1:11">
      <c r="A304" s="4" t="s">
        <v>2226</v>
      </c>
      <c r="B304" t="s">
        <v>586</v>
      </c>
      <c r="C304" s="228">
        <f>IFERROR(GETPIVOTDATA("Sum of qty",PT!$A$17,"product",A304,"FL/AZ","FL"),0)</f>
        <v>414</v>
      </c>
      <c r="D304" s="129">
        <v>4</v>
      </c>
      <c r="E304" s="2">
        <f t="shared" si="58"/>
        <v>1656</v>
      </c>
      <c r="F304" s="2"/>
      <c r="G304" s="2">
        <f t="shared" ref="G304:G320" si="60">E304*0.16</f>
        <v>264.95999999999998</v>
      </c>
      <c r="H304" s="2"/>
      <c r="J304" s="330">
        <f>C304-IFERROR(VLOOKUP(A304,'[1]FL DL&amp;OH FG'!$A:$K,3,0),0)</f>
        <v>14</v>
      </c>
      <c r="K304" s="326">
        <f t="shared" si="59"/>
        <v>56</v>
      </c>
    </row>
    <row r="305" spans="1:11">
      <c r="A305" s="4" t="s">
        <v>2227</v>
      </c>
      <c r="B305" t="s">
        <v>587</v>
      </c>
      <c r="C305" s="228">
        <f>IFERROR(GETPIVOTDATA("Sum of qty",PT!$A$17,"product",A305,"FL/AZ","FL"),0)</f>
        <v>370</v>
      </c>
      <c r="D305" s="129">
        <v>4</v>
      </c>
      <c r="E305" s="2">
        <f t="shared" si="58"/>
        <v>1480</v>
      </c>
      <c r="F305" s="2"/>
      <c r="G305" s="2">
        <f t="shared" si="60"/>
        <v>236.8</v>
      </c>
      <c r="H305" s="2"/>
      <c r="J305" s="330">
        <f>C305-IFERROR(VLOOKUP(A305,'[1]FL DL&amp;OH FG'!$A:$K,3,0),0)</f>
        <v>-139</v>
      </c>
      <c r="K305" s="326">
        <f t="shared" si="59"/>
        <v>-556</v>
      </c>
    </row>
    <row r="306" spans="1:11">
      <c r="A306" s="4" t="s">
        <v>2228</v>
      </c>
      <c r="B306" t="s">
        <v>1684</v>
      </c>
      <c r="C306" s="228">
        <f>IFERROR(GETPIVOTDATA("Sum of qty",PT!$A$17,"product",A306,"FL/AZ","FL"),0)</f>
        <v>0</v>
      </c>
      <c r="D306" s="129">
        <v>2.25</v>
      </c>
      <c r="E306" s="2">
        <f t="shared" si="58"/>
        <v>0</v>
      </c>
      <c r="F306" s="2"/>
      <c r="G306" s="2">
        <f t="shared" si="60"/>
        <v>0</v>
      </c>
      <c r="H306" s="2"/>
      <c r="J306" s="330">
        <f>C306-IFERROR(VLOOKUP(A306,'[1]FL DL&amp;OH FG'!$A:$K,3,0),0)</f>
        <v>0</v>
      </c>
      <c r="K306" s="326">
        <f t="shared" si="59"/>
        <v>0</v>
      </c>
    </row>
    <row r="307" spans="1:11">
      <c r="A307" s="4" t="s">
        <v>2229</v>
      </c>
      <c r="B307" t="s">
        <v>1685</v>
      </c>
      <c r="C307" s="228">
        <f>IFERROR(GETPIVOTDATA("Sum of qty",PT!$A$17,"product",A307,"FL/AZ","FL"),0)</f>
        <v>0</v>
      </c>
      <c r="D307" s="129">
        <v>3</v>
      </c>
      <c r="E307" s="2">
        <f t="shared" si="58"/>
        <v>0</v>
      </c>
      <c r="F307" s="2"/>
      <c r="G307" s="2">
        <f t="shared" si="60"/>
        <v>0</v>
      </c>
      <c r="H307" s="2"/>
      <c r="J307" s="330">
        <f>C307-IFERROR(VLOOKUP(A307,'[1]FL DL&amp;OH FG'!$A:$K,3,0),0)</f>
        <v>0</v>
      </c>
      <c r="K307" s="326">
        <f t="shared" si="59"/>
        <v>0</v>
      </c>
    </row>
    <row r="308" spans="1:11">
      <c r="A308" s="244" t="s">
        <v>2230</v>
      </c>
      <c r="B308" t="s">
        <v>1686</v>
      </c>
      <c r="C308" s="228">
        <f>IFERROR(GETPIVOTDATA("Sum of qty",PT!$A$17,"product",A308,"FL/AZ","FL"),0)</f>
        <v>0</v>
      </c>
      <c r="D308" s="129">
        <v>1.5</v>
      </c>
      <c r="E308" s="2">
        <f t="shared" ref="E308" si="61">C308*D308</f>
        <v>0</v>
      </c>
      <c r="F308" s="2"/>
      <c r="G308" s="2">
        <f t="shared" si="60"/>
        <v>0</v>
      </c>
      <c r="H308" s="2"/>
      <c r="J308" s="330">
        <f>C308-IFERROR(VLOOKUP(A308,'[1]FL DL&amp;OH FG'!$A:$K,3,0),0)</f>
        <v>0</v>
      </c>
      <c r="K308" s="326">
        <f t="shared" si="59"/>
        <v>0</v>
      </c>
    </row>
    <row r="309" spans="1:11">
      <c r="A309" s="4" t="s">
        <v>2231</v>
      </c>
      <c r="B309" t="s">
        <v>1688</v>
      </c>
      <c r="C309" s="228">
        <f>IFERROR(GETPIVOTDATA("Sum of qty",PT!$A$17,"product",A309,"FL/AZ","FL"),0)</f>
        <v>0</v>
      </c>
      <c r="D309" s="129">
        <v>1.5</v>
      </c>
      <c r="E309" s="2">
        <f>C309*D309</f>
        <v>0</v>
      </c>
      <c r="F309" s="2"/>
      <c r="G309" s="2">
        <f>E309*0.16</f>
        <v>0</v>
      </c>
      <c r="H309" s="2"/>
      <c r="J309" s="330">
        <f>C309-IFERROR(VLOOKUP(A309,'[1]FL DL&amp;OH FG'!$A:$K,3,0),0)</f>
        <v>0</v>
      </c>
      <c r="K309" s="326">
        <f t="shared" si="59"/>
        <v>0</v>
      </c>
    </row>
    <row r="310" spans="1:11">
      <c r="A310" s="4" t="s">
        <v>2232</v>
      </c>
      <c r="B310" t="s">
        <v>2233</v>
      </c>
      <c r="C310" s="228">
        <f>IFERROR(GETPIVOTDATA("Sum of qty",PT!$A$17,"product",A310,"FL/AZ","FL"),0)</f>
        <v>0</v>
      </c>
      <c r="D310" s="129">
        <v>1.5</v>
      </c>
      <c r="E310" s="2">
        <f t="shared" si="58"/>
        <v>0</v>
      </c>
      <c r="F310" s="2"/>
      <c r="G310" s="2">
        <f t="shared" si="60"/>
        <v>0</v>
      </c>
      <c r="H310" s="2"/>
      <c r="J310" s="330">
        <f>C310-IFERROR(VLOOKUP(A310,'[1]FL DL&amp;OH FG'!$A:$K,3,0),0)</f>
        <v>0</v>
      </c>
      <c r="K310" s="326">
        <f t="shared" si="59"/>
        <v>0</v>
      </c>
    </row>
    <row r="311" spans="1:11">
      <c r="A311" s="4" t="s">
        <v>2234</v>
      </c>
      <c r="B311" t="s">
        <v>2235</v>
      </c>
      <c r="C311" s="228">
        <f>IFERROR(GETPIVOTDATA("Sum of qty",PT!$A$17,"product",A311,"FL/AZ","FL"),0)</f>
        <v>0</v>
      </c>
      <c r="D311" s="129">
        <v>3.125</v>
      </c>
      <c r="E311" s="2">
        <f t="shared" si="58"/>
        <v>0</v>
      </c>
      <c r="F311" s="2"/>
      <c r="G311" s="2">
        <f t="shared" si="60"/>
        <v>0</v>
      </c>
      <c r="H311" s="2"/>
      <c r="J311" s="330">
        <f>C311-IFERROR(VLOOKUP(A311,'[1]FL DL&amp;OH FG'!$A:$K,3,0),0)</f>
        <v>0</v>
      </c>
      <c r="K311" s="326">
        <f t="shared" si="59"/>
        <v>0</v>
      </c>
    </row>
    <row r="312" spans="1:11">
      <c r="A312" s="4" t="s">
        <v>2236</v>
      </c>
      <c r="B312" s="157" t="s">
        <v>1690</v>
      </c>
      <c r="C312" s="228">
        <f>IFERROR(GETPIVOTDATA("Sum of qty",PT!$A$17,"product",A312,"FL/AZ","FL"),0)</f>
        <v>0</v>
      </c>
      <c r="D312" s="129">
        <v>2.25</v>
      </c>
      <c r="E312" s="2">
        <f t="shared" si="58"/>
        <v>0</v>
      </c>
      <c r="F312" s="2"/>
      <c r="G312" s="2">
        <f t="shared" si="60"/>
        <v>0</v>
      </c>
      <c r="H312" s="2"/>
      <c r="J312" s="330">
        <f>C312-IFERROR(VLOOKUP(A312,'[1]FL DL&amp;OH FG'!$A:$K,3,0),0)</f>
        <v>0</v>
      </c>
      <c r="K312" s="326">
        <f t="shared" si="59"/>
        <v>0</v>
      </c>
    </row>
    <row r="313" spans="1:11">
      <c r="A313" s="4" t="s">
        <v>2237</v>
      </c>
      <c r="B313" s="157" t="s">
        <v>1693</v>
      </c>
      <c r="C313" s="228">
        <f>IFERROR(GETPIVOTDATA("Sum of qty",PT!$A$17,"product",A313,"FL/AZ","FL"),0)</f>
        <v>0</v>
      </c>
      <c r="D313" s="129">
        <f>12*12/128</f>
        <v>1.125</v>
      </c>
      <c r="E313" s="2">
        <f>C313*D313</f>
        <v>0</v>
      </c>
      <c r="F313" s="2"/>
      <c r="G313" s="2">
        <f>E313*0.16</f>
        <v>0</v>
      </c>
      <c r="H313" s="2"/>
      <c r="J313" s="330">
        <f>C313-IFERROR(VLOOKUP(A313,'[1]FL DL&amp;OH FG'!$A:$K,3,0),0)</f>
        <v>0</v>
      </c>
      <c r="K313" s="326">
        <f t="shared" si="59"/>
        <v>0</v>
      </c>
    </row>
    <row r="314" spans="1:11">
      <c r="A314" s="4" t="s">
        <v>2238</v>
      </c>
      <c r="B314" s="157" t="s">
        <v>2239</v>
      </c>
      <c r="C314" s="228">
        <f>IFERROR(GETPIVOTDATA("Sum of qty",PT!$A$17,"product",A314,"FL/AZ","FL"),0)</f>
        <v>0</v>
      </c>
      <c r="D314" s="129">
        <f>8*12/128</f>
        <v>0.75</v>
      </c>
      <c r="E314" s="2">
        <f t="shared" si="58"/>
        <v>0</v>
      </c>
      <c r="F314" s="2"/>
      <c r="G314" s="2"/>
      <c r="H314" s="2"/>
      <c r="J314" s="330">
        <f>C314-IFERROR(VLOOKUP(A314,'[1]FL DL&amp;OH FG'!$A:$K,3,0),0)</f>
        <v>0</v>
      </c>
      <c r="K314" s="326">
        <f t="shared" si="59"/>
        <v>0</v>
      </c>
    </row>
    <row r="315" spans="1:11">
      <c r="A315" s="4" t="s">
        <v>2240</v>
      </c>
      <c r="B315" s="157" t="s">
        <v>2241</v>
      </c>
      <c r="C315" s="228">
        <f>IFERROR(GETPIVOTDATA("Sum of qty",PT!$A$17,"product",A315,"FL/AZ","FL"),0)</f>
        <v>0</v>
      </c>
      <c r="D315" s="129">
        <f>8*12/128</f>
        <v>0.75</v>
      </c>
      <c r="E315" s="2">
        <f t="shared" si="58"/>
        <v>0</v>
      </c>
      <c r="F315" s="2"/>
      <c r="G315" s="2"/>
      <c r="H315" s="2"/>
      <c r="J315" s="330">
        <f>C315-IFERROR(VLOOKUP(A315,'[1]FL DL&amp;OH FG'!$A:$K,3,0),0)</f>
        <v>0</v>
      </c>
      <c r="K315" s="326">
        <f t="shared" si="59"/>
        <v>0</v>
      </c>
    </row>
    <row r="316" spans="1:11">
      <c r="A316" s="4" t="s">
        <v>2242</v>
      </c>
      <c r="B316" t="s">
        <v>1695</v>
      </c>
      <c r="C316" s="228">
        <f>IFERROR(GETPIVOTDATA("Sum of qty",PT!$A$17,"product",A316,"FL/AZ","FL"),0)</f>
        <v>0</v>
      </c>
      <c r="D316" s="129">
        <v>3</v>
      </c>
      <c r="E316" s="2">
        <f t="shared" si="58"/>
        <v>0</v>
      </c>
      <c r="F316" s="2"/>
      <c r="G316" s="2">
        <f t="shared" si="60"/>
        <v>0</v>
      </c>
      <c r="H316" s="2"/>
      <c r="J316" s="330">
        <f>C316-IFERROR(VLOOKUP(A316,'[1]FL DL&amp;OH FG'!$A:$K,3,0),0)</f>
        <v>0</v>
      </c>
      <c r="K316" s="326">
        <f t="shared" si="59"/>
        <v>0</v>
      </c>
    </row>
    <row r="317" spans="1:11">
      <c r="A317" s="4" t="s">
        <v>2243</v>
      </c>
      <c r="B317" t="s">
        <v>699</v>
      </c>
      <c r="C317" s="228">
        <f>IFERROR(GETPIVOTDATA("Sum of qty",PT!$A$17,"product",A317,"FL/AZ","FL"),0)</f>
        <v>1740</v>
      </c>
      <c r="D317" s="129">
        <v>4</v>
      </c>
      <c r="E317" s="2">
        <f t="shared" si="58"/>
        <v>6960</v>
      </c>
      <c r="F317" s="2"/>
      <c r="G317" s="2">
        <f t="shared" si="60"/>
        <v>1113.6000000000001</v>
      </c>
      <c r="H317" s="2"/>
      <c r="J317" s="330">
        <f>C317-IFERROR(VLOOKUP(A317,'[1]FL DL&amp;OH FG'!$A:$K,3,0),0)</f>
        <v>-15</v>
      </c>
      <c r="K317" s="326">
        <f t="shared" si="59"/>
        <v>-60</v>
      </c>
    </row>
    <row r="318" spans="1:11">
      <c r="A318" s="4" t="s">
        <v>2244</v>
      </c>
      <c r="B318" t="s">
        <v>2245</v>
      </c>
      <c r="C318" s="228">
        <f>IFERROR(GETPIVOTDATA("Sum of qty",PT!$A$17,"product",A318,"FL/AZ","FL"),0)</f>
        <v>0</v>
      </c>
      <c r="D318" s="129">
        <v>4</v>
      </c>
      <c r="E318" s="2">
        <f t="shared" si="58"/>
        <v>0</v>
      </c>
      <c r="F318" s="2">
        <f>E318</f>
        <v>0</v>
      </c>
      <c r="G318" s="2">
        <f t="shared" si="60"/>
        <v>0</v>
      </c>
      <c r="H318" s="2"/>
      <c r="J318" s="330">
        <f>C318-IFERROR(VLOOKUP(A318,'[1]FL DL&amp;OH FG'!$A:$K,3,0),0)</f>
        <v>0</v>
      </c>
      <c r="K318" s="326">
        <f t="shared" si="59"/>
        <v>0</v>
      </c>
    </row>
    <row r="319" spans="1:11">
      <c r="A319" s="163" t="s">
        <v>2246</v>
      </c>
      <c r="B319" t="s">
        <v>1697</v>
      </c>
      <c r="C319" s="228">
        <f>IFERROR(GETPIVOTDATA("Sum of qty",PT!$A$17,"product",A319,"FL/AZ","FL"),0)</f>
        <v>0</v>
      </c>
      <c r="D319" s="129">
        <v>3</v>
      </c>
      <c r="E319" s="2">
        <f t="shared" ref="E319" si="62">C319*D319</f>
        <v>0</v>
      </c>
      <c r="F319" s="2"/>
      <c r="G319" s="2">
        <f t="shared" ref="G319" si="63">E319*0.16</f>
        <v>0</v>
      </c>
      <c r="H319" s="2"/>
      <c r="J319" s="330">
        <f>C319-IFERROR(VLOOKUP(A319,'[1]FL DL&amp;OH FG'!$A:$K,3,0),0)</f>
        <v>0</v>
      </c>
      <c r="K319" s="326">
        <f t="shared" si="59"/>
        <v>0</v>
      </c>
    </row>
    <row r="320" spans="1:11">
      <c r="A320" s="4" t="s">
        <v>2247</v>
      </c>
      <c r="B320" t="s">
        <v>1698</v>
      </c>
      <c r="C320" s="228">
        <f>IFERROR(GETPIVOTDATA("Sum of qty",PT!$A$17,"product",A320,"FL/AZ","FL"),0)</f>
        <v>0</v>
      </c>
      <c r="D320" s="129">
        <v>3</v>
      </c>
      <c r="E320" s="2">
        <f t="shared" si="58"/>
        <v>0</v>
      </c>
      <c r="F320" s="2">
        <f>E320</f>
        <v>0</v>
      </c>
      <c r="G320" s="2">
        <f t="shared" si="60"/>
        <v>0</v>
      </c>
      <c r="H320" s="2"/>
      <c r="J320" s="330">
        <f>C320-IFERROR(VLOOKUP(A320,'[1]FL DL&amp;OH FG'!$A:$K,3,0),0)</f>
        <v>0</v>
      </c>
      <c r="K320" s="326">
        <f t="shared" si="59"/>
        <v>0</v>
      </c>
    </row>
    <row r="321" spans="1:12" ht="13.5" customHeight="1">
      <c r="A321" s="4" t="s">
        <v>2248</v>
      </c>
      <c r="B321" t="s">
        <v>1699</v>
      </c>
      <c r="C321" s="228">
        <f>IFERROR(GETPIVOTDATA("Sum of qty",PT!$A$17,"product",A321,"FL/AZ","FL"),0)</f>
        <v>0</v>
      </c>
      <c r="D321" s="129">
        <v>4</v>
      </c>
      <c r="E321" s="2">
        <f t="shared" si="58"/>
        <v>0</v>
      </c>
      <c r="F321" s="2"/>
      <c r="G321" s="2">
        <f>E321*0.7</f>
        <v>0</v>
      </c>
      <c r="H321" s="2"/>
      <c r="J321" s="330">
        <f>C321-IFERROR(VLOOKUP(A321,'[1]FL DL&amp;OH FG'!$A:$K,3,0),0)</f>
        <v>0</v>
      </c>
      <c r="K321" s="326">
        <f t="shared" si="59"/>
        <v>0</v>
      </c>
    </row>
    <row r="322" spans="1:12">
      <c r="A322" s="4" t="s">
        <v>2249</v>
      </c>
      <c r="B322" t="s">
        <v>1699</v>
      </c>
      <c r="C322" s="228">
        <f>IFERROR(GETPIVOTDATA("Sum of qty",PT!$A$17,"product",A322,"FL/AZ","FL"),0)</f>
        <v>0</v>
      </c>
      <c r="D322" s="129">
        <v>4</v>
      </c>
      <c r="E322" s="2">
        <f t="shared" si="58"/>
        <v>0</v>
      </c>
      <c r="F322" s="2"/>
      <c r="G322" s="2">
        <f>E322*0.527</f>
        <v>0</v>
      </c>
      <c r="H322" s="2"/>
      <c r="J322" s="330">
        <f>C322-IFERROR(VLOOKUP(A322,'[1]FL DL&amp;OH FG'!$A:$K,3,0),0)</f>
        <v>0</v>
      </c>
      <c r="K322" s="326">
        <f t="shared" si="59"/>
        <v>0</v>
      </c>
    </row>
    <row r="323" spans="1:12">
      <c r="A323" s="4" t="s">
        <v>2250</v>
      </c>
      <c r="B323" t="s">
        <v>2251</v>
      </c>
      <c r="C323" s="228">
        <f>IFERROR(GETPIVOTDATA("Sum of qty",PT!$A$17,"product",A323,"FL/AZ","FL"),0)</f>
        <v>6507</v>
      </c>
      <c r="D323" s="129">
        <v>4</v>
      </c>
      <c r="E323" s="2">
        <f t="shared" si="58"/>
        <v>26028</v>
      </c>
      <c r="F323" s="2">
        <f t="shared" ref="F323:F359" si="64">E323</f>
        <v>26028</v>
      </c>
      <c r="G323" s="2">
        <f>E323*0.7</f>
        <v>18219.599999999999</v>
      </c>
      <c r="H323" s="2"/>
      <c r="J323" s="330">
        <f>C323-IFERROR(VLOOKUP(A323,'[1]FL DL&amp;OH FG'!$A:$K,3,0),0)</f>
        <v>-2832</v>
      </c>
      <c r="K323" s="326">
        <f t="shared" si="59"/>
        <v>-11328</v>
      </c>
    </row>
    <row r="324" spans="1:12">
      <c r="A324" s="4" t="s">
        <v>2252</v>
      </c>
      <c r="B324" t="s">
        <v>1118</v>
      </c>
      <c r="C324" s="228">
        <f>IFERROR(GETPIVOTDATA("Sum of qty",PT!$A$17,"product",A324,"FL/AZ","FL"),0)</f>
        <v>901</v>
      </c>
      <c r="D324" s="129">
        <v>3</v>
      </c>
      <c r="E324" s="2">
        <f t="shared" si="58"/>
        <v>2703</v>
      </c>
      <c r="F324" s="2">
        <f t="shared" si="64"/>
        <v>2703</v>
      </c>
      <c r="G324" s="2">
        <f>0.2*E324</f>
        <v>540.6</v>
      </c>
      <c r="H324" s="2"/>
      <c r="J324" s="330">
        <f>C324-IFERROR(VLOOKUP(A324,'[1]FL DL&amp;OH FG'!$A:$K,3,0),0)</f>
        <v>-1075</v>
      </c>
      <c r="K324" s="326">
        <f t="shared" si="59"/>
        <v>-3225</v>
      </c>
    </row>
    <row r="325" spans="1:12">
      <c r="A325" s="244" t="s">
        <v>2253</v>
      </c>
      <c r="B325" t="s">
        <v>1701</v>
      </c>
      <c r="C325" s="228">
        <f>IFERROR(GETPIVOTDATA("Sum of qty",PT!$A$17,"product",A325,"FL/AZ","FL"),0)</f>
        <v>0</v>
      </c>
      <c r="D325" s="129">
        <v>4</v>
      </c>
      <c r="E325" s="2">
        <f t="shared" ref="E325" si="65">C325*D325</f>
        <v>0</v>
      </c>
      <c r="F325" s="2">
        <f t="shared" ref="F325" si="66">E325</f>
        <v>0</v>
      </c>
      <c r="G325" s="2">
        <f>0.2*E325</f>
        <v>0</v>
      </c>
      <c r="H325" s="2"/>
      <c r="J325" s="330">
        <f>C325-IFERROR(VLOOKUP(A325,'[1]FL DL&amp;OH FG'!$A:$K,3,0),0)</f>
        <v>0</v>
      </c>
      <c r="K325" s="326">
        <f t="shared" si="59"/>
        <v>0</v>
      </c>
    </row>
    <row r="326" spans="1:12">
      <c r="A326" s="4" t="s">
        <v>1764</v>
      </c>
      <c r="B326" t="s">
        <v>1765</v>
      </c>
      <c r="C326" s="228">
        <f>IFERROR(GETPIVOTDATA("Sum of qty",PT!$A$17,"product",A326,"FL/AZ","FL"),0)</f>
        <v>0</v>
      </c>
      <c r="D326" s="129">
        <v>4</v>
      </c>
      <c r="E326" s="2">
        <f t="shared" si="58"/>
        <v>0</v>
      </c>
      <c r="F326" s="2">
        <f t="shared" si="64"/>
        <v>0</v>
      </c>
      <c r="G326" s="2">
        <f>E326*0.5211</f>
        <v>0</v>
      </c>
      <c r="H326" s="2"/>
      <c r="J326" s="330">
        <f>C326-IFERROR(VLOOKUP(A326,'[1]FL DL&amp;OH FG'!$A:$K,3,0),0)</f>
        <v>0</v>
      </c>
      <c r="K326" s="326">
        <f t="shared" si="59"/>
        <v>0</v>
      </c>
    </row>
    <row r="327" spans="1:12">
      <c r="A327" s="4" t="s">
        <v>2254</v>
      </c>
      <c r="B327" t="s">
        <v>2255</v>
      </c>
      <c r="C327" s="228">
        <f>IFERROR(GETPIVOTDATA("Sum of qty",PT!$A$17,"product",A327,"FL/AZ","FL"),0)</f>
        <v>0</v>
      </c>
      <c r="D327" s="129">
        <v>3</v>
      </c>
      <c r="E327" s="2">
        <f t="shared" si="58"/>
        <v>0</v>
      </c>
      <c r="F327" s="2">
        <f t="shared" si="64"/>
        <v>0</v>
      </c>
      <c r="G327" s="50">
        <f>E327*0.5211</f>
        <v>0</v>
      </c>
      <c r="H327" s="2"/>
      <c r="J327" s="330">
        <f>C327-IFERROR(VLOOKUP(A327,'[1]FL DL&amp;OH FG'!$A:$K,3,0),0)</f>
        <v>0</v>
      </c>
      <c r="K327" s="326">
        <f t="shared" si="59"/>
        <v>0</v>
      </c>
    </row>
    <row r="328" spans="1:12" s="86" customFormat="1" ht="14.25">
      <c r="A328" s="159" t="s">
        <v>2256</v>
      </c>
      <c r="B328" s="157" t="s">
        <v>2257</v>
      </c>
      <c r="C328" s="228">
        <f>IFERROR(GETPIVOTDATA("Sum of qty",PT!$A$17,"product",A328,"FL/AZ","FL"),0)</f>
        <v>0</v>
      </c>
      <c r="D328" s="129">
        <v>3</v>
      </c>
      <c r="E328" s="89">
        <f t="shared" si="58"/>
        <v>0</v>
      </c>
      <c r="F328" s="89">
        <f t="shared" si="64"/>
        <v>0</v>
      </c>
      <c r="G328" s="89">
        <f>E328*0.5211</f>
        <v>0</v>
      </c>
      <c r="H328" s="87"/>
      <c r="J328" s="330">
        <f>C328-IFERROR(VLOOKUP(A328,'[1]FL DL&amp;OH FG'!$A:$K,3,0),0)</f>
        <v>0</v>
      </c>
      <c r="K328" s="326">
        <f t="shared" si="59"/>
        <v>0</v>
      </c>
      <c r="L328" s="221"/>
    </row>
    <row r="329" spans="1:12" s="86" customFormat="1" ht="14.25">
      <c r="A329" s="159" t="s">
        <v>2258</v>
      </c>
      <c r="B329" s="157" t="s">
        <v>1704</v>
      </c>
      <c r="C329" s="228">
        <f>IFERROR(GETPIVOTDATA("Sum of qty",PT!$A$17,"product",A329,"FL/AZ","FL"),0)</f>
        <v>0</v>
      </c>
      <c r="D329" s="129">
        <v>3</v>
      </c>
      <c r="E329" s="89">
        <f t="shared" si="58"/>
        <v>0</v>
      </c>
      <c r="F329" s="89">
        <f t="shared" si="64"/>
        <v>0</v>
      </c>
      <c r="G329" s="89">
        <f>0.7*E329</f>
        <v>0</v>
      </c>
      <c r="H329" s="87"/>
      <c r="J329" s="330">
        <f>C329-IFERROR(VLOOKUP(A329,'[1]FL DL&amp;OH FG'!$A:$K,3,0),0)</f>
        <v>0</v>
      </c>
      <c r="K329" s="326">
        <f t="shared" si="59"/>
        <v>0</v>
      </c>
      <c r="L329" s="221"/>
    </row>
    <row r="330" spans="1:12" s="86" customFormat="1" ht="14.25">
      <c r="A330" s="159" t="s">
        <v>2259</v>
      </c>
      <c r="B330" s="157" t="s">
        <v>1705</v>
      </c>
      <c r="C330" s="228">
        <f>IFERROR(GETPIVOTDATA("Sum of qty",PT!$A$17,"product",A330,"FL/AZ","FL"),0)</f>
        <v>0</v>
      </c>
      <c r="D330" s="129">
        <v>3.25</v>
      </c>
      <c r="E330" s="89">
        <f t="shared" si="58"/>
        <v>0</v>
      </c>
      <c r="F330" s="89">
        <f t="shared" si="64"/>
        <v>0</v>
      </c>
      <c r="G330" s="89"/>
      <c r="H330" s="87"/>
      <c r="J330" s="330">
        <f>C330-IFERROR(VLOOKUP(A330,'[1]FL DL&amp;OH FG'!$A:$K,3,0),0)</f>
        <v>0</v>
      </c>
      <c r="K330" s="326">
        <f t="shared" si="59"/>
        <v>0</v>
      </c>
      <c r="L330" s="221"/>
    </row>
    <row r="331" spans="1:12" s="86" customFormat="1" ht="14.25">
      <c r="A331" s="159" t="s">
        <v>2260</v>
      </c>
      <c r="B331" s="157" t="s">
        <v>1706</v>
      </c>
      <c r="C331" s="228">
        <f>IFERROR(GETPIVOTDATA("Sum of qty",PT!$A$17,"product",A331,"FL/AZ","FL"),0)</f>
        <v>0</v>
      </c>
      <c r="D331" s="129">
        <v>3</v>
      </c>
      <c r="E331" s="89">
        <f t="shared" si="58"/>
        <v>0</v>
      </c>
      <c r="F331" s="89">
        <f t="shared" si="64"/>
        <v>0</v>
      </c>
      <c r="G331" s="89"/>
      <c r="H331" s="87"/>
      <c r="J331" s="330">
        <f>C331-IFERROR(VLOOKUP(A331,'[1]FL DL&amp;OH FG'!$A:$K,3,0),0)</f>
        <v>0</v>
      </c>
      <c r="K331" s="326">
        <f t="shared" si="59"/>
        <v>0</v>
      </c>
      <c r="L331" s="221"/>
    </row>
    <row r="332" spans="1:12">
      <c r="A332" s="4" t="s">
        <v>2261</v>
      </c>
      <c r="B332" t="s">
        <v>2255</v>
      </c>
      <c r="C332" s="228">
        <f>IFERROR(GETPIVOTDATA("Sum of qty",PT!$A$17,"product",A332,"FL/AZ","FL"),0)</f>
        <v>0</v>
      </c>
      <c r="D332" s="129">
        <v>3</v>
      </c>
      <c r="E332" s="2">
        <f t="shared" si="58"/>
        <v>0</v>
      </c>
      <c r="F332" s="2">
        <f t="shared" si="64"/>
        <v>0</v>
      </c>
      <c r="G332" s="2">
        <f>E332*0.5211</f>
        <v>0</v>
      </c>
      <c r="H332" s="2"/>
      <c r="J332" s="330">
        <f>C332-IFERROR(VLOOKUP(A332,'[1]FL DL&amp;OH FG'!$A:$K,3,0),0)</f>
        <v>0</v>
      </c>
      <c r="K332" s="326">
        <f t="shared" si="59"/>
        <v>0</v>
      </c>
    </row>
    <row r="333" spans="1:12">
      <c r="A333" s="4" t="s">
        <v>2262</v>
      </c>
      <c r="B333" t="s">
        <v>2263</v>
      </c>
      <c r="C333" s="228">
        <f>IFERROR(GETPIVOTDATA("Sum of qty",PT!$A$17,"product",A333,"FL/AZ","FL"),0)</f>
        <v>0</v>
      </c>
      <c r="D333" s="129">
        <v>3</v>
      </c>
      <c r="E333" s="2">
        <f t="shared" si="58"/>
        <v>0</v>
      </c>
      <c r="F333" s="2">
        <f t="shared" si="64"/>
        <v>0</v>
      </c>
      <c r="G333" s="2">
        <f>E333*0.412</f>
        <v>0</v>
      </c>
      <c r="H333" s="2"/>
      <c r="J333" s="330">
        <f>C333-IFERROR(VLOOKUP(A333,'[1]FL DL&amp;OH FG'!$A:$K,3,0),0)</f>
        <v>0</v>
      </c>
      <c r="K333" s="326">
        <f t="shared" si="59"/>
        <v>0</v>
      </c>
    </row>
    <row r="334" spans="1:12">
      <c r="A334" s="244" t="s">
        <v>2264</v>
      </c>
      <c r="B334" t="s">
        <v>1709</v>
      </c>
      <c r="C334" s="228">
        <f>IFERROR(GETPIVOTDATA("Sum of qty",PT!$A$17,"product",A334,"FL/AZ","FL"),0)</f>
        <v>0</v>
      </c>
      <c r="D334" s="129">
        <v>3</v>
      </c>
      <c r="E334" s="2">
        <f>C334*D334</f>
        <v>0</v>
      </c>
      <c r="F334" s="2">
        <f>E334</f>
        <v>0</v>
      </c>
      <c r="G334" s="2">
        <f>E334*0.7</f>
        <v>0</v>
      </c>
      <c r="H334" s="2"/>
      <c r="J334" s="330">
        <f>C334-IFERROR(VLOOKUP(A334,'[1]FL DL&amp;OH FG'!$A:$K,3,0),0)</f>
        <v>0</v>
      </c>
      <c r="K334" s="326">
        <f t="shared" ref="K334" si="67">J334*D334</f>
        <v>0</v>
      </c>
    </row>
    <row r="335" spans="1:12">
      <c r="A335" s="4" t="s">
        <v>2265</v>
      </c>
      <c r="B335" t="s">
        <v>1710</v>
      </c>
      <c r="C335" s="228">
        <f>IFERROR(GETPIVOTDATA("Sum of qty",PT!$A$17,"product",A335,"FL/AZ","FL"),0)</f>
        <v>0</v>
      </c>
      <c r="D335" s="129">
        <v>3</v>
      </c>
      <c r="E335" s="2">
        <f>C335*D335</f>
        <v>0</v>
      </c>
      <c r="F335" s="2">
        <f>E335</f>
        <v>0</v>
      </c>
      <c r="G335" s="2">
        <f>E335*0.7</f>
        <v>0</v>
      </c>
      <c r="H335" s="2"/>
      <c r="J335" s="330">
        <f>C335-IFERROR(VLOOKUP(A335,'[1]FL DL&amp;OH FG'!$A:$K,3,0),0)</f>
        <v>0</v>
      </c>
      <c r="K335" s="326">
        <f t="shared" si="59"/>
        <v>0</v>
      </c>
    </row>
    <row r="336" spans="1:12">
      <c r="A336" s="4" t="s">
        <v>2266</v>
      </c>
      <c r="B336" t="s">
        <v>1711</v>
      </c>
      <c r="C336" s="228">
        <f>IFERROR(GETPIVOTDATA("Sum of qty",PT!$A$17,"product",A336,"FL/AZ","FL"),0)</f>
        <v>0</v>
      </c>
      <c r="D336" s="129">
        <v>2.88</v>
      </c>
      <c r="E336" s="2">
        <f>C336*D336</f>
        <v>0</v>
      </c>
      <c r="F336" s="2">
        <f>E336</f>
        <v>0</v>
      </c>
      <c r="G336" s="2">
        <f>E336*0.7</f>
        <v>0</v>
      </c>
      <c r="H336" s="2"/>
      <c r="J336" s="330">
        <f>C336-IFERROR(VLOOKUP(A336,'[1]FL DL&amp;OH FG'!$A:$K,3,0),0)</f>
        <v>0</v>
      </c>
      <c r="K336" s="326">
        <f t="shared" si="59"/>
        <v>0</v>
      </c>
    </row>
    <row r="337" spans="1:11">
      <c r="A337" s="244" t="s">
        <v>2267</v>
      </c>
      <c r="B337" t="s">
        <v>237</v>
      </c>
      <c r="C337" s="228">
        <f>IFERROR(GETPIVOTDATA("Sum of qty",PT!$A$17,"product",A337,"FL/AZ","FL"),0)</f>
        <v>10124</v>
      </c>
      <c r="D337" s="129">
        <v>3</v>
      </c>
      <c r="E337" s="2">
        <f>C337*D337</f>
        <v>30372</v>
      </c>
      <c r="F337" s="2">
        <f>E337</f>
        <v>30372</v>
      </c>
      <c r="G337" s="2">
        <f>E337*0.7</f>
        <v>21260.399999999998</v>
      </c>
      <c r="H337" s="2"/>
      <c r="J337" s="330">
        <f>C337-IFERROR(VLOOKUP(A337,'[1]FL DL&amp;OH FG'!$A:$K,3,0),0)</f>
        <v>5038</v>
      </c>
      <c r="K337" s="326">
        <f t="shared" ref="K337" si="68">J337*D337</f>
        <v>15114</v>
      </c>
    </row>
    <row r="338" spans="1:11">
      <c r="A338" s="244" t="s">
        <v>2268</v>
      </c>
      <c r="B338" t="s">
        <v>2269</v>
      </c>
      <c r="C338" s="228">
        <f>IFERROR(GETPIVOTDATA("Sum of qty",PT!$A$17,"product",A338,"FL/AZ","FL"),0)</f>
        <v>0</v>
      </c>
      <c r="D338" s="129">
        <f>12*12/128</f>
        <v>1.125</v>
      </c>
      <c r="E338" s="2">
        <f>C338*D338</f>
        <v>0</v>
      </c>
      <c r="F338" s="2">
        <f>E338</f>
        <v>0</v>
      </c>
      <c r="G338" s="2">
        <f>E338*0.7</f>
        <v>0</v>
      </c>
      <c r="H338" s="2"/>
      <c r="J338" s="330">
        <f>C338-IFERROR(VLOOKUP(A338,'[1]FL DL&amp;OH FG'!$A:$K,3,0),0)</f>
        <v>0</v>
      </c>
      <c r="K338" s="326">
        <f t="shared" si="59"/>
        <v>0</v>
      </c>
    </row>
    <row r="339" spans="1:11">
      <c r="A339" s="4" t="s">
        <v>2270</v>
      </c>
      <c r="B339" t="s">
        <v>2271</v>
      </c>
      <c r="C339" s="228">
        <f>IFERROR(GETPIVOTDATA("Sum of qty",PT!$A$17,"product",A339,"FL/AZ","FL"),0)</f>
        <v>0</v>
      </c>
      <c r="D339" s="129">
        <v>1</v>
      </c>
      <c r="E339" s="2">
        <f t="shared" si="58"/>
        <v>0</v>
      </c>
      <c r="F339" s="2">
        <f t="shared" si="64"/>
        <v>0</v>
      </c>
      <c r="G339" s="2">
        <f>E339*0.412</f>
        <v>0</v>
      </c>
      <c r="H339" s="2"/>
      <c r="J339" s="330">
        <f>C339-IFERROR(VLOOKUP(A339,'[1]FL DL&amp;OH FG'!$A:$K,3,0),0)</f>
        <v>0</v>
      </c>
      <c r="K339" s="326">
        <f t="shared" si="59"/>
        <v>0</v>
      </c>
    </row>
    <row r="340" spans="1:11" ht="13.5" customHeight="1">
      <c r="A340" s="4" t="s">
        <v>2272</v>
      </c>
      <c r="B340" t="s">
        <v>1731</v>
      </c>
      <c r="C340" s="228">
        <f>IFERROR(GETPIVOTDATA("Sum of qty",PT!$A$17,"product",A340,"FL/AZ","FL"),0)</f>
        <v>0</v>
      </c>
      <c r="D340" s="129">
        <v>4</v>
      </c>
      <c r="E340" s="2">
        <f t="shared" si="58"/>
        <v>0</v>
      </c>
      <c r="F340" s="2">
        <v>0</v>
      </c>
      <c r="G340" s="2">
        <f>E340*0.51</f>
        <v>0</v>
      </c>
      <c r="H340" s="2"/>
      <c r="J340" s="330">
        <f>C340-IFERROR(VLOOKUP(A340,'[1]FL DL&amp;OH FG'!$A:$K,3,0),0)</f>
        <v>0</v>
      </c>
      <c r="K340" s="326">
        <f t="shared" si="59"/>
        <v>0</v>
      </c>
    </row>
    <row r="341" spans="1:11">
      <c r="A341" s="4" t="s">
        <v>2273</v>
      </c>
      <c r="B341" t="s">
        <v>1714</v>
      </c>
      <c r="C341" s="228">
        <f>IFERROR(GETPIVOTDATA("Sum of qty",PT!$A$17,"product",A341,"FL/AZ","FL"),0)</f>
        <v>0</v>
      </c>
      <c r="D341" s="129">
        <v>4.3239999999999998</v>
      </c>
      <c r="E341" s="2">
        <f t="shared" si="58"/>
        <v>0</v>
      </c>
      <c r="F341" s="2">
        <f t="shared" si="64"/>
        <v>0</v>
      </c>
      <c r="G341" s="2">
        <f t="shared" ref="G341:G350" si="69">E341*0.5211</f>
        <v>0</v>
      </c>
      <c r="H341" s="2"/>
      <c r="J341" s="330">
        <f>C341-IFERROR(VLOOKUP(A341,'[1]FL DL&amp;OH FG'!$A:$K,3,0),0)</f>
        <v>0</v>
      </c>
      <c r="K341" s="326">
        <f t="shared" si="59"/>
        <v>0</v>
      </c>
    </row>
    <row r="342" spans="1:11">
      <c r="A342" s="4" t="s">
        <v>2274</v>
      </c>
      <c r="B342" t="s">
        <v>2275</v>
      </c>
      <c r="C342" s="228">
        <f>IFERROR(GETPIVOTDATA("Sum of qty",PT!$A$17,"product",A342,"FL/AZ","FL"),0)</f>
        <v>0</v>
      </c>
      <c r="D342" s="129">
        <v>4.3239999999999998</v>
      </c>
      <c r="E342" s="2">
        <f>C342*D342</f>
        <v>0</v>
      </c>
      <c r="F342" s="2">
        <f>E342</f>
        <v>0</v>
      </c>
      <c r="G342" s="2">
        <f t="shared" si="69"/>
        <v>0</v>
      </c>
      <c r="H342" s="2"/>
      <c r="J342" s="330">
        <f>C342-IFERROR(VLOOKUP(A342,'[1]FL DL&amp;OH FG'!$A:$K,3,0),0)</f>
        <v>0</v>
      </c>
      <c r="K342" s="326">
        <f t="shared" si="59"/>
        <v>0</v>
      </c>
    </row>
    <row r="343" spans="1:11">
      <c r="A343" s="163" t="s">
        <v>2276</v>
      </c>
      <c r="B343" t="s">
        <v>1718</v>
      </c>
      <c r="C343" s="228">
        <f>IFERROR(GETPIVOTDATA("Sum of qty",PT!$A$17,"product",A343,"FL/AZ","FL"),0)</f>
        <v>0</v>
      </c>
      <c r="D343" s="129">
        <v>4.3239999999999998</v>
      </c>
      <c r="E343" s="2">
        <f>C343*D343</f>
        <v>0</v>
      </c>
      <c r="F343" s="2"/>
      <c r="G343" s="2"/>
      <c r="H343" s="2"/>
      <c r="J343" s="330">
        <f>C343-IFERROR(VLOOKUP(A343,'[1]FL DL&amp;OH FG'!$A:$K,3,0),0)</f>
        <v>0</v>
      </c>
      <c r="K343" s="326">
        <f t="shared" si="59"/>
        <v>0</v>
      </c>
    </row>
    <row r="344" spans="1:11">
      <c r="A344" s="163" t="s">
        <v>2277</v>
      </c>
      <c r="B344" t="s">
        <v>1723</v>
      </c>
      <c r="C344" s="228">
        <f>IFERROR(GETPIVOTDATA("Sum of qty",PT!$A$17,"product",A344,"FL/AZ","FL"),0)</f>
        <v>0</v>
      </c>
      <c r="D344" s="129">
        <v>1.5</v>
      </c>
      <c r="E344" s="2">
        <f>C344*D344</f>
        <v>0</v>
      </c>
      <c r="F344" s="2"/>
      <c r="G344" s="2"/>
      <c r="H344" s="2"/>
      <c r="J344" s="330">
        <f>C344-IFERROR(VLOOKUP(A344,'[1]FL DL&amp;OH FG'!$A:$K,3,0),0)</f>
        <v>0</v>
      </c>
      <c r="K344" s="326">
        <f t="shared" si="59"/>
        <v>0</v>
      </c>
    </row>
    <row r="345" spans="1:11">
      <c r="A345" s="4" t="s">
        <v>2278</v>
      </c>
      <c r="B345" t="s">
        <v>2279</v>
      </c>
      <c r="C345" s="228">
        <f>IFERROR(GETPIVOTDATA("Sum of qty",PT!$A$17,"product",A345,"FL/AZ","FL"),0)</f>
        <v>0</v>
      </c>
      <c r="D345" s="129">
        <v>3</v>
      </c>
      <c r="E345" s="2">
        <f t="shared" si="58"/>
        <v>0</v>
      </c>
      <c r="F345" s="2">
        <f t="shared" si="64"/>
        <v>0</v>
      </c>
      <c r="G345" s="2">
        <f t="shared" si="69"/>
        <v>0</v>
      </c>
      <c r="H345" s="2"/>
      <c r="J345" s="330">
        <f>C345-IFERROR(VLOOKUP(A345,'[1]FL DL&amp;OH FG'!$A:$K,3,0),0)</f>
        <v>0</v>
      </c>
      <c r="K345" s="326">
        <f t="shared" si="59"/>
        <v>0</v>
      </c>
    </row>
    <row r="346" spans="1:11">
      <c r="A346" s="4" t="s">
        <v>2280</v>
      </c>
      <c r="B346" t="s">
        <v>2281</v>
      </c>
      <c r="C346" s="228">
        <f>IFERROR(GETPIVOTDATA("Sum of qty",PT!$A$17,"product",A346,"FL/AZ","FL"),0)</f>
        <v>0</v>
      </c>
      <c r="D346" s="129">
        <v>3</v>
      </c>
      <c r="E346" s="2">
        <f t="shared" si="58"/>
        <v>0</v>
      </c>
      <c r="F346" s="2">
        <f t="shared" si="64"/>
        <v>0</v>
      </c>
      <c r="G346" s="2">
        <f t="shared" si="69"/>
        <v>0</v>
      </c>
      <c r="H346" s="2"/>
      <c r="J346" s="330">
        <f>C346-IFERROR(VLOOKUP(A346,'[1]FL DL&amp;OH FG'!$A:$K,3,0),0)</f>
        <v>0</v>
      </c>
      <c r="K346" s="326">
        <f t="shared" si="59"/>
        <v>0</v>
      </c>
    </row>
    <row r="347" spans="1:11">
      <c r="A347" s="4" t="s">
        <v>2282</v>
      </c>
      <c r="B347" t="s">
        <v>2283</v>
      </c>
      <c r="C347" s="228">
        <f>IFERROR(GETPIVOTDATA("Sum of qty",PT!$A$17,"product",A347,"FL/AZ","FL"),0)</f>
        <v>1756</v>
      </c>
      <c r="D347" s="129">
        <v>3</v>
      </c>
      <c r="E347" s="2">
        <v>0</v>
      </c>
      <c r="F347" s="2">
        <v>0</v>
      </c>
      <c r="G347" s="2">
        <v>0</v>
      </c>
      <c r="H347" s="2"/>
      <c r="J347" s="330">
        <f>C347-IFERROR(VLOOKUP(A347,'[1]FL DL&amp;OH FG'!$A:$K,3,0),0)</f>
        <v>495</v>
      </c>
      <c r="K347" s="326">
        <f t="shared" si="59"/>
        <v>1485</v>
      </c>
    </row>
    <row r="348" spans="1:11">
      <c r="A348" s="4" t="s">
        <v>2284</v>
      </c>
      <c r="B348" t="s">
        <v>2285</v>
      </c>
      <c r="C348" s="228">
        <f>IFERROR(GETPIVOTDATA("Sum of qty",PT!$A$17,"product",A348,"FL/AZ","FL"),0)</f>
        <v>0</v>
      </c>
      <c r="D348" s="129">
        <v>2.88</v>
      </c>
      <c r="E348" s="2">
        <f t="shared" si="58"/>
        <v>0</v>
      </c>
      <c r="F348" s="2">
        <f t="shared" si="64"/>
        <v>0</v>
      </c>
      <c r="G348" s="2">
        <f t="shared" si="69"/>
        <v>0</v>
      </c>
      <c r="H348" s="2"/>
      <c r="J348" s="330">
        <f>C348-IFERROR(VLOOKUP(A348,'[1]FL DL&amp;OH FG'!$A:$K,3,0),0)</f>
        <v>0</v>
      </c>
      <c r="K348" s="326">
        <f t="shared" si="59"/>
        <v>0</v>
      </c>
    </row>
    <row r="349" spans="1:11">
      <c r="A349" s="4" t="s">
        <v>2286</v>
      </c>
      <c r="B349" t="s">
        <v>2287</v>
      </c>
      <c r="C349" s="228">
        <f>IFERROR(GETPIVOTDATA("Sum of qty",PT!$A$17,"product",A349,"FL/AZ","FL"),0)</f>
        <v>0</v>
      </c>
      <c r="D349" s="129">
        <v>3</v>
      </c>
      <c r="E349" s="2">
        <f t="shared" si="58"/>
        <v>0</v>
      </c>
      <c r="F349" s="2">
        <f t="shared" si="64"/>
        <v>0</v>
      </c>
      <c r="G349" s="2">
        <f t="shared" si="69"/>
        <v>0</v>
      </c>
      <c r="H349" s="2"/>
      <c r="J349" s="330">
        <f>C349-IFERROR(VLOOKUP(A349,'[1]FL DL&amp;OH FG'!$A:$K,3,0),0)</f>
        <v>0</v>
      </c>
      <c r="K349" s="326">
        <f t="shared" si="59"/>
        <v>0</v>
      </c>
    </row>
    <row r="350" spans="1:11">
      <c r="A350" s="4" t="s">
        <v>2288</v>
      </c>
      <c r="B350" t="s">
        <v>1722</v>
      </c>
      <c r="C350" s="228">
        <f>IFERROR(GETPIVOTDATA("Sum of qty",PT!$A$17,"product",A350,"FL/AZ","FL"),0)</f>
        <v>0</v>
      </c>
      <c r="D350" s="129">
        <v>3</v>
      </c>
      <c r="E350" s="2">
        <f t="shared" si="58"/>
        <v>0</v>
      </c>
      <c r="F350" s="2">
        <f t="shared" si="64"/>
        <v>0</v>
      </c>
      <c r="G350" s="2">
        <f t="shared" si="69"/>
        <v>0</v>
      </c>
      <c r="H350" s="2"/>
      <c r="J350" s="330">
        <f>C350-IFERROR(VLOOKUP(A350,'[1]FL DL&amp;OH FG'!$A:$K,3,0),0)</f>
        <v>0</v>
      </c>
      <c r="K350" s="326">
        <f t="shared" si="59"/>
        <v>0</v>
      </c>
    </row>
    <row r="351" spans="1:11">
      <c r="A351" s="4" t="s">
        <v>2289</v>
      </c>
      <c r="B351" t="s">
        <v>2290</v>
      </c>
      <c r="C351" s="228">
        <f>IFERROR(GETPIVOTDATA("Sum of qty",PT!$A$17,"product",A351,"FL/AZ","FL"),0)</f>
        <v>0</v>
      </c>
      <c r="D351" s="129">
        <v>3</v>
      </c>
      <c r="E351" s="2">
        <f t="shared" si="58"/>
        <v>0</v>
      </c>
      <c r="F351" s="2">
        <v>0</v>
      </c>
      <c r="G351" s="2">
        <v>0</v>
      </c>
      <c r="H351" s="2"/>
      <c r="J351" s="330">
        <f>C351-IFERROR(VLOOKUP(A351,'[1]FL DL&amp;OH FG'!$A:$K,3,0),0)</f>
        <v>0</v>
      </c>
      <c r="K351" s="326">
        <f t="shared" si="59"/>
        <v>0</v>
      </c>
    </row>
    <row r="352" spans="1:11">
      <c r="A352" s="163" t="s">
        <v>2291</v>
      </c>
      <c r="B352" t="s">
        <v>2292</v>
      </c>
      <c r="C352" s="228">
        <f>IFERROR(GETPIVOTDATA("Sum of qty",PT!$A$17,"product",A352,"FL/AZ","FL"),0)</f>
        <v>0</v>
      </c>
      <c r="D352" s="129">
        <v>3</v>
      </c>
      <c r="E352" s="2">
        <f t="shared" ref="E352" si="70">C352*D352</f>
        <v>0</v>
      </c>
      <c r="F352" s="2">
        <v>0</v>
      </c>
      <c r="G352" s="2">
        <v>0</v>
      </c>
      <c r="H352" s="2"/>
      <c r="J352" s="330">
        <f>C352-IFERROR(VLOOKUP(A352,'[1]FL DL&amp;OH FG'!$A:$K,3,0),0)</f>
        <v>0</v>
      </c>
      <c r="K352" s="326">
        <f t="shared" si="59"/>
        <v>0</v>
      </c>
    </row>
    <row r="353" spans="1:13">
      <c r="A353" s="4" t="s">
        <v>2293</v>
      </c>
      <c r="B353" t="s">
        <v>2294</v>
      </c>
      <c r="C353" s="228">
        <f>IFERROR(GETPIVOTDATA("Sum of qty",PT!$A$17,"product",A353,"FL/AZ","FL"),0)</f>
        <v>0</v>
      </c>
      <c r="D353" s="129">
        <v>3</v>
      </c>
      <c r="E353" s="2">
        <f t="shared" ref="E353:E370" si="71">C353*D353</f>
        <v>0</v>
      </c>
      <c r="F353" s="2">
        <f t="shared" si="64"/>
        <v>0</v>
      </c>
      <c r="G353" s="2">
        <f t="shared" ref="G353:G360" si="72">E353*0.51</f>
        <v>0</v>
      </c>
      <c r="H353" s="2"/>
      <c r="J353" s="330">
        <f>C353-IFERROR(VLOOKUP(A353,'[1]FL DL&amp;OH FG'!$A:$K,3,0),0)</f>
        <v>0</v>
      </c>
      <c r="K353" s="326">
        <f t="shared" si="59"/>
        <v>0</v>
      </c>
    </row>
    <row r="354" spans="1:13">
      <c r="A354" s="4" t="s">
        <v>2295</v>
      </c>
      <c r="B354" t="s">
        <v>2296</v>
      </c>
      <c r="C354" s="228">
        <f>IFERROR(GETPIVOTDATA("Sum of qty",PT!$A$17,"product",A354,"FL/AZ","FL"),0)</f>
        <v>1707</v>
      </c>
      <c r="D354" s="129">
        <v>3</v>
      </c>
      <c r="E354" s="2">
        <f t="shared" si="71"/>
        <v>5121</v>
      </c>
      <c r="F354" s="2">
        <f t="shared" si="64"/>
        <v>5121</v>
      </c>
      <c r="G354" s="2">
        <f t="shared" si="72"/>
        <v>2611.71</v>
      </c>
      <c r="H354" s="2"/>
      <c r="J354" s="330">
        <f>C354-IFERROR(VLOOKUP(A354,'[1]FL DL&amp;OH FG'!$A:$K,3,0),0)</f>
        <v>526</v>
      </c>
      <c r="K354" s="326">
        <f t="shared" si="59"/>
        <v>1578</v>
      </c>
    </row>
    <row r="355" spans="1:13">
      <c r="A355" s="4" t="s">
        <v>2297</v>
      </c>
      <c r="B355" t="s">
        <v>1737</v>
      </c>
      <c r="C355" s="228">
        <f>IFERROR(GETPIVOTDATA("Sum of qty",PT!$A$17,"product",A355,"FL/AZ","FL"),0)</f>
        <v>0</v>
      </c>
      <c r="D355" s="129">
        <v>3</v>
      </c>
      <c r="E355" s="2">
        <f t="shared" si="71"/>
        <v>0</v>
      </c>
      <c r="F355" s="2">
        <f t="shared" si="64"/>
        <v>0</v>
      </c>
      <c r="G355" s="2">
        <f t="shared" si="72"/>
        <v>0</v>
      </c>
      <c r="H355" s="2"/>
      <c r="J355" s="330">
        <f>C355-IFERROR(VLOOKUP(A355,'[1]FL DL&amp;OH FG'!$A:$K,3,0),0)</f>
        <v>0</v>
      </c>
      <c r="K355" s="326">
        <f t="shared" si="59"/>
        <v>0</v>
      </c>
    </row>
    <row r="356" spans="1:13" ht="12" customHeight="1">
      <c r="A356" s="4" t="s">
        <v>2298</v>
      </c>
      <c r="B356" t="s">
        <v>447</v>
      </c>
      <c r="C356" s="228">
        <f>IFERROR(GETPIVOTDATA("Sum of qty",PT!$A$17,"product",A356,"FL/AZ","FL"),0)</f>
        <v>0</v>
      </c>
      <c r="D356" s="129">
        <v>3</v>
      </c>
      <c r="E356" s="2">
        <f t="shared" si="71"/>
        <v>0</v>
      </c>
      <c r="F356" s="2">
        <f t="shared" si="64"/>
        <v>0</v>
      </c>
      <c r="G356" s="2">
        <f t="shared" si="72"/>
        <v>0</v>
      </c>
      <c r="H356" s="2"/>
      <c r="J356" s="330">
        <f>C356-IFERROR(VLOOKUP(A356,'[1]FL DL&amp;OH FG'!$A:$K,3,0),0)</f>
        <v>0</v>
      </c>
      <c r="K356" s="326">
        <f t="shared" si="59"/>
        <v>0</v>
      </c>
    </row>
    <row r="357" spans="1:13">
      <c r="A357" s="4" t="s">
        <v>2299</v>
      </c>
      <c r="B357" t="s">
        <v>2300</v>
      </c>
      <c r="C357" s="228">
        <f>IFERROR(GETPIVOTDATA("Sum of qty",PT!$A$17,"product",A357,"FL/AZ","FL"),0)</f>
        <v>4001</v>
      </c>
      <c r="D357" s="129">
        <v>3</v>
      </c>
      <c r="E357" s="2">
        <f t="shared" si="71"/>
        <v>12003</v>
      </c>
      <c r="F357" s="2">
        <f>E357</f>
        <v>12003</v>
      </c>
      <c r="G357" s="2">
        <f t="shared" si="72"/>
        <v>6121.53</v>
      </c>
      <c r="H357" s="2"/>
      <c r="J357" s="330">
        <f>C357-IFERROR(VLOOKUP(A357,'[1]FL DL&amp;OH FG'!$A:$K,3,0),0)</f>
        <v>1452</v>
      </c>
      <c r="K357" s="326">
        <f t="shared" si="59"/>
        <v>4356</v>
      </c>
    </row>
    <row r="358" spans="1:13">
      <c r="A358" s="4" t="s">
        <v>2301</v>
      </c>
      <c r="B358" t="s">
        <v>1727</v>
      </c>
      <c r="C358" s="228">
        <f>IFERROR(GETPIVOTDATA("Sum of qty",PT!$A$17,"product",A358,"FL/AZ","FL"),0)</f>
        <v>1094</v>
      </c>
      <c r="D358" s="129">
        <v>3</v>
      </c>
      <c r="E358" s="2">
        <f t="shared" si="71"/>
        <v>3282</v>
      </c>
      <c r="F358" s="2">
        <f t="shared" si="64"/>
        <v>3282</v>
      </c>
      <c r="G358" s="2">
        <f t="shared" si="72"/>
        <v>1673.82</v>
      </c>
      <c r="H358" s="2"/>
      <c r="J358" s="330">
        <f>C358-IFERROR(VLOOKUP(A358,'[1]FL DL&amp;OH FG'!$A:$K,3,0),0)</f>
        <v>-1007</v>
      </c>
      <c r="K358" s="326">
        <f t="shared" si="59"/>
        <v>-3021</v>
      </c>
    </row>
    <row r="359" spans="1:13">
      <c r="A359" s="4" t="s">
        <v>2302</v>
      </c>
      <c r="B359" t="s">
        <v>2303</v>
      </c>
      <c r="C359" s="228">
        <f>IFERROR(GETPIVOTDATA("Sum of qty",PT!$A$17,"product",A359,"FL/AZ","FL"),0)</f>
        <v>0</v>
      </c>
      <c r="D359" s="129">
        <v>3</v>
      </c>
      <c r="E359" s="2">
        <f t="shared" si="71"/>
        <v>0</v>
      </c>
      <c r="F359" s="2">
        <f t="shared" si="64"/>
        <v>0</v>
      </c>
      <c r="G359" s="2">
        <f t="shared" si="72"/>
        <v>0</v>
      </c>
      <c r="H359" s="2"/>
      <c r="J359" s="330">
        <f>C359-IFERROR(VLOOKUP(A359,'[1]FL DL&amp;OH FG'!$A:$K,3,0),0)</f>
        <v>0</v>
      </c>
      <c r="K359" s="326">
        <f t="shared" si="59"/>
        <v>0</v>
      </c>
    </row>
    <row r="360" spans="1:13">
      <c r="A360" s="4" t="s">
        <v>2304</v>
      </c>
      <c r="B360" t="s">
        <v>1729</v>
      </c>
      <c r="C360" s="228">
        <f>IFERROR(GETPIVOTDATA("Sum of qty",PT!$A$17,"product",A360,"FL/AZ","FL"),0)</f>
        <v>0</v>
      </c>
      <c r="D360" s="129">
        <v>3</v>
      </c>
      <c r="E360" s="2">
        <f t="shared" si="71"/>
        <v>0</v>
      </c>
      <c r="F360" s="2">
        <f>E360</f>
        <v>0</v>
      </c>
      <c r="G360" s="2">
        <f t="shared" si="72"/>
        <v>0</v>
      </c>
      <c r="H360" s="2"/>
      <c r="J360" s="330">
        <f>C360-IFERROR(VLOOKUP(A360,'[1]FL DL&amp;OH FG'!$A:$K,3,0),0)</f>
        <v>0</v>
      </c>
      <c r="K360" s="326">
        <f t="shared" si="59"/>
        <v>0</v>
      </c>
    </row>
    <row r="361" spans="1:13">
      <c r="A361" s="4" t="s">
        <v>2305</v>
      </c>
      <c r="B361" t="s">
        <v>1730</v>
      </c>
      <c r="C361" s="228">
        <f>IFERROR(GETPIVOTDATA("Sum of qty",PT!$A$17,"product",A361,"FL/AZ","FL"),0)</f>
        <v>0</v>
      </c>
      <c r="D361" s="129">
        <v>4</v>
      </c>
      <c r="E361" s="2">
        <f t="shared" si="71"/>
        <v>0</v>
      </c>
      <c r="F361" s="2">
        <f t="shared" ref="F361:F365" si="73">E361</f>
        <v>0</v>
      </c>
      <c r="G361" s="2">
        <f>E361*0.69</f>
        <v>0</v>
      </c>
      <c r="H361" s="2"/>
      <c r="J361" s="330">
        <f>C361-IFERROR(VLOOKUP(A361,'[1]FL DL&amp;OH FG'!$A:$K,3,0),0)</f>
        <v>0</v>
      </c>
      <c r="K361" s="326">
        <f t="shared" si="59"/>
        <v>0</v>
      </c>
    </row>
    <row r="362" spans="1:13">
      <c r="A362" s="4">
        <v>9802</v>
      </c>
      <c r="B362" t="s">
        <v>2306</v>
      </c>
      <c r="C362" s="228">
        <f>IFERROR(GETPIVOTDATA("Sum of qty",PT!$A$17,"product",A362,"FL/AZ","FL"),0)</f>
        <v>0</v>
      </c>
      <c r="D362" s="129">
        <v>3.8437999999999999</v>
      </c>
      <c r="E362" s="2">
        <f t="shared" si="71"/>
        <v>0</v>
      </c>
      <c r="F362" s="2">
        <f t="shared" si="73"/>
        <v>0</v>
      </c>
      <c r="G362" s="2">
        <v>0</v>
      </c>
      <c r="H362" s="2"/>
      <c r="J362" s="330">
        <f>C362-IFERROR(VLOOKUP(A362,'[1]FL DL&amp;OH FG'!$A:$K,3,0),0)</f>
        <v>0</v>
      </c>
      <c r="K362" s="326">
        <f t="shared" si="59"/>
        <v>0</v>
      </c>
    </row>
    <row r="363" spans="1:13">
      <c r="A363" s="4" t="s">
        <v>2307</v>
      </c>
      <c r="B363" t="s">
        <v>2308</v>
      </c>
      <c r="C363" s="228">
        <f>IFERROR(GETPIVOTDATA("Sum of qty",PT!$A$17,"product",A363,"FL/AZ","FL"),0)</f>
        <v>7078</v>
      </c>
      <c r="D363" s="130">
        <v>4.5</v>
      </c>
      <c r="E363" s="2">
        <f t="shared" si="71"/>
        <v>31851</v>
      </c>
      <c r="F363" s="2">
        <f t="shared" si="73"/>
        <v>31851</v>
      </c>
      <c r="G363" s="2">
        <f t="shared" ref="G363:G370" si="74">E363*0.585</f>
        <v>18632.834999999999</v>
      </c>
      <c r="H363" s="2"/>
      <c r="J363" s="330">
        <f>C363-IFERROR(VLOOKUP(A363,'[1]FL DL&amp;OH FG'!$A:$K,3,0),0)</f>
        <v>523</v>
      </c>
      <c r="K363" s="326">
        <f t="shared" si="59"/>
        <v>2353.5</v>
      </c>
    </row>
    <row r="364" spans="1:13">
      <c r="A364" s="4" t="s">
        <v>2309</v>
      </c>
      <c r="B364" s="157" t="s">
        <v>1719</v>
      </c>
      <c r="C364" s="228">
        <f>IFERROR(GETPIVOTDATA("Sum of qty",PT!$A$17,"product",A364,"FL/AZ","FL"),0)</f>
        <v>0</v>
      </c>
      <c r="D364" s="129">
        <v>4.5</v>
      </c>
      <c r="E364" s="2">
        <f t="shared" si="71"/>
        <v>0</v>
      </c>
      <c r="F364" s="2">
        <f t="shared" si="73"/>
        <v>0</v>
      </c>
      <c r="G364" s="2">
        <f t="shared" si="74"/>
        <v>0</v>
      </c>
      <c r="H364" s="2"/>
      <c r="J364" s="330">
        <f>C364-IFERROR(VLOOKUP(A364,'[1]FL DL&amp;OH FG'!$A:$K,3,0),0)</f>
        <v>0</v>
      </c>
      <c r="K364" s="326">
        <f t="shared" si="59"/>
        <v>0</v>
      </c>
    </row>
    <row r="365" spans="1:13">
      <c r="A365" s="4" t="s">
        <v>2310</v>
      </c>
      <c r="B365" s="157" t="s">
        <v>1720</v>
      </c>
      <c r="C365" s="228">
        <f>IFERROR(GETPIVOTDATA("Sum of qty",PT!$A$17,"product",A365,"FL/AZ","FL"),0)</f>
        <v>678</v>
      </c>
      <c r="D365" s="129">
        <v>4.5</v>
      </c>
      <c r="E365" s="2">
        <f t="shared" si="71"/>
        <v>3051</v>
      </c>
      <c r="F365" s="2">
        <f t="shared" si="73"/>
        <v>3051</v>
      </c>
      <c r="G365" s="2">
        <f t="shared" si="74"/>
        <v>1784.8349999999998</v>
      </c>
      <c r="H365" s="2"/>
      <c r="J365" s="330">
        <f>C365-IFERROR(VLOOKUP(A365,'[1]FL DL&amp;OH FG'!$A:$K,3,0),0)</f>
        <v>196</v>
      </c>
      <c r="K365" s="326">
        <f t="shared" ref="K365:K369" si="75">J365*D365</f>
        <v>882</v>
      </c>
    </row>
    <row r="366" spans="1:13">
      <c r="A366" s="4" t="s">
        <v>2311</v>
      </c>
      <c r="B366" t="s">
        <v>2312</v>
      </c>
      <c r="C366" s="228">
        <f>IFERROR(GETPIVOTDATA("Sum of qty",PT!$A$17,"product",A366,"FL/AZ","FL"),0)</f>
        <v>1592</v>
      </c>
      <c r="D366" s="129">
        <v>3</v>
      </c>
      <c r="E366" s="2">
        <f t="shared" si="71"/>
        <v>4776</v>
      </c>
      <c r="F366" s="2">
        <f>E366</f>
        <v>4776</v>
      </c>
      <c r="G366" s="2">
        <f t="shared" si="74"/>
        <v>2793.96</v>
      </c>
      <c r="H366" s="2"/>
      <c r="J366" s="330">
        <f>C366-IFERROR(VLOOKUP(A366,'[1]FL DL&amp;OH FG'!$A:$K,3,0),0)</f>
        <v>-1403</v>
      </c>
      <c r="K366" s="326">
        <f t="shared" si="75"/>
        <v>-4209</v>
      </c>
    </row>
    <row r="367" spans="1:13">
      <c r="A367" s="4" t="s">
        <v>2313</v>
      </c>
      <c r="B367" s="157" t="s">
        <v>2314</v>
      </c>
      <c r="C367" s="228">
        <f>IFERROR(GETPIVOTDATA("Sum of qty",PT!$A$17,"product",A367,"FL/AZ","FL"),0)</f>
        <v>0</v>
      </c>
      <c r="D367" s="129">
        <f>8*12/128</f>
        <v>0.75</v>
      </c>
      <c r="E367" s="2">
        <f t="shared" si="71"/>
        <v>0</v>
      </c>
      <c r="F367" s="2"/>
      <c r="G367" s="2">
        <f t="shared" si="74"/>
        <v>0</v>
      </c>
      <c r="H367" s="2"/>
      <c r="J367" s="330">
        <f>C367-IFERROR(VLOOKUP(A367,'[1]FL DL&amp;OH FG'!$A:$K,3,0),0)</f>
        <v>0</v>
      </c>
      <c r="K367" s="326">
        <f t="shared" si="75"/>
        <v>0</v>
      </c>
    </row>
    <row r="368" spans="1:13">
      <c r="A368" s="4" t="s">
        <v>2315</v>
      </c>
      <c r="B368" s="157" t="s">
        <v>2316</v>
      </c>
      <c r="C368" s="228">
        <f>IFERROR(GETPIVOTDATA("Sum of qty",PT!$A$17,"product",A368,"FL/AZ","FL"),0)</f>
        <v>0</v>
      </c>
      <c r="D368" s="129">
        <f>8*12/128</f>
        <v>0.75</v>
      </c>
      <c r="E368" s="2">
        <f t="shared" si="71"/>
        <v>0</v>
      </c>
      <c r="F368" s="2"/>
      <c r="G368" s="2">
        <f t="shared" si="74"/>
        <v>0</v>
      </c>
      <c r="H368" s="2"/>
      <c r="J368" s="330">
        <f>C368-IFERROR(VLOOKUP(A368,'[1]FL DL&amp;OH FG'!$A:$K,3,0),0)</f>
        <v>0</v>
      </c>
      <c r="K368" s="326">
        <f t="shared" si="75"/>
        <v>0</v>
      </c>
      <c r="M368" s="157"/>
    </row>
    <row r="369" spans="1:14">
      <c r="A369" s="4" t="s">
        <v>2317</v>
      </c>
      <c r="B369" t="s">
        <v>2318</v>
      </c>
      <c r="C369" s="228">
        <f>IFERROR(GETPIVOTDATA("Sum of qty",PT!$A$17,"product",A369,"FL/AZ","FL"),0)</f>
        <v>0</v>
      </c>
      <c r="D369" s="129">
        <f>8*12/128</f>
        <v>0.75</v>
      </c>
      <c r="E369" s="2">
        <f t="shared" ref="E369" si="76">C369*D369</f>
        <v>0</v>
      </c>
      <c r="F369" s="2">
        <f t="shared" ref="F369" si="77">E369</f>
        <v>0</v>
      </c>
      <c r="G369" s="2">
        <f t="shared" ref="G369" si="78">E369*0.585</f>
        <v>0</v>
      </c>
      <c r="H369" s="2"/>
      <c r="I369" s="25"/>
      <c r="J369" s="330">
        <f>C369-IFERROR(VLOOKUP(A369,'[1]FL DL&amp;OH FG'!$A:$K,3,0),0)</f>
        <v>0</v>
      </c>
      <c r="K369" s="326">
        <f t="shared" si="75"/>
        <v>0</v>
      </c>
    </row>
    <row r="370" spans="1:14">
      <c r="A370" s="163" t="s">
        <v>2319</v>
      </c>
      <c r="B370" s="157" t="s">
        <v>346</v>
      </c>
      <c r="C370" s="228">
        <f>IFERROR(GETPIVOTDATA("Sum of qty",PT!$A$17,"product",A370,"FL/AZ","FL"),0)</f>
        <v>32907</v>
      </c>
      <c r="D370" s="129">
        <f>(50.7*6)/128</f>
        <v>2.3765625000000004</v>
      </c>
      <c r="E370" s="2">
        <f t="shared" si="71"/>
        <v>78205.542187500017</v>
      </c>
      <c r="F370" s="2">
        <v>0</v>
      </c>
      <c r="G370" s="2">
        <f t="shared" si="74"/>
        <v>45750.242179687506</v>
      </c>
      <c r="H370" s="2"/>
      <c r="I370" s="25"/>
      <c r="J370" s="330">
        <f>C370-IFERROR(VLOOKUP(A370,'[1]FL DL&amp;OH FG'!$A:$K,3,0),0)</f>
        <v>-6003</v>
      </c>
      <c r="K370" s="326">
        <f>J370*D370</f>
        <v>-14266.504687500003</v>
      </c>
      <c r="L370"/>
    </row>
    <row r="371" spans="1:14">
      <c r="A371" s="4"/>
      <c r="C371" s="346"/>
      <c r="D371" s="347"/>
      <c r="E371" s="2"/>
      <c r="F371" s="2"/>
      <c r="G371" s="2"/>
      <c r="H371" s="2"/>
      <c r="J371" s="8"/>
      <c r="K371" s="2"/>
    </row>
    <row r="372" spans="1:14" ht="13.5" thickBot="1">
      <c r="A372" s="4"/>
      <c r="C372" s="2"/>
      <c r="E372" s="216">
        <f>SUM(E7:E370)</f>
        <v>504225.21690400003</v>
      </c>
      <c r="F372" s="216">
        <f>SUM(F7:F370)</f>
        <v>210381.08831249998</v>
      </c>
      <c r="G372" s="2"/>
      <c r="H372" s="2"/>
      <c r="I372" s="25"/>
      <c r="M372" s="240"/>
      <c r="N372" s="240"/>
    </row>
    <row r="373" spans="1:14" ht="13.5" thickBot="1">
      <c r="A373" s="4"/>
      <c r="C373" s="2"/>
      <c r="E373" s="440" t="s">
        <v>2320</v>
      </c>
      <c r="F373" s="441"/>
      <c r="G373" s="441"/>
      <c r="H373" s="441"/>
      <c r="I373" s="441"/>
      <c r="J373" s="441"/>
      <c r="K373" s="442"/>
      <c r="M373" s="328">
        <f>SUM(K35:K369)</f>
        <v>17149.896528000001</v>
      </c>
      <c r="N373" s="332" t="s">
        <v>1778</v>
      </c>
    </row>
    <row r="374" spans="1:14" s="25" customFormat="1" ht="13.5" thickBot="1">
      <c r="A374" s="4"/>
      <c r="B374" s="15" t="s">
        <v>1776</v>
      </c>
      <c r="C374" s="13">
        <f>SUM(C7:C370)</f>
        <v>196394.63</v>
      </c>
      <c r="D374" s="9"/>
      <c r="E374" s="78"/>
      <c r="F374" s="78"/>
      <c r="G374" s="78"/>
      <c r="H374" s="78"/>
      <c r="I374" s="78" t="s">
        <v>811</v>
      </c>
      <c r="J374" s="78"/>
      <c r="K374" s="78"/>
      <c r="L374" s="222"/>
      <c r="M374" s="327"/>
      <c r="N374" s="327" t="s">
        <v>2321</v>
      </c>
    </row>
    <row r="375" spans="1:14" ht="13.5" thickBot="1">
      <c r="A375" s="4"/>
      <c r="B375" s="15" t="s">
        <v>1777</v>
      </c>
      <c r="C375" s="13">
        <f>SUM(E7:E369)</f>
        <v>426019.67471650004</v>
      </c>
      <c r="E375" s="251" t="s">
        <v>2322</v>
      </c>
      <c r="F375" s="225">
        <f>F40*2.77</f>
        <v>0</v>
      </c>
      <c r="G375" s="376">
        <f>SUM(G7:G369)</f>
        <v>156721.1006875</v>
      </c>
      <c r="H375" s="377">
        <f t="shared" ref="H375" si="79">SUM(H7:H369)</f>
        <v>75887.351900000009</v>
      </c>
      <c r="I375" s="377">
        <f>SUM(I7:I369)</f>
        <v>47167.148000000001</v>
      </c>
      <c r="J375" s="289" t="str">
        <f>"Equiv gln "&amp;TEXT(B382,"mm/dd/yyyy")</f>
        <v>Equiv gln 07/31/2025</v>
      </c>
      <c r="K375" s="48"/>
      <c r="M375" s="241"/>
      <c r="N375" s="240"/>
    </row>
    <row r="376" spans="1:14" ht="13.5" thickBot="1">
      <c r="A376" s="4"/>
      <c r="B376" t="s">
        <v>1779</v>
      </c>
      <c r="C376" s="269">
        <f>'[4]2024'!$N$41</f>
        <v>1.24405058563681</v>
      </c>
      <c r="E376" s="46" t="s">
        <v>2323</v>
      </c>
      <c r="F376" s="95">
        <f>F83*2.6+F81*4+E32*1.629+E33*3.7+((E35/4)*1.629)+((E35/4)*3.7)</f>
        <v>105829.26700550399</v>
      </c>
      <c r="G376" s="132">
        <v>140171.07656249998</v>
      </c>
      <c r="H376" s="131">
        <v>95580.098675000001</v>
      </c>
      <c r="I376" s="131">
        <v>34017.864000000001</v>
      </c>
      <c r="J376" s="157" t="str">
        <f>"Equiv gln "&amp;TEXT(B381,"mm/dd/yyyy")</f>
        <v>Equiv gln 06/30/2025</v>
      </c>
      <c r="K376" s="45"/>
      <c r="M376" s="241"/>
      <c r="N376" s="240"/>
    </row>
    <row r="377" spans="1:14" ht="13.5" thickBot="1">
      <c r="A377" s="4"/>
      <c r="B377" s="15" t="s">
        <v>2324</v>
      </c>
      <c r="C377" s="254">
        <f>C375*C376</f>
        <v>529990.0258238652</v>
      </c>
      <c r="E377" s="252" t="s">
        <v>303</v>
      </c>
      <c r="F377" s="18">
        <f>F40*0.2403+E48*0.013+F83*0.1823+F81*0.136+F82*0.1723</f>
        <v>2380.5313199999996</v>
      </c>
      <c r="G377" s="112">
        <f>G375-G376</f>
        <v>16550.024125000025</v>
      </c>
      <c r="H377" s="18">
        <f>H375-H376</f>
        <v>-19692.746774999992</v>
      </c>
      <c r="I377" s="18">
        <f>I375-I376</f>
        <v>13149.284</v>
      </c>
      <c r="J377" t="s">
        <v>2325</v>
      </c>
      <c r="K377" s="45"/>
      <c r="M377" s="241"/>
      <c r="N377" s="240"/>
    </row>
    <row r="378" spans="1:14">
      <c r="A378" s="4"/>
      <c r="B378" s="15"/>
      <c r="C378" s="362">
        <v>510496.76626689982</v>
      </c>
      <c r="E378" s="252" t="s">
        <v>1417</v>
      </c>
      <c r="F378" s="18">
        <f>F85*2.3+F82*1.549</f>
        <v>2676.672</v>
      </c>
      <c r="G378" s="112"/>
      <c r="H378" s="18"/>
      <c r="I378" s="34"/>
      <c r="K378" s="45"/>
      <c r="M378" s="241"/>
      <c r="N378" s="240"/>
    </row>
    <row r="379" spans="1:14">
      <c r="A379" s="159"/>
      <c r="B379" s="373" t="s">
        <v>811</v>
      </c>
      <c r="C379" s="374">
        <f>C377-C378</f>
        <v>19493.259556965379</v>
      </c>
      <c r="E379" s="46"/>
      <c r="G379" s="113"/>
      <c r="K379" s="45"/>
      <c r="M379" s="241"/>
      <c r="N379" s="240"/>
    </row>
    <row r="380" spans="1:14">
      <c r="A380" s="4"/>
      <c r="B380" s="15" t="s">
        <v>2326</v>
      </c>
      <c r="C380" s="11">
        <f>((19.95*2)+16.8+12.08+11.25)/200</f>
        <v>0.40015000000000001</v>
      </c>
      <c r="E380" s="46" t="str">
        <f>E375</f>
        <v>Prickly pear</v>
      </c>
      <c r="F380" s="167">
        <f>'FL+AZ - RM'!D48</f>
        <v>0</v>
      </c>
      <c r="G380" s="167">
        <f>'FL WIP'!D274</f>
        <v>8.9893111507642773E-2</v>
      </c>
      <c r="H380" s="167">
        <f>'FL WIP'!D273</f>
        <v>0</v>
      </c>
      <c r="I380" s="167">
        <f>'FL WIP'!D276</f>
        <v>0.89400000000000002</v>
      </c>
      <c r="J380" t="s">
        <v>2327</v>
      </c>
      <c r="K380" s="45"/>
      <c r="M380" s="241"/>
      <c r="N380" s="240"/>
    </row>
    <row r="381" spans="1:14" ht="13.5" thickBot="1">
      <c r="A381" s="4"/>
      <c r="B381" s="287">
        <f>+'AZ WIP'!K211</f>
        <v>45838</v>
      </c>
      <c r="C381" s="121">
        <v>91575.522873096881</v>
      </c>
      <c r="E381" s="46" t="s">
        <v>2323</v>
      </c>
      <c r="F381" s="167">
        <f>'FL+AZ - RM'!D44</f>
        <v>0</v>
      </c>
      <c r="G381" s="114"/>
      <c r="H381" s="3"/>
      <c r="K381" s="45"/>
    </row>
    <row r="382" spans="1:14" ht="13.5" thickBot="1">
      <c r="A382" s="4"/>
      <c r="B382" s="287">
        <f>+'AZ WIP'!K210</f>
        <v>45869</v>
      </c>
      <c r="C382" s="254">
        <f>F372*C380</f>
        <v>84183.992488246862</v>
      </c>
      <c r="E382" s="252" t="s">
        <v>303</v>
      </c>
      <c r="F382" s="167">
        <f>'FL+AZ - RM'!D54</f>
        <v>1.59</v>
      </c>
      <c r="G382" s="114"/>
      <c r="H382" s="3"/>
      <c r="K382" s="45"/>
    </row>
    <row r="383" spans="1:14" ht="13.5" thickBot="1">
      <c r="A383" s="4"/>
      <c r="B383" s="15" t="s">
        <v>811</v>
      </c>
      <c r="C383" s="211">
        <f>C382-C381</f>
        <v>-7391.5303848500189</v>
      </c>
      <c r="E383" s="252" t="s">
        <v>1417</v>
      </c>
      <c r="F383" s="167">
        <f>'FL+AZ - RM'!D24</f>
        <v>8.1225862692043266E-2</v>
      </c>
      <c r="G383" s="114"/>
      <c r="H383" s="3"/>
      <c r="K383" s="45"/>
    </row>
    <row r="384" spans="1:14" ht="14.25" thickTop="1" thickBot="1">
      <c r="A384" s="4" t="s">
        <v>1133</v>
      </c>
      <c r="C384" s="15"/>
      <c r="E384" s="46"/>
      <c r="F384" s="212">
        <f>SUMPRODUCT(F380:F383,F375:F378)</f>
        <v>4002.4597911436363</v>
      </c>
      <c r="G384" s="213">
        <f>+G375*G380</f>
        <v>14088.147379701948</v>
      </c>
      <c r="H384" s="206">
        <f>+H375*H380</f>
        <v>0</v>
      </c>
      <c r="I384" s="206">
        <f>+I375*I380</f>
        <v>42167.430312000004</v>
      </c>
      <c r="J384" s="278">
        <f>SUM(F384:I384)</f>
        <v>60258.03748284559</v>
      </c>
      <c r="K384" s="290">
        <f>+B382</f>
        <v>45869</v>
      </c>
    </row>
    <row r="385" spans="1:12">
      <c r="A385" s="4"/>
      <c r="C385" s="15"/>
      <c r="E385" s="46"/>
      <c r="F385" s="124">
        <v>9693.4687458278459</v>
      </c>
      <c r="G385" s="132">
        <v>10517.231981285606</v>
      </c>
      <c r="H385" s="132">
        <v>0</v>
      </c>
      <c r="I385" s="132">
        <v>30545.215940699691</v>
      </c>
      <c r="J385" s="18">
        <f>SUM(F385:I385)</f>
        <v>50755.916667813144</v>
      </c>
      <c r="K385" s="290">
        <f>+B381</f>
        <v>45838</v>
      </c>
    </row>
    <row r="386" spans="1:12" ht="13.5" thickBot="1">
      <c r="A386" s="4"/>
      <c r="B386" s="15" t="s">
        <v>2328</v>
      </c>
      <c r="E386" s="77"/>
      <c r="F386" s="47">
        <f>F384-F385</f>
        <v>-5691.00895468421</v>
      </c>
      <c r="G386" s="115">
        <f>G384-G385</f>
        <v>3570.9153984163422</v>
      </c>
      <c r="H386" s="47">
        <f>H384-H385</f>
        <v>0</v>
      </c>
      <c r="I386" s="47">
        <f>I384-I385</f>
        <v>11622.214371300313</v>
      </c>
      <c r="J386" s="344">
        <f>SUM(F386:I386)</f>
        <v>9502.1208150324455</v>
      </c>
      <c r="K386" s="226" t="s">
        <v>2325</v>
      </c>
      <c r="L386" s="345" t="s">
        <v>2329</v>
      </c>
    </row>
    <row r="387" spans="1:12">
      <c r="A387" s="4"/>
      <c r="B387" s="157" t="s">
        <v>2330</v>
      </c>
      <c r="C387" s="8">
        <f>C375-F372</f>
        <v>215638.58640400006</v>
      </c>
      <c r="H387" s="3"/>
    </row>
    <row r="388" spans="1:12" ht="13.5" thickBot="1">
      <c r="A388" s="4"/>
      <c r="B388" s="157" t="s">
        <v>2795</v>
      </c>
      <c r="C388" s="1">
        <f>(1+1)*19.95/200*0.5</f>
        <v>9.9749999999999991E-2</v>
      </c>
      <c r="G388" s="167">
        <f>'FL WIP'!H8</f>
        <v>9.5000000000000001E-2</v>
      </c>
      <c r="H388" s="167">
        <f>'FL WIP'!H30</f>
        <v>0.33377777777777778</v>
      </c>
      <c r="I388" s="167">
        <f>'FL WIP'!H180</f>
        <v>0.15833333333333333</v>
      </c>
      <c r="J388" s="157" t="s">
        <v>2331</v>
      </c>
    </row>
    <row r="389" spans="1:12" ht="13.5" thickBot="1">
      <c r="A389" s="4"/>
      <c r="B389" s="157" t="s">
        <v>2332</v>
      </c>
      <c r="C389" s="8">
        <f>E370</f>
        <v>78205.542187500017</v>
      </c>
      <c r="G389" s="219">
        <f>G388*G375</f>
        <v>14888.5045653125</v>
      </c>
      <c r="H389" s="206">
        <f>H388*H375</f>
        <v>25329.511678622224</v>
      </c>
      <c r="I389" s="206">
        <f>I388*I375</f>
        <v>7468.1317666666664</v>
      </c>
      <c r="J389" s="157" t="s">
        <v>2333</v>
      </c>
    </row>
    <row r="390" spans="1:12" ht="13.5" thickBot="1">
      <c r="A390" s="4"/>
      <c r="B390" s="157" t="s">
        <v>2334</v>
      </c>
      <c r="C390" s="278">
        <f>12.5/(D370*100)</f>
        <v>5.2596975673898747E-2</v>
      </c>
      <c r="F390" s="287">
        <f>B392</f>
        <v>45838</v>
      </c>
      <c r="G390" s="117">
        <v>13316.252273437498</v>
      </c>
      <c r="H390" s="117">
        <v>31902.512935522223</v>
      </c>
      <c r="I390" s="117">
        <v>5386.1617999999999</v>
      </c>
    </row>
    <row r="391" spans="1:12" ht="13.5" thickBot="1">
      <c r="A391" s="4"/>
      <c r="B391" s="157" t="s">
        <v>2335</v>
      </c>
      <c r="C391" s="254">
        <f>(C387*C388)+(C389*C390)</f>
        <v>25623.323993799004</v>
      </c>
      <c r="F391" s="157" t="s">
        <v>811</v>
      </c>
      <c r="G391" s="18">
        <f>G389-G390</f>
        <v>1572.2522918750019</v>
      </c>
      <c r="H391" s="18">
        <f>H389-H390</f>
        <v>-6573.0012568999991</v>
      </c>
      <c r="I391" s="18">
        <f>I389-I390</f>
        <v>2081.9699666666666</v>
      </c>
    </row>
    <row r="392" spans="1:12">
      <c r="A392" s="4"/>
      <c r="B392" s="287">
        <f>B381</f>
        <v>45838</v>
      </c>
      <c r="C392" s="255">
        <v>22968.125802155995</v>
      </c>
      <c r="G392" s="154"/>
      <c r="H392" s="1"/>
    </row>
    <row r="393" spans="1:12">
      <c r="B393" s="231" t="s">
        <v>811</v>
      </c>
      <c r="C393" s="18">
        <f>C391-C392</f>
        <v>2655.1981916430086</v>
      </c>
      <c r="F393" s="276"/>
    </row>
    <row r="394" spans="1:12">
      <c r="C394" s="15"/>
    </row>
    <row r="395" spans="1:12">
      <c r="C395" s="15"/>
      <c r="E395" s="8"/>
    </row>
    <row r="396" spans="1:12">
      <c r="C396" s="384"/>
      <c r="D396" s="389"/>
      <c r="F396" s="384"/>
      <c r="G396" s="389"/>
    </row>
    <row r="397" spans="1:12">
      <c r="C397" s="384"/>
      <c r="F397" s="384"/>
      <c r="G397" s="385"/>
      <c r="H397" s="157"/>
    </row>
    <row r="398" spans="1:12">
      <c r="C398" s="157"/>
      <c r="F398" s="157"/>
    </row>
  </sheetData>
  <mergeCells count="4">
    <mergeCell ref="A1:F1"/>
    <mergeCell ref="A2:F2"/>
    <mergeCell ref="A3:F3"/>
    <mergeCell ref="E373:K373"/>
  </mergeCells>
  <phoneticPr fontId="10" type="noConversion"/>
  <conditionalFormatting sqref="K7:K369">
    <cfRule type="top10" dxfId="8" priority="11" rank="10"/>
    <cfRule type="top10" dxfId="7" priority="12" bottom="1" rank="10"/>
  </conditionalFormatting>
  <conditionalFormatting sqref="K371">
    <cfRule type="top10" dxfId="6" priority="7" rank="10"/>
    <cfRule type="top10" dxfId="5" priority="8" bottom="1" rank="10"/>
  </conditionalFormatting>
  <pageMargins left="0.25" right="0.25" top="0.25" bottom="0.25" header="0.25" footer="0"/>
  <pageSetup scale="15" orientation="portrait" horizontalDpi="4294967292"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E6529B62BC45847A44E22269B86522F" ma:contentTypeVersion="6" ma:contentTypeDescription="Create a new document." ma:contentTypeScope="" ma:versionID="325231aaa829ca46f0d29f6270e52ba4">
  <xsd:schema xmlns:xsd="http://www.w3.org/2001/XMLSchema" xmlns:xs="http://www.w3.org/2001/XMLSchema" xmlns:p="http://schemas.microsoft.com/office/2006/metadata/properties" xmlns:ns2="5438d14b-dcb7-400a-9b24-4a34464e47d1" xmlns:ns3="6565e95e-f7d2-457f-8acf-65f35488fe7d" targetNamespace="http://schemas.microsoft.com/office/2006/metadata/properties" ma:root="true" ma:fieldsID="f1fc710f019066e0944f8e13c6e4ce0d" ns2:_="" ns3:_="">
    <xsd:import namespace="5438d14b-dcb7-400a-9b24-4a34464e47d1"/>
    <xsd:import namespace="6565e95e-f7d2-457f-8acf-65f35488fe7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38d14b-dcb7-400a-9b24-4a34464e47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565e95e-f7d2-457f-8acf-65f35488fe7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F290A13-AFB1-4723-A11E-A6A3D35BAF31}">
  <ds:schemaRefs>
    <ds:schemaRef ds:uri="http://schemas.microsoft.com/sharepoint/v3/contenttype/forms"/>
  </ds:schemaRefs>
</ds:datastoreItem>
</file>

<file path=customXml/itemProps2.xml><?xml version="1.0" encoding="utf-8"?>
<ds:datastoreItem xmlns:ds="http://schemas.openxmlformats.org/officeDocument/2006/customXml" ds:itemID="{B9E95EBD-A500-4503-8898-CB1476FAEE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38d14b-dcb7-400a-9b24-4a34464e47d1"/>
    <ds:schemaRef ds:uri="6565e95e-f7d2-457f-8acf-65f35488fe7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092C00-A56C-4079-AA81-82D03223352E}">
  <ds:schemaRefs>
    <ds:schemaRef ds:uri="http://schemas.microsoft.com/office/2006/metadata/properties"/>
    <ds:schemaRef ds:uri="http://purl.org/dc/dcmitype/"/>
    <ds:schemaRef ds:uri="http://purl.org/dc/elements/1.1/"/>
    <ds:schemaRef ds:uri="http://schemas.openxmlformats.org/package/2006/metadata/core-properties"/>
    <ds:schemaRef ds:uri="http://www.w3.org/XML/1998/namespace"/>
    <ds:schemaRef ds:uri="http://schemas.microsoft.com/office/2006/documentManagement/types"/>
    <ds:schemaRef ds:uri="http://purl.org/dc/terms/"/>
    <ds:schemaRef ds:uri="5438d14b-dcb7-400a-9b24-4a34464e47d1"/>
    <ds:schemaRef ds:uri="http://schemas.microsoft.com/office/infopath/2007/PartnerControls"/>
    <ds:schemaRef ds:uri="6565e95e-f7d2-457f-8acf-65f35488fe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Sheet1</vt:lpstr>
      <vt:lpstr>Detail</vt:lpstr>
      <vt:lpstr>PT</vt:lpstr>
      <vt:lpstr>FL+AZ - RM</vt:lpstr>
      <vt:lpstr>AZ WIP</vt:lpstr>
      <vt:lpstr>FL WIP</vt:lpstr>
      <vt:lpstr>TX WIP</vt:lpstr>
      <vt:lpstr>AZ DL&amp;OH FG</vt:lpstr>
      <vt:lpstr>FL DL&amp;OH FG</vt:lpstr>
      <vt:lpstr>TX DL&amp;OH FG</vt:lpstr>
      <vt:lpstr>AZ Inv Value</vt:lpstr>
      <vt:lpstr>FL Inv Value</vt:lpstr>
      <vt:lpstr>Recap</vt:lpstr>
      <vt:lpstr>Summary</vt:lpstr>
      <vt:lpstr>Monthly JE</vt:lpstr>
      <vt:lpstr>Summary 2</vt:lpstr>
      <vt:lpstr>Annual Rate ADJ JE</vt:lpstr>
      <vt:lpstr>'AZ DL&amp;OH FG'!Print_Area</vt:lpstr>
      <vt:lpstr>'AZ WIP'!Print_Area</vt:lpstr>
      <vt:lpstr>'FL DL&amp;OH FG'!Print_Area</vt:lpstr>
      <vt:lpstr>'FL WIP'!Print_Area</vt:lpstr>
      <vt:lpstr>'FL+AZ - RM'!Print_Area</vt:lpstr>
      <vt:lpstr>'Monthly JE'!Print_Area</vt:lpstr>
      <vt:lpstr>Summary!Print_Area</vt:lpstr>
      <vt:lpstr>'Summary 2'!Print_Area</vt:lpstr>
      <vt:lpstr>'TX DL&amp;OH FG'!Print_Area</vt:lpstr>
      <vt:lpstr>'TX WIP'!Print_Area</vt:lpstr>
    </vt:vector>
  </TitlesOfParts>
  <Manager/>
  <Company>SUN ORCHARD,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Shawn Brierley</dc:creator>
  <cp:keywords/>
  <dc:description/>
  <cp:lastModifiedBy>Rachel Gomez</cp:lastModifiedBy>
  <cp:revision/>
  <dcterms:created xsi:type="dcterms:W3CDTF">2003-04-07T16:16:21Z</dcterms:created>
  <dcterms:modified xsi:type="dcterms:W3CDTF">2025-08-08T02:21:36Z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0x010100FE6529B62BC45847A44E22269B86522F</vt:lpwstr>
  </property>
</Properties>
</file>