
<file path=[Content_Types].xml><?xml version="1.0" encoding="utf-8"?>
<Types xmlns="http://schemas.openxmlformats.org/package/2006/content-type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nau\Documents\Dell M4800 new backup\1. RegressIt\00000. FINAL VERSIONS FOR WEB SITE\2. FINAL DATA\Data files for web site\"/>
    </mc:Choice>
  </mc:AlternateContent>
  <bookViews>
    <workbookView xWindow="0" yWindow="0" windowWidth="22830" windowHeight="15090"/>
  </bookViews>
  <sheets>
    <sheet name="StockReturns" sheetId="1" r:id="rId1"/>
    <sheet name="Price stats" sheetId="2" r:id="rId2"/>
    <sheet name="Return stats" sheetId="3" r:id="rId3"/>
    <sheet name="ATT model" sheetId="9" r:id="rId4"/>
    <sheet name="Microsoft model" sheetId="18" r:id="rId5"/>
    <sheet name="Nordstrom model" sheetId="26" r:id="rId6"/>
    <sheet name="Model Summaries" sheetId="16" r:id="rId7"/>
  </sheets>
  <definedNames>
    <definedName name="___autoF" localSheetId="3" hidden="1">0</definedName>
    <definedName name="___autoF" localSheetId="4" hidden="1">0</definedName>
    <definedName name="___autoF" localSheetId="5" hidden="1">0</definedName>
    <definedName name="___gFirst" localSheetId="1" hidden="1">SP_500</definedName>
    <definedName name="___gFirst" localSheetId="2" hidden="1">SP_500.PctChg.1</definedName>
    <definedName name="___gSet" localSheetId="1" hidden="1">30000</definedName>
    <definedName name="___gSet" localSheetId="2" hidden="1">1120</definedName>
    <definedName name="___rsumm___ATT.PctChg.1" localSheetId="6" hidden="1">'Model Summaries'!$A$3</definedName>
    <definedName name="___rsumm___Microsoft.PctChg.1" localSheetId="6" hidden="1">'Model Summaries'!$A$25</definedName>
    <definedName name="___rsumm___Nordstrom.PctChg.1" localSheetId="6" hidden="1">'Model Summaries'!$A$47</definedName>
    <definedName name="__nSelect_" hidden="1">0</definedName>
    <definedName name="ATT">StockReturns!$B$2:$B$61</definedName>
    <definedName name="ATT.PctChg.1">StockReturns!$C$2:$C$61</definedName>
    <definedName name="Date">StockReturns!$A$2:$A$61</definedName>
    <definedName name="FirstForecastRow" localSheetId="3" hidden="1">-1</definedName>
    <definedName name="FirstForecastRow" localSheetId="4" hidden="1">-1</definedName>
    <definedName name="FirstForecastRow" localSheetId="5" hidden="1">-1</definedName>
    <definedName name="LastAnalysisModel" hidden="1">"Return stats"</definedName>
    <definedName name="Microsoft">StockReturns!$D$2:$D$61</definedName>
    <definedName name="Microsoft.PctChg.1">StockReturns!$E$2:$E$61</definedName>
    <definedName name="nDataAnalysis" hidden="1">2</definedName>
    <definedName name="Nordstrom">StockReturns!$F$2:$F$61</definedName>
    <definedName name="Nordstrom.PctChg.1">StockReturns!$G$2:$G$61</definedName>
    <definedName name="nRegMod" hidden="1">3</definedName>
    <definedName name="OKtoForecast" hidden="1">1</definedName>
    <definedName name="SP_500">StockReturns!$H$2:$H$61</definedName>
    <definedName name="SP_500.PctChg.1">StockReturns!$I$2:$I$61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3" i="26" l="1"/>
  <c r="D53" i="26"/>
  <c r="C53" i="26"/>
  <c r="B53" i="26"/>
  <c r="E30" i="26"/>
  <c r="E29" i="26"/>
  <c r="E28" i="26"/>
  <c r="E27" i="26"/>
  <c r="E26" i="26"/>
  <c r="G25" i="26"/>
  <c r="F25" i="26"/>
  <c r="B10" i="26"/>
  <c r="D20" i="26"/>
  <c r="D10" i="26" s="1"/>
  <c r="C19" i="26"/>
  <c r="D19" i="26" s="1"/>
  <c r="E19" i="26" s="1"/>
  <c r="F19" i="26" s="1"/>
  <c r="B21" i="26"/>
  <c r="E10" i="26" s="1"/>
  <c r="I15" i="26" s="1"/>
  <c r="D15" i="26"/>
  <c r="E15" i="26" s="1"/>
  <c r="D14" i="26"/>
  <c r="E14" i="26" s="1"/>
  <c r="G13" i="26"/>
  <c r="F13" i="26"/>
  <c r="H10" i="26"/>
  <c r="H9" i="26"/>
  <c r="E53" i="18"/>
  <c r="D53" i="18"/>
  <c r="C53" i="18"/>
  <c r="B53" i="18"/>
  <c r="E30" i="18"/>
  <c r="E29" i="18"/>
  <c r="E28" i="18"/>
  <c r="E27" i="18"/>
  <c r="E26" i="18"/>
  <c r="G25" i="18"/>
  <c r="F25" i="18"/>
  <c r="B10" i="18"/>
  <c r="D20" i="18"/>
  <c r="D10" i="18" s="1"/>
  <c r="C19" i="18"/>
  <c r="D19" i="18" s="1"/>
  <c r="E19" i="18" s="1"/>
  <c r="F19" i="18" s="1"/>
  <c r="B21" i="18"/>
  <c r="E10" i="18" s="1"/>
  <c r="I15" i="18" s="1"/>
  <c r="D15" i="18"/>
  <c r="E15" i="18" s="1"/>
  <c r="D14" i="18"/>
  <c r="E14" i="18" s="1"/>
  <c r="G13" i="18"/>
  <c r="F13" i="18"/>
  <c r="H10" i="18"/>
  <c r="H9" i="18"/>
  <c r="E53" i="9"/>
  <c r="D53" i="9"/>
  <c r="C53" i="9"/>
  <c r="B53" i="9"/>
  <c r="E30" i="9"/>
  <c r="E29" i="9"/>
  <c r="E28" i="9"/>
  <c r="E27" i="9"/>
  <c r="E26" i="9"/>
  <c r="G25" i="9"/>
  <c r="F25" i="9"/>
  <c r="B10" i="9"/>
  <c r="D20" i="9"/>
  <c r="D10" i="9" s="1"/>
  <c r="C19" i="9"/>
  <c r="D19" i="9" s="1"/>
  <c r="E19" i="9" s="1"/>
  <c r="F19" i="9" s="1"/>
  <c r="B21" i="9"/>
  <c r="E10" i="9" s="1"/>
  <c r="I15" i="9" s="1"/>
  <c r="D15" i="9"/>
  <c r="E15" i="9" s="1"/>
  <c r="D14" i="9"/>
  <c r="E14" i="9" s="1"/>
  <c r="G13" i="9"/>
  <c r="F13" i="9"/>
  <c r="H10" i="9"/>
  <c r="F14" i="9" s="1"/>
  <c r="H9" i="9"/>
  <c r="C30" i="26" l="1"/>
  <c r="C10" i="26"/>
  <c r="C26" i="26"/>
  <c r="D26" i="26" s="1"/>
  <c r="C28" i="26"/>
  <c r="D28" i="26" s="1"/>
  <c r="F28" i="26" s="1"/>
  <c r="C29" i="26"/>
  <c r="D29" i="26" s="1"/>
  <c r="D30" i="26"/>
  <c r="F30" i="26" s="1"/>
  <c r="C27" i="26"/>
  <c r="D27" i="26" s="1"/>
  <c r="F14" i="26"/>
  <c r="G14" i="26"/>
  <c r="F15" i="26"/>
  <c r="G15" i="26"/>
  <c r="C30" i="18"/>
  <c r="C29" i="18"/>
  <c r="D29" i="18" s="1"/>
  <c r="C26" i="18"/>
  <c r="D26" i="18" s="1"/>
  <c r="D30" i="18"/>
  <c r="G30" i="18" s="1"/>
  <c r="C27" i="18"/>
  <c r="D27" i="18" s="1"/>
  <c r="F27" i="18" s="1"/>
  <c r="C28" i="18"/>
  <c r="D28" i="18" s="1"/>
  <c r="F14" i="18"/>
  <c r="G14" i="18"/>
  <c r="G15" i="18"/>
  <c r="F15" i="18"/>
  <c r="C10" i="18"/>
  <c r="C30" i="9"/>
  <c r="D30" i="9"/>
  <c r="F30" i="9" s="1"/>
  <c r="C26" i="9"/>
  <c r="D26" i="9" s="1"/>
  <c r="C28" i="9"/>
  <c r="D28" i="9" s="1"/>
  <c r="C29" i="9"/>
  <c r="D29" i="9" s="1"/>
  <c r="F29" i="9" s="1"/>
  <c r="C10" i="9"/>
  <c r="C27" i="9"/>
  <c r="D27" i="9" s="1"/>
  <c r="G15" i="9"/>
  <c r="F15" i="9"/>
  <c r="G14" i="9"/>
  <c r="G29" i="26" l="1"/>
  <c r="F29" i="26"/>
  <c r="G30" i="26"/>
  <c r="F26" i="26"/>
  <c r="G26" i="26"/>
  <c r="G27" i="26"/>
  <c r="F27" i="26"/>
  <c r="G28" i="26"/>
  <c r="F26" i="18"/>
  <c r="G26" i="18"/>
  <c r="F29" i="18"/>
  <c r="G29" i="18"/>
  <c r="G28" i="18"/>
  <c r="F28" i="18"/>
  <c r="F30" i="18"/>
  <c r="G27" i="18"/>
  <c r="F27" i="9"/>
  <c r="G27" i="9"/>
  <c r="F28" i="9"/>
  <c r="G28" i="9"/>
  <c r="F26" i="9"/>
  <c r="G26" i="9"/>
  <c r="G29" i="9"/>
  <c r="G30" i="9"/>
</calcChain>
</file>

<file path=xl/comments1.xml><?xml version="1.0" encoding="utf-8"?>
<comments xmlns="http://schemas.openxmlformats.org/spreadsheetml/2006/main">
  <authors>
    <author>Bob Nau</author>
  </authors>
  <commentList>
    <comment ref="B1" authorId="0" shapeId="0">
      <text>
        <r>
          <rPr>
            <sz val="8"/>
            <color indexed="81"/>
            <rFont val="Tahoma"/>
            <family val="2"/>
          </rPr>
          <t>ATT model (#vars=1, n=59, AdjRsq=0.134)
Dependent variable = ATT.PctChg.1 
Run time = 2/24/2018 10:20:54 AM
File name = Stock_returns_stats2.xlsx
Computer name = FACDS2140
Program file name = RegressItPC
Version number = 2018.02.20
Execution time = 00h:00m:02s</t>
        </r>
      </text>
    </comment>
  </commentList>
</comments>
</file>

<file path=xl/comments2.xml><?xml version="1.0" encoding="utf-8"?>
<comments xmlns="http://schemas.openxmlformats.org/spreadsheetml/2006/main">
  <authors>
    <author>Bob Nau</author>
  </authors>
  <commentList>
    <comment ref="B1" authorId="0" shapeId="0">
      <text>
        <r>
          <rPr>
            <sz val="8"/>
            <color indexed="81"/>
            <rFont val="Tahoma"/>
            <family val="2"/>
          </rPr>
          <t>Microsoft model (#vars=1, n=59, AdjRsq=0.17)
Dependent variable = Microsoft.PctChg.1 
Run time = 2/24/2018 10:24:02 AM
File name = Stock_Returns_ATT.xlsx
Computer name = FACDS2140
Program file name = RegressItPC
Version number = 2018.02.20
Execution time = 00h:00m:01s</t>
        </r>
      </text>
    </comment>
  </commentList>
</comments>
</file>

<file path=xl/comments3.xml><?xml version="1.0" encoding="utf-8"?>
<comments xmlns="http://schemas.openxmlformats.org/spreadsheetml/2006/main">
  <authors>
    <author>Bob Nau</author>
  </authors>
  <commentList>
    <comment ref="B1" authorId="0" shapeId="0">
      <text>
        <r>
          <rPr>
            <sz val="8"/>
            <color indexed="81"/>
            <rFont val="Tahoma"/>
            <family val="2"/>
          </rPr>
          <t>Nordstrom model (#vars=1, n=59, AdjRsq=0.406)
Dependent variable = Nordstrom.PctChg.1 
Run time = 2/24/2018 10:24:41 AM
File name = Stock_Returns_Microsoft.xlsx
Computer name = FACDS2140
Program file name = RegressItPC
Version number = 2018.02.20
Execution time = 00h:00m:01s</t>
        </r>
      </text>
    </comment>
  </commentList>
</comments>
</file>

<file path=xl/comments4.xml><?xml version="1.0" encoding="utf-8"?>
<comments xmlns="http://schemas.openxmlformats.org/spreadsheetml/2006/main">
  <authors>
    <author>Bob Nau</author>
  </authors>
  <commentList>
    <comment ref="B4" authorId="0" shapeId="0">
      <text>
        <r>
          <rPr>
            <sz val="8"/>
            <color indexed="81"/>
            <rFont val="Tahoma"/>
            <family val="2"/>
          </rPr>
          <t>ATT model (#vars=1, n=59, AdjRsq=0.134)
Dependent variable = ATT.PctChg.1 
Run time = 2/24/2018 10:20:54 AM
File name = Stock_returns_stats2.xlsx
Computer name = FACDS2140
Program file name = RegressItPC
Version number = 2018.02.20
Execution time = 00h:00m:02s</t>
        </r>
      </text>
    </comment>
    <comment ref="A8" authorId="0" shapeId="0">
      <text>
        <r>
          <rPr>
            <sz val="8"/>
            <color indexed="81"/>
            <rFont val="Tahoma"/>
            <family val="2"/>
          </rPr>
          <t>You can make a chart of the standard error of the regression and/or R-squared versus the number of variables by selecting a 3-row range beginning in this cell and choosing Insert/Scatterchart from the Excel menu.</t>
        </r>
      </text>
    </comment>
    <comment ref="B15" authorId="0" shapeId="0">
      <text>
        <r>
          <rPr>
            <sz val="8"/>
            <color indexed="81"/>
            <rFont val="Tahoma"/>
            <family val="2"/>
          </rPr>
          <t>Adjusted Anderson-Darling statistic = 0.39 (P=0.376)
The critical value is 0.752 [1.035, 1.443] for non-normality
that is significant at the 0.05 [0.01, 0.001] level.
Jarque-Bera statistic = 0.45 (P=0.800)
The critical value is 5.991 [9.210, 13.816] for non-normality
that is significant at the 0.05 [0.01, 0.001] level,
 based on a Chi-square distribution with 2 degrees of freedom.</t>
        </r>
      </text>
    </comment>
    <comment ref="B20" authorId="0" shapeId="0">
      <text>
        <r>
          <rPr>
            <sz val="8"/>
            <color indexed="81"/>
            <rFont val="Tahoma"/>
            <family val="2"/>
          </rPr>
          <t>Model = ATT model
Variable =  Constant
Coeff = 0.0048531
StdErr = 0.0052272
t-stat = 0.928
P-value = 0.357
VIF = 0
StdCoeff = 0</t>
        </r>
      </text>
    </comment>
    <comment ref="B21" authorId="0" shapeId="0">
      <text>
        <r>
          <rPr>
            <sz val="8"/>
            <color indexed="81"/>
            <rFont val="Tahoma"/>
            <family val="2"/>
          </rPr>
          <t>Model = ATT model
Variable = SP_500.PctChg.1
Coeff = 0.42661
StdErr = 0.134844
t-stat = 3.164
P-value = 0.002
VIF = 1
StdCoeff = 0.38648</t>
        </r>
      </text>
    </comment>
    <comment ref="B26" authorId="0" shapeId="0">
      <text>
        <r>
          <rPr>
            <sz val="8"/>
            <color indexed="81"/>
            <rFont val="Tahoma"/>
            <family val="2"/>
          </rPr>
          <t>Microsoft model (#vars=1, n=59, AdjRsq=0.17)
Dependent variable = Microsoft.PctChg.1 
Run time = 2/24/2018 10:24:02 AM
File name = Stock_Returns_ATT.xlsx
Computer name = FACDS2140
Program file name = RegressItPC
Version number = 2018.02.20
Execution time = 00h:00m:01s</t>
        </r>
      </text>
    </comment>
    <comment ref="A30" authorId="0" shapeId="0">
      <text>
        <r>
          <rPr>
            <sz val="8"/>
            <color indexed="81"/>
            <rFont val="Tahoma"/>
            <family val="2"/>
          </rPr>
          <t>You can make a chart of the standard error of the regression and/or R-squared versus the number of variables by selecting a 3-row range beginning in this cell and choosing Insert/Scatterchart from the Excel menu.</t>
        </r>
      </text>
    </comment>
    <comment ref="B37" authorId="0" shapeId="0">
      <text>
        <r>
          <rPr>
            <sz val="8"/>
            <color indexed="81"/>
            <rFont val="Tahoma"/>
            <family val="2"/>
          </rPr>
          <t>Adjusted Anderson-Darling statistic = 0.40 (P=0.371)
The critical value is 0.752 [1.035, 1.443] for non-normality
that is significant at the 0.05 [0.01, 0.001] level.
Jarque-Bera statistic = 3.57 (P=0.168)
The critical value is 5.991 [9.210, 13.816] for non-normality
that is significant at the 0.05 [0.01, 0.001] level,
 based on a Chi-square distribution with 2 degrees of freedom.</t>
        </r>
      </text>
    </comment>
    <comment ref="B42" authorId="0" shapeId="0">
      <text>
        <r>
          <rPr>
            <sz val="8"/>
            <color indexed="81"/>
            <rFont val="Tahoma"/>
            <family val="2"/>
          </rPr>
          <t>Model = Microsoft model
Variable =  Constant
Coeff = 0.0160001
StdErr = 0.0087565
t-stat = 1.827
P-value = 0.073
VIF = 0
StdCoeff = 0</t>
        </r>
      </text>
    </comment>
    <comment ref="B43" authorId="0" shapeId="0">
      <text>
        <r>
          <rPr>
            <sz val="8"/>
            <color indexed="81"/>
            <rFont val="Tahoma"/>
            <family val="2"/>
          </rPr>
          <t>Model = Microsoft model
Variable = SP_500.PctChg.1
Coeff = 0.81112
StdErr = 0.22589
t-stat = 3.591
P-value = 0.001
VIF = 1
StdCoeff = 0.42951</t>
        </r>
      </text>
    </comment>
    <comment ref="B48" authorId="0" shapeId="0">
      <text>
        <r>
          <rPr>
            <sz val="8"/>
            <color indexed="81"/>
            <rFont val="Tahoma"/>
            <family val="2"/>
          </rPr>
          <t>Nordstrom model (#vars=1, n=59, AdjRsq=0.406)
Dependent variable = Nordstrom.PctChg.1 
Run time = 2/24/2018 10:24:41 AM
File name = Stock_Returns_Microsoft.xlsx
Computer name = FACDS2140
Program file name = RegressItPC
Version number = 2018.02.20
Execution time = 00h:00m:01s</t>
        </r>
      </text>
    </comment>
    <comment ref="A52" authorId="0" shapeId="0">
      <text>
        <r>
          <rPr>
            <sz val="8"/>
            <color indexed="81"/>
            <rFont val="Tahoma"/>
            <family val="2"/>
          </rPr>
          <t>You can make a chart of the standard error of the regression and/or R-squared versus the number of variables by selecting a 3-row range beginning in this cell and choosing Insert/Scatterchart from the Excel menu.</t>
        </r>
      </text>
    </comment>
    <comment ref="B59" authorId="0" shapeId="0">
      <text>
        <r>
          <rPr>
            <sz val="8"/>
            <color indexed="81"/>
            <rFont val="Tahoma"/>
            <family val="2"/>
          </rPr>
          <t>Adjusted Anderson-Darling statistic = 0.33 (P=0.523)
The critical value is 0.752 [1.035, 1.443] for non-normality
that is significant at the 0.05 [0.01, 0.001] level.
Jarque-Bera statistic = 3.50 (P=0.174)
The critical value is 5.991 [9.210, 13.816] for non-normality
that is significant at the 0.05 [0.01, 0.001] level,
 based on a Chi-square distribution with 2 degrees of freedom.</t>
        </r>
      </text>
    </comment>
    <comment ref="B64" authorId="0" shapeId="0">
      <text>
        <r>
          <rPr>
            <sz val="8"/>
            <color indexed="81"/>
            <rFont val="Tahoma"/>
            <family val="2"/>
          </rPr>
          <t>Model = Nordstrom model
Variable =  Constant
Coeff = 0.00266912
StdErr = 0.0076568
t-stat = 0.349
P-value = 0.729
VIF = 0
StdCoeff = 0</t>
        </r>
      </text>
    </comment>
    <comment ref="B65" authorId="0" shapeId="0">
      <text>
        <r>
          <rPr>
            <sz val="8"/>
            <color indexed="81"/>
            <rFont val="Tahoma"/>
            <family val="2"/>
          </rPr>
          <t>Model = Nordstrom model
Variable = SP_500.PctChg.1
Coeff = 1.25831
StdErr = 0.19752
t-stat = 6.371
P-value = 0
VIF = 1
StdCoeff = 0.64489</t>
        </r>
      </text>
    </comment>
  </commentList>
</comments>
</file>

<file path=xl/sharedStrings.xml><?xml version="1.0" encoding="utf-8"?>
<sst xmlns="http://schemas.openxmlformats.org/spreadsheetml/2006/main" count="402" uniqueCount="170">
  <si>
    <t>Date</t>
  </si>
  <si>
    <t>ATT</t>
  </si>
  <si>
    <t>Microsoft</t>
  </si>
  <si>
    <t>Nordstrom</t>
  </si>
  <si>
    <t>ATT.PctChg.1</t>
  </si>
  <si>
    <t>Microsoft.PctChg.1</t>
  </si>
  <si>
    <t>Nordstrom.PctChg.1</t>
  </si>
  <si>
    <t>SP_500</t>
  </si>
  <si>
    <t>SP_500.PctChg.1</t>
  </si>
  <si>
    <t>Descriptive Statistics</t>
  </si>
  <si>
    <t xml:space="preserve">Variable      </t>
  </si>
  <si>
    <t># Fitted</t>
  </si>
  <si>
    <t>Mean</t>
  </si>
  <si>
    <t>Median</t>
  </si>
  <si>
    <t>Std.Dev.</t>
  </si>
  <si>
    <t>Root.M.Sqr.</t>
  </si>
  <si>
    <t>Std.Err.Mean</t>
  </si>
  <si>
    <t>Minimum</t>
  </si>
  <si>
    <t>Maximum</t>
  </si>
  <si>
    <t>Series Plots</t>
  </si>
  <si>
    <t>Hi-res picture</t>
  </si>
  <si>
    <t>.</t>
  </si>
  <si>
    <t>Correlation Matrix (n=60)</t>
  </si>
  <si>
    <t xml:space="preserve">        SP_500</t>
  </si>
  <si>
    <t xml:space="preserve">           ATT</t>
  </si>
  <si>
    <t xml:space="preserve">      Microsoft</t>
  </si>
  <si>
    <t xml:space="preserve">      Nordstrom</t>
  </si>
  <si>
    <t>End of Output</t>
  </si>
  <si>
    <t>2/24/18 10:11 AM on FACDS2140 - Price stats - Stock_returns_data.xlsx - RegressItPC - Version 2018.02.20</t>
  </si>
  <si>
    <t>Price stats</t>
  </si>
  <si>
    <t>Observation #</t>
  </si>
  <si>
    <t>Skewness</t>
  </si>
  <si>
    <t>Kurtosis</t>
  </si>
  <si>
    <t>Autocorrelations</t>
  </si>
  <si>
    <t>Lag 1</t>
  </si>
  <si>
    <t>Lag 2</t>
  </si>
  <si>
    <t>Lag 3</t>
  </si>
  <si>
    <t>Lag 4</t>
  </si>
  <si>
    <t xml:space="preserve"> 1 2 3 4</t>
  </si>
  <si>
    <t>Scatterplots</t>
  </si>
  <si>
    <t>Correlation</t>
  </si>
  <si>
    <t>Squared</t>
  </si>
  <si>
    <t>Correlations and Squared Correlations -vs- SP_500.PctChg.1 (n=59)</t>
  </si>
  <si>
    <t>2/24/18 10:17 AM on FACDS2140 - Return stats - Stock_returns_stats1.xlsx - RegressItPC - Version 2018.02.20</t>
  </si>
  <si>
    <t>Return stats</t>
  </si>
  <si>
    <t>Model:</t>
  </si>
  <si>
    <t>ATT model</t>
  </si>
  <si>
    <t>2/24/18 10:20 AM on FACDS2140 - ATT model - Stock_returns_stats2.xlsx - RegressItPC - Version 2018.02.20</t>
  </si>
  <si>
    <t>Dependent Variable:</t>
  </si>
  <si>
    <t>Independent Variables:</t>
  </si>
  <si>
    <t>Equation:</t>
  </si>
  <si>
    <t>Predicted ATT.PctChg.1 = 0.004853 + 0.427*SP_500.PctChg.1</t>
  </si>
  <si>
    <t>Regression Statistics:    ATT model for ATT.PctChg.1    (1 variable, n=59)</t>
  </si>
  <si>
    <t>R-Squared</t>
  </si>
  <si>
    <t>Adj.R-Sqr.</t>
  </si>
  <si>
    <t xml:space="preserve">Std.Err.Reg. </t>
  </si>
  <si>
    <t>Std.Dep.Var.</t>
  </si>
  <si>
    <t># Missing</t>
  </si>
  <si>
    <t>Confidence</t>
  </si>
  <si>
    <t>Coefficient Estimates:    ATT model for ATT.PctChg.1    (1 variable, n=59)</t>
  </si>
  <si>
    <t>Variable</t>
  </si>
  <si>
    <t>Coefficient</t>
  </si>
  <si>
    <t>Std.Err.</t>
  </si>
  <si>
    <t>t-Statistic</t>
  </si>
  <si>
    <t>P-value</t>
  </si>
  <si>
    <t>With P-value</t>
  </si>
  <si>
    <t>Std. Coeff.</t>
  </si>
  <si>
    <t>VIF</t>
  </si>
  <si>
    <t xml:space="preserve"> Constant</t>
  </si>
  <si>
    <t>Analysis of Variance:    ATT model for ATT.PctChg.1    (1 variable, n=59)</t>
  </si>
  <si>
    <t>Source</t>
  </si>
  <si>
    <t>Regression</t>
  </si>
  <si>
    <t>Residual</t>
  </si>
  <si>
    <t>Total</t>
  </si>
  <si>
    <t>Deg. Freedom</t>
  </si>
  <si>
    <t>Sum Squares</t>
  </si>
  <si>
    <t>Mean Square</t>
  </si>
  <si>
    <t>F-Statistic</t>
  </si>
  <si>
    <t>Line Fit Plot</t>
  </si>
  <si>
    <t>StdErrMean</t>
  </si>
  <si>
    <t>StdErrFcst</t>
  </si>
  <si>
    <t>Predicted</t>
  </si>
  <si>
    <t>Error Distribution Statistics:    ATT model for ATT.PctChg.1    (1 variable, n=59)</t>
  </si>
  <si>
    <t>MASE lag 1</t>
  </si>
  <si>
    <t>Fitted (n=59)</t>
  </si>
  <si>
    <t>Mean Error</t>
  </si>
  <si>
    <t>RMSE</t>
  </si>
  <si>
    <t>MAE</t>
  </si>
  <si>
    <t>0.39 (P=0.376)</t>
  </si>
  <si>
    <t>A-D* stat</t>
  </si>
  <si>
    <t>Residual Autocorrelations:    ATT model for ATT.PctChg.1    (1 variable, n=59)</t>
  </si>
  <si>
    <t>Lag</t>
  </si>
  <si>
    <t>Autocorrelation</t>
  </si>
  <si>
    <t>StdErrorsFromZero</t>
  </si>
  <si>
    <t>Durbin-Watson</t>
  </si>
  <si>
    <t>Actual and Predicted -vs- Observation #</t>
  </si>
  <si>
    <t>Actual and Predicted -vs- Observation #
ATT model for ATT.PctChg.1    (1 variable, n=59)</t>
  </si>
  <si>
    <t>Residual -vs- Observation #</t>
  </si>
  <si>
    <t>Residual -vs- Predicted</t>
  </si>
  <si>
    <t>Histogram of Residuals</t>
  </si>
  <si>
    <t>Normal Quantile Plot</t>
  </si>
  <si>
    <t>Summary of Regression Model Results</t>
  </si>
  <si>
    <t>Dependent Variable:  ATT.PctChg.1</t>
  </si>
  <si>
    <t>Run Time</t>
  </si>
  <si>
    <t>Standard Deviation</t>
  </si>
  <si>
    <t>Number Of Variables</t>
  </si>
  <si>
    <t>Standard Error of Regression</t>
  </si>
  <si>
    <t>R-squared</t>
  </si>
  <si>
    <t>Adjusted R-squared</t>
  </si>
  <si>
    <t>Mean Absolute Error</t>
  </si>
  <si>
    <t>Mean Absolute Percentage Error</t>
  </si>
  <si>
    <t>Maximum VIF</t>
  </si>
  <si>
    <t>Normality Test</t>
  </si>
  <si>
    <t xml:space="preserve">  Coefficients:</t>
  </si>
  <si>
    <t>ATT model (#vars=1, n=59, AdjRsq=0.134): ATT.PctChg.1 &lt;&lt; SP_500.PctChg.1</t>
  </si>
  <si>
    <t xml:space="preserve">_  </t>
  </si>
  <si>
    <t>0.637 (lag 1)</t>
  </si>
  <si>
    <t>Mean Absolute Scaled Error</t>
  </si>
  <si>
    <t>-0.04 (lag 1)</t>
  </si>
  <si>
    <t>Residual Autocorrelation</t>
  </si>
  <si>
    <t>0.004853  (0.357)</t>
  </si>
  <si>
    <t>0.427  (0.002)</t>
  </si>
  <si>
    <t>White</t>
  </si>
  <si>
    <t>Font</t>
  </si>
  <si>
    <t>No Font</t>
  </si>
  <si>
    <t>No following model in this sequence.</t>
  </si>
  <si>
    <t>No preceding model in this sequence.</t>
  </si>
  <si>
    <t>R code:</t>
  </si>
  <si>
    <t>ATT.model &lt;- lm(ATT.PctChg.1 ~ SP_500.PctChg.1, data = BaseballData)</t>
  </si>
  <si>
    <t>NoHeaders</t>
  </si>
  <si>
    <t>No Comment</t>
  </si>
  <si>
    <t>Microsoft model</t>
  </si>
  <si>
    <t>2/24/18 10:24 AM on FACDS2140 - Microsoft model - Stock_Returns_ATT.xlsx - RegressItPC - Version 2018.02.20</t>
  </si>
  <si>
    <t>Predicted Microsoft.PctChg.1 = 0.016 + 0.811*SP_500.PctChg.1</t>
  </si>
  <si>
    <t>Regression Statistics:    Microsoft model for Microsoft.PctChg.1    (1 variable, n=59)</t>
  </si>
  <si>
    <t>Coefficient Estimates:    Microsoft model for Microsoft.PctChg.1    (1 variable, n=59)</t>
  </si>
  <si>
    <t>Analysis of Variance:    Microsoft model for Microsoft.PctChg.1    (1 variable, n=59)</t>
  </si>
  <si>
    <t>Error Distribution Statistics:    Microsoft model for Microsoft.PctChg.1    (1 variable, n=59)</t>
  </si>
  <si>
    <t>0.40 (P=0.371)</t>
  </si>
  <si>
    <t>Residual Autocorrelations:    Microsoft model for Microsoft.PctChg.1    (1 variable, n=59)</t>
  </si>
  <si>
    <t>Actual and Predicted -vs- Observation #
Microsoft model for Microsoft.PctChg.1    (1 variable, n=59)</t>
  </si>
  <si>
    <t>Dependent Var:  Microsoft.PctChg.1</t>
  </si>
  <si>
    <t>Microsoft model (#vars=1, n=59, AdjRsq=0.17): Microsoft.PctChg.1 &lt;&lt; SP_500.PctChg.1</t>
  </si>
  <si>
    <t>0.664 (lag 1)</t>
  </si>
  <si>
    <t>0.20 (lag 1)</t>
  </si>
  <si>
    <t>0.016  (0.073)</t>
  </si>
  <si>
    <t>0.811  (0.001)</t>
  </si>
  <si>
    <t>Microsoft.model &lt;- lm(Microsoft.PctChg.1 ~ SP_500.PctChg.1, data = BaseballData)</t>
  </si>
  <si>
    <t>ATT model last follower visited was Microsoft model (#vars=1, n=59, AdjRsq=0.17): Microsoft.PctChg.1 &lt;&lt; SP_500.PctChg.1</t>
  </si>
  <si>
    <t>ATT model following model is Microsoft model (#vars=1, n=59, AdjRsq=0.17): Microsoft.PctChg.1 &lt;&lt; SP_500.PctChg.1</t>
  </si>
  <si>
    <t>Nordstrom model</t>
  </si>
  <si>
    <t>2/24/18 10:24 AM on FACDS2140 - Nordstrom model - Stock_Returns_Microsoft.xlsx - RegressItPC - Version 2018.02.20</t>
  </si>
  <si>
    <t>Predicted Nordstrom.PctChg.1 = 0.002669 + 1.258*SP_500.PctChg.1</t>
  </si>
  <si>
    <t>Regression Statistics:    Nordstrom model for Nordstrom.PctChg.1    (1 variable, n=59)</t>
  </si>
  <si>
    <t>Coefficient Estimates:    Nordstrom model for Nordstrom.PctChg.1    (1 variable, n=59)</t>
  </si>
  <si>
    <t>Analysis of Variance:    Nordstrom model for Nordstrom.PctChg.1    (1 variable, n=59)</t>
  </si>
  <si>
    <t>Error Distribution Statistics:    Nordstrom model for Nordstrom.PctChg.1    (1 variable, n=59)</t>
  </si>
  <si>
    <t>0.33 (P=0.523)</t>
  </si>
  <si>
    <t>Residual Autocorrelations:    Nordstrom model for Nordstrom.PctChg.1    (1 variable, n=59)</t>
  </si>
  <si>
    <t>Actual and Predicted -vs- Observation #
Nordstrom model for Nordstrom.PctChg.1    (1 variable, n=59)</t>
  </si>
  <si>
    <t>Dependent Var:  Nordstrom.PctChg.1</t>
  </si>
  <si>
    <t>Nordstrom model (#vars=1, n=59, AdjRsq=0.406): Nordstrom.PctChg.1 &lt;&lt; SP_500.PctChg.1</t>
  </si>
  <si>
    <t>0.479 (lag 1)</t>
  </si>
  <si>
    <t>-0.30 (lag 1)</t>
  </si>
  <si>
    <t>0.002669  (0.729)</t>
  </si>
  <si>
    <t>1.258  (0.000)</t>
  </si>
  <si>
    <t>Nordstrom.model &lt;- lm(Nordstrom.PctChg.1 ~ SP_500.PctChg.1, data = BaseballData)</t>
  </si>
  <si>
    <t>Microsoft model last follower visited was Nordstrom model (#vars=1, n=59, AdjRsq=0.406): Nordstrom.PctChg.1 &lt;&lt; SP_500.PctChg.1</t>
  </si>
  <si>
    <t>Microsoft model following model is Nordstrom model (#vars=1, n=59, AdjRsq=0.406): Nordstrom.PctChg.1 &lt;&lt; SP_500.PctChg.1</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</si>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</sst>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0"/>
    <numFmt numFmtId="165" formatCode="#,###"/>
    <numFmt numFmtId="166" formatCode="0.000000"/>
    <numFmt numFmtId="167" formatCode="#,##0.000"/>
    <numFmt numFmtId="168" formatCode="0.0%"/>
    <numFmt numFmtId="169" formatCode="[$-409]m/d/yy\ h:mm\ AM/PM;@"/>
  </numFmts>
  <fonts count="18" x14ac:knownFonts="1">
    <font>
      <sz val="11"/>
      <color theme="1"/>
      <name val="Calibri"/>
      <family val="2"/>
      <scheme val="minor"/>
    </font>
    <font>
      <sz val="8"/>
      <color theme="1"/>
      <name val="Arial"/>
      <family val="2"/>
    </font>
    <font>
      <b/>
      <u/>
      <sz val="8"/>
      <color theme="1"/>
      <name val="Arial"/>
      <family val="2"/>
    </font>
    <font>
      <sz val="8"/>
      <color rgb="FFFFFFFF"/>
      <name val="Arial"/>
      <family val="2"/>
    </font>
    <font>
      <sz val="8"/>
      <color rgb="FFB2B2B2"/>
      <name val="Arial"/>
      <family val="2"/>
    </font>
    <font>
      <sz val="8"/>
      <color rgb="FF010101"/>
      <name val="Arial"/>
      <family val="2"/>
    </font>
    <font>
      <i/>
      <sz val="8"/>
      <color theme="1"/>
      <name val="Arial"/>
      <family val="2"/>
    </font>
    <font>
      <sz val="8"/>
      <color theme="0"/>
      <name val="Arial"/>
      <family val="2"/>
    </font>
    <font>
      <sz val="8"/>
      <color rgb="FF020202"/>
      <name val="Arial"/>
      <family val="2"/>
    </font>
    <font>
      <sz val="8"/>
      <color rgb="FFF8F8F8"/>
      <name val="Arial"/>
      <family val="2"/>
    </font>
    <font>
      <b/>
      <sz val="8"/>
      <color theme="1"/>
      <name val="Arial"/>
      <family val="2"/>
    </font>
    <font>
      <b/>
      <sz val="7"/>
      <color theme="1"/>
      <name val="Arial"/>
      <family val="2"/>
    </font>
    <font>
      <sz val="8"/>
      <color rgb="FF777777"/>
      <name val="Arial"/>
      <family val="2"/>
    </font>
    <font>
      <sz val="8"/>
      <color rgb="FF000000"/>
      <name val="Arial"/>
      <family val="2"/>
    </font>
    <font>
      <sz val="8"/>
      <color indexed="81"/>
      <name val="Tahoma"/>
      <family val="2"/>
    </font>
    <font>
      <b/>
      <sz val="8"/>
      <color rgb="FF000000"/>
      <name val="Arial"/>
      <family val="2"/>
    </font>
    <font>
      <sz val="8"/>
      <color rgb="FF808080"/>
      <name val="Arial"/>
      <family val="2"/>
    </font>
    <font>
      <sz val="8"/>
      <color rgb="FF000000"/>
      <name val="Arial Black"/>
      <family val="2"/>
    </font>
  </fonts>
  <fills count="3">
    <fill>
      <patternFill patternType="none"/>
    </fill>
    <fill>
      <patternFill patternType="gray125"/>
    </fill>
    <fill>
      <patternFill patternType="solid">
        <fgColor rgb="FFE6E6E6"/>
        <bgColor indexed="64"/>
      </patternFill>
    </fill>
  </fills>
  <borders count="3">
    <border>
      <left/>
      <right/>
      <top/>
      <bottom/>
      <diagonal/>
    </border>
    <border>
      <left/>
      <right/>
      <top/>
      <bottom style="medium">
        <color indexed="18"/>
      </bottom>
      <diagonal/>
    </border>
    <border>
      <left style="medium">
        <color indexed="18"/>
      </left>
      <right/>
      <top/>
      <bottom style="medium">
        <color indexed="18"/>
      </bottom>
      <diagonal/>
    </border>
  </borders>
  <cellStyleXfs count="1">
    <xf numFmtId="0" fontId="0" fillId="0" borderId="0"/>
  </cellStyleXfs>
  <cellXfs count="64">
    <xf numFmtId="0" fontId="0" fillId="0" borderId="0" xfId="0"/>
    <xf numFmtId="14" fontId="0" fillId="0" borderId="0" xfId="0" applyNumberFormat="1"/>
    <xf numFmtId="10" fontId="0" fillId="0" borderId="0" xfId="0" applyNumberFormat="1"/>
    <xf numFmtId="164" fontId="1" fillId="0" borderId="0" xfId="0" applyNumberFormat="1" applyFont="1"/>
    <xf numFmtId="164" fontId="2" fillId="0" borderId="0" xfId="0" applyNumberFormat="1" applyFont="1"/>
    <xf numFmtId="164" fontId="1" fillId="0" borderId="0" xfId="0" applyNumberFormat="1" applyFont="1" applyAlignment="1">
      <alignment horizontal="right"/>
    </xf>
    <xf numFmtId="164" fontId="1" fillId="0" borderId="1" xfId="0" applyNumberFormat="1" applyFont="1" applyBorder="1" applyAlignment="1">
      <alignment horizontal="right"/>
    </xf>
    <xf numFmtId="164" fontId="1" fillId="0" borderId="1" xfId="0" applyNumberFormat="1" applyFont="1" applyBorder="1"/>
    <xf numFmtId="164" fontId="1" fillId="0" borderId="0" xfId="0" applyNumberFormat="1" applyFont="1" applyAlignment="1">
      <alignment horizontal="center"/>
    </xf>
    <xf numFmtId="1" fontId="1" fillId="0" borderId="0" xfId="0" applyNumberFormat="1" applyFont="1"/>
    <xf numFmtId="165" fontId="1" fillId="0" borderId="0" xfId="0" applyNumberFormat="1" applyFont="1"/>
    <xf numFmtId="164" fontId="3" fillId="0" borderId="0" xfId="0" applyNumberFormat="1" applyFont="1"/>
    <xf numFmtId="164" fontId="4" fillId="0" borderId="0" xfId="0" applyNumberFormat="1" applyFont="1"/>
    <xf numFmtId="164" fontId="1" fillId="0" borderId="2" xfId="0" applyNumberFormat="1" applyFont="1" applyBorder="1"/>
    <xf numFmtId="164" fontId="5" fillId="0" borderId="0" xfId="0" applyNumberFormat="1" applyFont="1"/>
    <xf numFmtId="164" fontId="6" fillId="0" borderId="0" xfId="0" applyNumberFormat="1" applyFont="1"/>
    <xf numFmtId="164" fontId="7" fillId="0" borderId="0" xfId="0" applyNumberFormat="1" applyFont="1"/>
    <xf numFmtId="164" fontId="8" fillId="0" borderId="0" xfId="0" applyNumberFormat="1" applyFont="1"/>
    <xf numFmtId="166" fontId="1" fillId="0" borderId="0" xfId="0" applyNumberFormat="1" applyFont="1"/>
    <xf numFmtId="164" fontId="9" fillId="0" borderId="0" xfId="0" applyNumberFormat="1" applyFont="1"/>
    <xf numFmtId="167" fontId="1" fillId="0" borderId="0" xfId="0" applyNumberFormat="1" applyFont="1" applyAlignment="1"/>
    <xf numFmtId="167" fontId="10" fillId="0" borderId="0" xfId="0" applyNumberFormat="1" applyFont="1" applyAlignment="1"/>
    <xf numFmtId="167" fontId="3" fillId="0" borderId="0" xfId="0" applyNumberFormat="1" applyFont="1" applyAlignment="1"/>
    <xf numFmtId="167" fontId="6" fillId="0" borderId="0" xfId="0" applyNumberFormat="1" applyFont="1" applyAlignment="1"/>
    <xf numFmtId="167" fontId="2" fillId="0" borderId="0" xfId="0" applyNumberFormat="1" applyFont="1" applyAlignment="1"/>
    <xf numFmtId="167" fontId="1" fillId="0" borderId="1" xfId="0" applyNumberFormat="1" applyFont="1" applyBorder="1" applyAlignment="1"/>
    <xf numFmtId="167" fontId="11" fillId="0" borderId="1" xfId="0" applyNumberFormat="1" applyFont="1" applyBorder="1" applyAlignment="1"/>
    <xf numFmtId="167" fontId="11" fillId="0" borderId="1" xfId="0" applyNumberFormat="1" applyFont="1" applyBorder="1" applyAlignment="1">
      <alignment horizontal="right"/>
    </xf>
    <xf numFmtId="164" fontId="1" fillId="0" borderId="0" xfId="0" applyNumberFormat="1" applyFont="1" applyAlignment="1"/>
    <xf numFmtId="1" fontId="1" fillId="0" borderId="0" xfId="0" applyNumberFormat="1" applyFont="1" applyAlignment="1"/>
    <xf numFmtId="167" fontId="11" fillId="0" borderId="1" xfId="0" applyNumberFormat="1" applyFont="1" applyBorder="1" applyAlignment="1">
      <alignment horizontal="center"/>
    </xf>
    <xf numFmtId="1" fontId="1" fillId="0" borderId="0" xfId="0" applyNumberFormat="1" applyFont="1" applyAlignment="1">
      <alignment horizontal="center"/>
    </xf>
    <xf numFmtId="167" fontId="1" fillId="0" borderId="0" xfId="0" applyNumberFormat="1" applyFont="1" applyAlignment="1">
      <alignment horizontal="center"/>
    </xf>
    <xf numFmtId="168" fontId="1" fillId="0" borderId="0" xfId="0" applyNumberFormat="1" applyFont="1" applyAlignment="1">
      <alignment horizontal="center"/>
    </xf>
    <xf numFmtId="167" fontId="11" fillId="0" borderId="1" xfId="0" applyNumberFormat="1" applyFont="1" applyBorder="1" applyAlignment="1">
      <alignment horizontal="left"/>
    </xf>
    <xf numFmtId="167" fontId="1" fillId="0" borderId="0" xfId="0" applyNumberFormat="1" applyFont="1" applyAlignment="1">
      <alignment horizontal="left"/>
    </xf>
    <xf numFmtId="166" fontId="1" fillId="0" borderId="0" xfId="0" applyNumberFormat="1" applyFont="1" applyAlignment="1"/>
    <xf numFmtId="166" fontId="1" fillId="0" borderId="0" xfId="0" applyNumberFormat="1" applyFont="1" applyAlignment="1">
      <alignment horizontal="right"/>
    </xf>
    <xf numFmtId="167" fontId="12" fillId="0" borderId="0" xfId="0" applyNumberFormat="1" applyFont="1" applyAlignment="1">
      <alignment horizontal="left"/>
    </xf>
    <xf numFmtId="167" fontId="1" fillId="0" borderId="1" xfId="0" applyNumberFormat="1" applyFont="1" applyBorder="1" applyAlignment="1">
      <alignment horizontal="center"/>
    </xf>
    <xf numFmtId="167" fontId="9" fillId="0" borderId="0" xfId="0" applyNumberFormat="1" applyFont="1" applyAlignment="1"/>
    <xf numFmtId="1" fontId="11" fillId="0" borderId="1" xfId="0" applyNumberFormat="1" applyFont="1" applyBorder="1" applyAlignment="1">
      <alignment horizontal="right"/>
    </xf>
    <xf numFmtId="167" fontId="13" fillId="0" borderId="0" xfId="0" applyNumberFormat="1" applyFont="1" applyAlignment="1"/>
    <xf numFmtId="164" fontId="13" fillId="0" borderId="0" xfId="0" applyNumberFormat="1" applyFont="1" applyAlignment="1"/>
    <xf numFmtId="167" fontId="7" fillId="0" borderId="0" xfId="0" applyNumberFormat="1" applyFont="1" applyAlignment="1">
      <alignment wrapText="1"/>
    </xf>
    <xf numFmtId="167" fontId="1" fillId="0" borderId="0" xfId="0" applyNumberFormat="1" applyFont="1" applyAlignment="1">
      <alignment horizontal="right"/>
    </xf>
    <xf numFmtId="167" fontId="2" fillId="0" borderId="0" xfId="0" applyNumberFormat="1" applyFont="1" applyAlignment="1">
      <alignment horizontal="right"/>
    </xf>
    <xf numFmtId="167" fontId="1" fillId="2" borderId="0" xfId="0" applyNumberFormat="1" applyFont="1" applyFill="1" applyAlignment="1">
      <alignment horizontal="right"/>
    </xf>
    <xf numFmtId="167" fontId="10" fillId="2" borderId="0" xfId="0" applyNumberFormat="1" applyFont="1" applyFill="1" applyAlignment="1">
      <alignment horizontal="left"/>
    </xf>
    <xf numFmtId="167" fontId="10" fillId="0" borderId="0" xfId="0" applyNumberFormat="1" applyFont="1" applyAlignment="1">
      <alignment horizontal="right"/>
    </xf>
    <xf numFmtId="167" fontId="3" fillId="0" borderId="0" xfId="0" applyNumberFormat="1" applyFont="1" applyAlignment="1">
      <alignment horizontal="right"/>
    </xf>
    <xf numFmtId="169" fontId="1" fillId="0" borderId="0" xfId="0" applyNumberFormat="1" applyFont="1" applyAlignment="1">
      <alignment horizontal="right"/>
    </xf>
    <xf numFmtId="1" fontId="1" fillId="0" borderId="0" xfId="0" applyNumberFormat="1" applyFont="1" applyAlignment="1">
      <alignment horizontal="right"/>
    </xf>
    <xf numFmtId="167" fontId="1" fillId="0" borderId="0" xfId="0" applyNumberFormat="1" applyFont="1" applyFill="1" applyAlignment="1">
      <alignment horizontal="right"/>
    </xf>
    <xf numFmtId="167" fontId="13" fillId="0" borderId="0" xfId="0" applyNumberFormat="1" applyFont="1" applyFill="1" applyAlignment="1">
      <alignment horizontal="right"/>
    </xf>
    <xf numFmtId="167" fontId="5" fillId="0" borderId="0" xfId="0" applyNumberFormat="1" applyFont="1" applyAlignment="1"/>
    <xf numFmtId="167" fontId="8" fillId="0" borderId="0" xfId="0" applyNumberFormat="1" applyFont="1" applyAlignment="1"/>
    <xf numFmtId="167" fontId="7" fillId="0" borderId="0" xfId="0" applyNumberFormat="1" applyFont="1" applyAlignment="1"/>
    <xf numFmtId="164" fontId="15" fillId="0" borderId="0" xfId="0" applyNumberFormat="1" applyFont="1" applyAlignment="1">
      <alignment horizontal="right"/>
    </xf>
    <xf numFmtId="164" fontId="13" fillId="0" borderId="0" xfId="0" applyNumberFormat="1" applyFont="1" applyAlignment="1">
      <alignment horizontal="center"/>
    </xf>
    <xf numFmtId="164" fontId="16" fillId="0" borderId="0" xfId="0" applyNumberFormat="1" applyFont="1" applyAlignment="1"/>
    <xf numFmtId="167" fontId="16" fillId="0" borderId="0" xfId="0" applyNumberFormat="1" applyFont="1" applyAlignment="1"/>
    <xf numFmtId="164" fontId="17" fillId="0" borderId="0" xfId="0" applyNumberFormat="1" applyFont="1" applyAlignment="1">
      <alignment horizontal="right"/>
    </xf>
    <xf numFmtId="164" fontId="15"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 Id="rId5" Type="http://schemas.openxmlformats.org/officeDocument/2006/relationships/image" Target="../media/image6.png"/><Relationship Id="rId4" Type="http://schemas.openxmlformats.org/officeDocument/2006/relationships/image" Target="../media/image5.emf"/></Relationships>
</file>

<file path=xl/drawings/_rels/drawing3.xml.rels><?xml version="1.0" encoding="UTF-8" standalone="yes"?>
<Relationships xmlns="http://schemas.openxmlformats.org/package/2006/relationships"><Relationship Id="rId3" Type="http://schemas.openxmlformats.org/officeDocument/2006/relationships/image" Target="../media/image9.emf"/><Relationship Id="rId2" Type="http://schemas.openxmlformats.org/officeDocument/2006/relationships/image" Target="../media/image8.emf"/><Relationship Id="rId1" Type="http://schemas.openxmlformats.org/officeDocument/2006/relationships/image" Target="../media/image7.emf"/><Relationship Id="rId4" Type="http://schemas.openxmlformats.org/officeDocument/2006/relationships/image" Target="../media/image10.png"/></Relationships>
</file>

<file path=xl/drawings/_rels/drawing4.xml.rels><?xml version="1.0" encoding="UTF-8" standalone="yes"?>
<Relationships xmlns="http://schemas.openxmlformats.org/package/2006/relationships"><Relationship Id="rId3" Type="http://schemas.openxmlformats.org/officeDocument/2006/relationships/image" Target="../media/image13.emf"/><Relationship Id="rId7" Type="http://schemas.openxmlformats.org/officeDocument/2006/relationships/image" Target="../media/image17.png"/><Relationship Id="rId2" Type="http://schemas.openxmlformats.org/officeDocument/2006/relationships/image" Target="../media/image12.emf"/><Relationship Id="rId1" Type="http://schemas.openxmlformats.org/officeDocument/2006/relationships/image" Target="../media/image11.emf"/><Relationship Id="rId6" Type="http://schemas.openxmlformats.org/officeDocument/2006/relationships/image" Target="../media/image16.emf"/><Relationship Id="rId5" Type="http://schemas.openxmlformats.org/officeDocument/2006/relationships/image" Target="../media/image15.emf"/><Relationship Id="rId4" Type="http://schemas.openxmlformats.org/officeDocument/2006/relationships/image" Target="../media/image14.emf"/></Relationships>
</file>

<file path=xl/drawings/_rels/drawing5.xml.rels><?xml version="1.0" encoding="UTF-8" standalone="yes"?>
<Relationships xmlns="http://schemas.openxmlformats.org/package/2006/relationships"><Relationship Id="rId3" Type="http://schemas.openxmlformats.org/officeDocument/2006/relationships/image" Target="../media/image20.emf"/><Relationship Id="rId2" Type="http://schemas.openxmlformats.org/officeDocument/2006/relationships/image" Target="../media/image19.emf"/><Relationship Id="rId1" Type="http://schemas.openxmlformats.org/officeDocument/2006/relationships/image" Target="../media/image18.emf"/><Relationship Id="rId6" Type="http://schemas.openxmlformats.org/officeDocument/2006/relationships/image" Target="../media/image23.emf"/><Relationship Id="rId5" Type="http://schemas.openxmlformats.org/officeDocument/2006/relationships/image" Target="../media/image22.emf"/><Relationship Id="rId4" Type="http://schemas.openxmlformats.org/officeDocument/2006/relationships/image" Target="../media/image21.emf"/></Relationships>
</file>

<file path=xl/drawings/_rels/drawing6.xml.rels><?xml version="1.0" encoding="UTF-8" standalone="yes"?>
<Relationships xmlns="http://schemas.openxmlformats.org/package/2006/relationships"><Relationship Id="rId3" Type="http://schemas.openxmlformats.org/officeDocument/2006/relationships/image" Target="../media/image26.emf"/><Relationship Id="rId2" Type="http://schemas.openxmlformats.org/officeDocument/2006/relationships/image" Target="../media/image25.emf"/><Relationship Id="rId1" Type="http://schemas.openxmlformats.org/officeDocument/2006/relationships/image" Target="../media/image24.emf"/><Relationship Id="rId6" Type="http://schemas.openxmlformats.org/officeDocument/2006/relationships/image" Target="../media/image29.emf"/><Relationship Id="rId5" Type="http://schemas.openxmlformats.org/officeDocument/2006/relationships/image" Target="../media/image28.emf"/><Relationship Id="rId4" Type="http://schemas.openxmlformats.org/officeDocument/2006/relationships/image" Target="../media/image27.emf"/></Relationships>
</file>

<file path=xl/drawings/drawing1.xml><?xml version="1.0" encoding="utf-8"?>
<xdr:wsDr xmlns:xdr="http://schemas.openxmlformats.org/drawingml/2006/spreadsheetDrawing" xmlns:a="http://schemas.openxmlformats.org/drawingml/2006/main">
  <xdr:twoCellAnchor editAs="oneCell">
    <xdr:from>
      <xdr:col>1</xdr:col>
      <xdr:colOff>561975</xdr:colOff>
      <xdr:row>18</xdr:row>
      <xdr:rowOff>114300</xdr:rowOff>
    </xdr:from>
    <xdr:to>
      <xdr:col>11</xdr:col>
      <xdr:colOff>446688</xdr:colOff>
      <xdr:row>66</xdr:row>
      <xdr:rowOff>132205</xdr:rowOff>
    </xdr:to>
    <xdr:pic>
      <xdr:nvPicPr>
        <xdr:cNvPr id="3" name="Picture 2"/>
        <xdr:cNvPicPr>
          <a:picLocks noChangeAspect="1"/>
        </xdr:cNvPicPr>
      </xdr:nvPicPr>
      <xdr:blipFill>
        <a:blip xmlns:r="http://schemas.openxmlformats.org/officeDocument/2006/relationships" r:embed="rId1"/>
        <a:stretch>
          <a:fillRect/>
        </a:stretch>
      </xdr:blipFill>
      <xdr:spPr>
        <a:xfrm>
          <a:off x="1209675" y="3543300"/>
          <a:ext cx="7895238" cy="9161905"/>
        </a:xfrm>
        <a:prstGeom prst="rect">
          <a:avLst/>
        </a:prstGeom>
      </xdr:spPr>
    </xdr:pic>
    <xdr:clientData/>
  </xdr:twoCellAnchor>
  <xdr:twoCellAnchor>
    <xdr:from>
      <xdr:col>2</xdr:col>
      <xdr:colOff>9525</xdr:colOff>
      <xdr:row>3</xdr:row>
      <xdr:rowOff>180975</xdr:rowOff>
    </xdr:from>
    <xdr:to>
      <xdr:col>11</xdr:col>
      <xdr:colOff>361950</xdr:colOff>
      <xdr:row>17</xdr:row>
      <xdr:rowOff>85725</xdr:rowOff>
    </xdr:to>
    <xdr:sp macro="" textlink="">
      <xdr:nvSpPr>
        <xdr:cNvPr id="4" name="TextBox 3"/>
        <xdr:cNvSpPr txBox="1"/>
      </xdr:nvSpPr>
      <xdr:spPr>
        <a:xfrm>
          <a:off x="1266825" y="752475"/>
          <a:ext cx="7753350" cy="257175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This</a:t>
          </a:r>
          <a:r>
            <a:rPr lang="en-US" sz="1100" baseline="0">
              <a:solidFill>
                <a:schemeClr val="dk1"/>
              </a:solidFill>
              <a:effectLst/>
              <a:latin typeface="+mn-lt"/>
              <a:ea typeface="+mn-ea"/>
              <a:cs typeface="+mn-cs"/>
            </a:rPr>
            <a:t> file and the free Excel add-in which produced the analysis can be downloaded from https://regressit.com.   </a:t>
          </a:r>
        </a:p>
        <a:p>
          <a:endParaRPr lang="en-US" sz="1100" baseline="0">
            <a:solidFill>
              <a:schemeClr val="dk1"/>
            </a:solidFill>
            <a:effectLst/>
            <a:latin typeface="+mn-lt"/>
            <a:ea typeface="+mn-ea"/>
            <a:cs typeface="+mn-cs"/>
          </a:endParaRPr>
        </a:p>
        <a:p>
          <a:r>
            <a:rPr lang="en-US" sz="1100"/>
            <a:t>The original dataset</a:t>
          </a:r>
          <a:r>
            <a:rPr lang="en-US" sz="1100" baseline="0"/>
            <a:t> consisted of five years of monthly adjusted closing prices for 3 stocks and the S&amp;P 500 index.  Adjusted closing prices are corrected for dividends and stock splits in order to show real changes in value.  Their histories can be downloaded from web sites such as Yahoo Finance.</a:t>
          </a:r>
        </a:p>
        <a:p>
          <a:endParaRPr lang="en-US" sz="1100"/>
        </a:p>
        <a:p>
          <a:r>
            <a:rPr lang="en-US" sz="1100"/>
            <a:t>Here the percent-change-from-1-period-ago</a:t>
          </a:r>
          <a:r>
            <a:rPr lang="en-US" sz="1100" baseline="0"/>
            <a:t> transformation in RegressIt has been applied to all 4 variables in order  to compute monthly percentage returns.   Standarized variable names of the form "X.PCtChg.1" are assigned automatically . </a:t>
          </a:r>
        </a:p>
        <a:p>
          <a:endParaRPr lang="en-US" sz="1100" baseline="0"/>
        </a:p>
        <a:p>
          <a:r>
            <a:rPr lang="en-US" sz="1100" baseline="0"/>
            <a:t>According to the Capital Asset Pricing Model (CAPM), the slope coefficient ("beta") in a simple regression of the  excess return on the stock vs. the excess return on the market is a measure of the relative risk of the stock.   ("Excess" return means the difference between the actual return and the risk free rate, but the risk free rate has been so close to zero in recent years that it can be ignored for the purposes of this exercise.)  Stocks with higher betas are relatively more risky and therefore should be expected to have higher expected returns in an efficient market.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8</xdr:row>
      <xdr:rowOff>0</xdr:rowOff>
    </xdr:from>
    <xdr:to>
      <xdr:col>13</xdr:col>
      <xdr:colOff>0</xdr:colOff>
      <xdr:row>18</xdr:row>
      <xdr:rowOff>0</xdr:rowOff>
    </xdr:to>
    <xdr:pic>
      <xdr:nvPicPr>
        <xdr:cNvPr id="3073"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81100" y="1219200"/>
          <a:ext cx="7658100" cy="152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18</xdr:row>
      <xdr:rowOff>0</xdr:rowOff>
    </xdr:from>
    <xdr:to>
      <xdr:col>13</xdr:col>
      <xdr:colOff>0</xdr:colOff>
      <xdr:row>28</xdr:row>
      <xdr:rowOff>0</xdr:rowOff>
    </xdr:to>
    <xdr:pic>
      <xdr:nvPicPr>
        <xdr:cNvPr id="3074" name="Pictur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81100" y="2743200"/>
          <a:ext cx="7658100" cy="152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28</xdr:row>
      <xdr:rowOff>0</xdr:rowOff>
    </xdr:from>
    <xdr:to>
      <xdr:col>13</xdr:col>
      <xdr:colOff>0</xdr:colOff>
      <xdr:row>38</xdr:row>
      <xdr:rowOff>0</xdr:rowOff>
    </xdr:to>
    <xdr:pic>
      <xdr:nvPicPr>
        <xdr:cNvPr id="3075" name="Picture 3"/>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81100" y="4267200"/>
          <a:ext cx="7658100" cy="152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38</xdr:row>
      <xdr:rowOff>0</xdr:rowOff>
    </xdr:from>
    <xdr:to>
      <xdr:col>13</xdr:col>
      <xdr:colOff>0</xdr:colOff>
      <xdr:row>48</xdr:row>
      <xdr:rowOff>0</xdr:rowOff>
    </xdr:to>
    <xdr:pic>
      <xdr:nvPicPr>
        <xdr:cNvPr id="3076" name="Picture 4"/>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81100" y="5791200"/>
          <a:ext cx="7658100" cy="152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333375</xdr:colOff>
      <xdr:row>8</xdr:row>
      <xdr:rowOff>38100</xdr:rowOff>
    </xdr:from>
    <xdr:to>
      <xdr:col>25</xdr:col>
      <xdr:colOff>399127</xdr:colOff>
      <xdr:row>43</xdr:row>
      <xdr:rowOff>123148</xdr:rowOff>
    </xdr:to>
    <xdr:pic>
      <xdr:nvPicPr>
        <xdr:cNvPr id="3" name="Picture 2"/>
        <xdr:cNvPicPr>
          <a:picLocks noChangeAspect="1"/>
        </xdr:cNvPicPr>
      </xdr:nvPicPr>
      <xdr:blipFill>
        <a:blip xmlns:r="http://schemas.openxmlformats.org/officeDocument/2006/relationships" r:embed="rId5"/>
        <a:stretch>
          <a:fillRect/>
        </a:stretch>
      </xdr:blipFill>
      <xdr:spPr>
        <a:xfrm>
          <a:off x="9172575" y="1257300"/>
          <a:ext cx="7380952" cy="5419048"/>
        </a:xfrm>
        <a:prstGeom prst="rect">
          <a:avLst/>
        </a:prstGeom>
      </xdr:spPr>
    </xdr:pic>
    <xdr:clientData/>
  </xdr:twoCellAnchor>
  <xdr:twoCellAnchor>
    <xdr:from>
      <xdr:col>13</xdr:col>
      <xdr:colOff>0</xdr:colOff>
      <xdr:row>1</xdr:row>
      <xdr:rowOff>0</xdr:rowOff>
    </xdr:from>
    <xdr:to>
      <xdr:col>18</xdr:col>
      <xdr:colOff>504825</xdr:colOff>
      <xdr:row>6</xdr:row>
      <xdr:rowOff>28574</xdr:rowOff>
    </xdr:to>
    <xdr:sp macro="" textlink="">
      <xdr:nvSpPr>
        <xdr:cNvPr id="8" name="TextBox 7"/>
        <xdr:cNvSpPr txBox="1"/>
      </xdr:nvSpPr>
      <xdr:spPr>
        <a:xfrm>
          <a:off x="8839200" y="152400"/>
          <a:ext cx="3552825" cy="790574"/>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series plots of the 5-year</a:t>
          </a:r>
          <a:r>
            <a:rPr lang="en-US" sz="1100" baseline="0"/>
            <a:t> histories of adjusted closing prices show dramatic  overall growth, but the relations of their month-to-month changes is not readily apparent.</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22</xdr:row>
      <xdr:rowOff>12700</xdr:rowOff>
    </xdr:from>
    <xdr:to>
      <xdr:col>4</xdr:col>
      <xdr:colOff>609600</xdr:colOff>
      <xdr:row>38</xdr:row>
      <xdr:rowOff>12700</xdr:rowOff>
    </xdr:to>
    <xdr:pic>
      <xdr:nvPicPr>
        <xdr:cNvPr id="3073"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81100" y="3365500"/>
          <a:ext cx="2552700" cy="2438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609600</xdr:colOff>
      <xdr:row>22</xdr:row>
      <xdr:rowOff>12700</xdr:rowOff>
    </xdr:from>
    <xdr:to>
      <xdr:col>8</xdr:col>
      <xdr:colOff>571500</xdr:colOff>
      <xdr:row>38</xdr:row>
      <xdr:rowOff>12700</xdr:rowOff>
    </xdr:to>
    <xdr:pic>
      <xdr:nvPicPr>
        <xdr:cNvPr id="3074" name="Pictur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33800" y="3365500"/>
          <a:ext cx="2552700" cy="2438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571500</xdr:colOff>
      <xdr:row>22</xdr:row>
      <xdr:rowOff>12700</xdr:rowOff>
    </xdr:from>
    <xdr:to>
      <xdr:col>13</xdr:col>
      <xdr:colOff>0</xdr:colOff>
      <xdr:row>38</xdr:row>
      <xdr:rowOff>12700</xdr:rowOff>
    </xdr:to>
    <xdr:pic>
      <xdr:nvPicPr>
        <xdr:cNvPr id="3075" name="Picture 3"/>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286500" y="3365500"/>
          <a:ext cx="2552700" cy="2438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247650</xdr:colOff>
      <xdr:row>15</xdr:row>
      <xdr:rowOff>66675</xdr:rowOff>
    </xdr:from>
    <xdr:to>
      <xdr:col>25</xdr:col>
      <xdr:colOff>294355</xdr:colOff>
      <xdr:row>50</xdr:row>
      <xdr:rowOff>104104</xdr:rowOff>
    </xdr:to>
    <xdr:pic>
      <xdr:nvPicPr>
        <xdr:cNvPr id="5" name="Picture 4"/>
        <xdr:cNvPicPr>
          <a:picLocks noChangeAspect="1"/>
        </xdr:cNvPicPr>
      </xdr:nvPicPr>
      <xdr:blipFill>
        <a:blip xmlns:r="http://schemas.openxmlformats.org/officeDocument/2006/relationships" r:embed="rId4"/>
        <a:stretch>
          <a:fillRect/>
        </a:stretch>
      </xdr:blipFill>
      <xdr:spPr>
        <a:xfrm>
          <a:off x="9086850" y="2352675"/>
          <a:ext cx="7361905" cy="5371429"/>
        </a:xfrm>
        <a:prstGeom prst="rect">
          <a:avLst/>
        </a:prstGeom>
      </xdr:spPr>
    </xdr:pic>
    <xdr:clientData/>
  </xdr:twoCellAnchor>
  <xdr:twoCellAnchor>
    <xdr:from>
      <xdr:col>13</xdr:col>
      <xdr:colOff>257175</xdr:colOff>
      <xdr:row>1</xdr:row>
      <xdr:rowOff>28575</xdr:rowOff>
    </xdr:from>
    <xdr:to>
      <xdr:col>21</xdr:col>
      <xdr:colOff>266700</xdr:colOff>
      <xdr:row>14</xdr:row>
      <xdr:rowOff>104774</xdr:rowOff>
    </xdr:to>
    <xdr:sp macro="" textlink="">
      <xdr:nvSpPr>
        <xdr:cNvPr id="10" name="TextBox 9"/>
        <xdr:cNvSpPr txBox="1"/>
      </xdr:nvSpPr>
      <xdr:spPr>
        <a:xfrm>
          <a:off x="9096375" y="180975"/>
          <a:ext cx="4886325" cy="2057399"/>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Here the data analysis</a:t>
          </a:r>
          <a:r>
            <a:rPr lang="en-US" sz="1100" baseline="0"/>
            <a:t> procedure has been applied to the 4 monthly-return variables with the S&amp;P 500 return selected as the "variable to list first."  </a:t>
          </a:r>
        </a:p>
        <a:p>
          <a:endParaRPr lang="en-US" sz="1100" baseline="0"/>
        </a:p>
        <a:p>
          <a:r>
            <a:rPr lang="en-US" sz="1100" baseline="0"/>
            <a:t>The "show-scatterplots-for-first-variable-only-on-X-axis" option has been used to generate scatterplots in which the returns of the 3 stocks are plotted vs. the S&amp;P 500 return, with regression lines and slope coefficients (betas)  included on the charts.  </a:t>
          </a:r>
        </a:p>
        <a:p>
          <a:endParaRPr lang="en-US" sz="1100" baseline="0"/>
        </a:p>
        <a:p>
          <a:r>
            <a:rPr lang="en-US" sz="1100" baseline="0"/>
            <a:t>The estimated betas for Microsoft and Nordstrom are very close to  the current values reported by Yahoo Finance (which are 0.81 and 1.28 respectively).  AT&amp;T's estimated beta is a bit higher  than the official value (0.427 vs. 0.33).</a:t>
          </a:r>
          <a:endParaRPr lang="en-US" sz="1100"/>
        </a:p>
      </xdr:txBody>
    </xdr:sp>
    <xdr:clientData/>
  </xdr:twoCellAnchor>
  <xdr:twoCellAnchor>
    <xdr:from>
      <xdr:col>2</xdr:col>
      <xdr:colOff>495300</xdr:colOff>
      <xdr:row>24</xdr:row>
      <xdr:rowOff>66675</xdr:rowOff>
    </xdr:from>
    <xdr:to>
      <xdr:col>4</xdr:col>
      <xdr:colOff>57150</xdr:colOff>
      <xdr:row>26</xdr:row>
      <xdr:rowOff>19050</xdr:rowOff>
    </xdr:to>
    <xdr:sp macro="" textlink="">
      <xdr:nvSpPr>
        <xdr:cNvPr id="11" name="Oval 10"/>
        <xdr:cNvSpPr/>
      </xdr:nvSpPr>
      <xdr:spPr>
        <a:xfrm>
          <a:off x="2324100" y="3724275"/>
          <a:ext cx="857250" cy="257175"/>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447675</xdr:colOff>
      <xdr:row>24</xdr:row>
      <xdr:rowOff>66675</xdr:rowOff>
    </xdr:from>
    <xdr:to>
      <xdr:col>8</xdr:col>
      <xdr:colOff>9525</xdr:colOff>
      <xdr:row>26</xdr:row>
      <xdr:rowOff>19050</xdr:rowOff>
    </xdr:to>
    <xdr:sp macro="" textlink="">
      <xdr:nvSpPr>
        <xdr:cNvPr id="12" name="Oval 11"/>
        <xdr:cNvSpPr/>
      </xdr:nvSpPr>
      <xdr:spPr>
        <a:xfrm>
          <a:off x="4867275" y="3724275"/>
          <a:ext cx="857250" cy="257175"/>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409575</xdr:colOff>
      <xdr:row>24</xdr:row>
      <xdr:rowOff>57150</xdr:rowOff>
    </xdr:from>
    <xdr:to>
      <xdr:col>12</xdr:col>
      <xdr:colOff>47625</xdr:colOff>
      <xdr:row>26</xdr:row>
      <xdr:rowOff>9525</xdr:rowOff>
    </xdr:to>
    <xdr:sp macro="" textlink="">
      <xdr:nvSpPr>
        <xdr:cNvPr id="13" name="Oval 12"/>
        <xdr:cNvSpPr/>
      </xdr:nvSpPr>
      <xdr:spPr>
        <a:xfrm>
          <a:off x="7419975" y="3714750"/>
          <a:ext cx="857250" cy="257175"/>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127000</xdr:colOff>
      <xdr:row>23</xdr:row>
      <xdr:rowOff>127000</xdr:rowOff>
    </xdr:from>
    <xdr:to>
      <xdr:col>6</xdr:col>
      <xdr:colOff>688975</xdr:colOff>
      <xdr:row>41</xdr:row>
      <xdr:rowOff>136525</xdr:rowOff>
    </xdr:to>
    <xdr:pic>
      <xdr:nvPicPr>
        <xdr:cNvPr id="8193"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3441700"/>
          <a:ext cx="5181600"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56</xdr:row>
      <xdr:rowOff>127000</xdr:rowOff>
    </xdr:from>
    <xdr:to>
      <xdr:col>6</xdr:col>
      <xdr:colOff>688975</xdr:colOff>
      <xdr:row>74</xdr:row>
      <xdr:rowOff>127000</xdr:rowOff>
    </xdr:to>
    <xdr:pic>
      <xdr:nvPicPr>
        <xdr:cNvPr id="8194" name="Pictur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7000" y="8175625"/>
          <a:ext cx="5181600" cy="257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78</xdr:row>
      <xdr:rowOff>127000</xdr:rowOff>
    </xdr:from>
    <xdr:to>
      <xdr:col>6</xdr:col>
      <xdr:colOff>688975</xdr:colOff>
      <xdr:row>96</xdr:row>
      <xdr:rowOff>136525</xdr:rowOff>
    </xdr:to>
    <xdr:pic>
      <xdr:nvPicPr>
        <xdr:cNvPr id="8195" name="Picture 3"/>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7000" y="11318875"/>
          <a:ext cx="5181600"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100</xdr:row>
      <xdr:rowOff>127000</xdr:rowOff>
    </xdr:from>
    <xdr:to>
      <xdr:col>6</xdr:col>
      <xdr:colOff>688975</xdr:colOff>
      <xdr:row>118</xdr:row>
      <xdr:rowOff>127000</xdr:rowOff>
    </xdr:to>
    <xdr:pic>
      <xdr:nvPicPr>
        <xdr:cNvPr id="8196" name="Picture 4"/>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7000" y="14462125"/>
          <a:ext cx="5181600" cy="257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122</xdr:row>
      <xdr:rowOff>127002</xdr:rowOff>
    </xdr:from>
    <xdr:to>
      <xdr:col>6</xdr:col>
      <xdr:colOff>688975</xdr:colOff>
      <xdr:row>140</xdr:row>
      <xdr:rowOff>136527</xdr:rowOff>
    </xdr:to>
    <xdr:pic>
      <xdr:nvPicPr>
        <xdr:cNvPr id="8197" name="Picture 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27000" y="17605377"/>
          <a:ext cx="5181600"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144</xdr:row>
      <xdr:rowOff>126998</xdr:rowOff>
    </xdr:from>
    <xdr:to>
      <xdr:col>6</xdr:col>
      <xdr:colOff>688975</xdr:colOff>
      <xdr:row>162</xdr:row>
      <xdr:rowOff>126998</xdr:rowOff>
    </xdr:to>
    <xdr:pic>
      <xdr:nvPicPr>
        <xdr:cNvPr id="8198" name="Picture 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27000" y="20748623"/>
          <a:ext cx="5181600" cy="257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257175</xdr:colOff>
      <xdr:row>31</xdr:row>
      <xdr:rowOff>85725</xdr:rowOff>
    </xdr:from>
    <xdr:to>
      <xdr:col>22</xdr:col>
      <xdr:colOff>379981</xdr:colOff>
      <xdr:row>76</xdr:row>
      <xdr:rowOff>37354</xdr:rowOff>
    </xdr:to>
    <xdr:pic>
      <xdr:nvPicPr>
        <xdr:cNvPr id="9" name="Picture 8"/>
        <xdr:cNvPicPr>
          <a:picLocks noChangeAspect="1"/>
        </xdr:cNvPicPr>
      </xdr:nvPicPr>
      <xdr:blipFill>
        <a:blip xmlns:r="http://schemas.openxmlformats.org/officeDocument/2006/relationships" r:embed="rId7"/>
        <a:stretch>
          <a:fillRect/>
        </a:stretch>
      </xdr:blipFill>
      <xdr:spPr>
        <a:xfrm>
          <a:off x="7019925" y="2819400"/>
          <a:ext cx="8152381" cy="5971429"/>
        </a:xfrm>
        <a:prstGeom prst="rect">
          <a:avLst/>
        </a:prstGeom>
      </xdr:spPr>
    </xdr:pic>
    <xdr:clientData/>
  </xdr:twoCellAnchor>
  <xdr:twoCellAnchor>
    <xdr:from>
      <xdr:col>9</xdr:col>
      <xdr:colOff>247650</xdr:colOff>
      <xdr:row>1</xdr:row>
      <xdr:rowOff>9525</xdr:rowOff>
    </xdr:from>
    <xdr:to>
      <xdr:col>15</xdr:col>
      <xdr:colOff>409578</xdr:colOff>
      <xdr:row>29</xdr:row>
      <xdr:rowOff>3</xdr:rowOff>
    </xdr:to>
    <xdr:sp macro="" textlink="">
      <xdr:nvSpPr>
        <xdr:cNvPr id="16" name="TextBox 15"/>
        <xdr:cNvSpPr txBox="1"/>
      </xdr:nvSpPr>
      <xdr:spPr>
        <a:xfrm>
          <a:off x="7010400" y="152400"/>
          <a:ext cx="3924303" cy="2295528"/>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Here are the complete results for the regression of AT&amp;T's</a:t>
          </a:r>
          <a:r>
            <a:rPr lang="en-US" sz="1100" baseline="0"/>
            <a:t> </a:t>
          </a:r>
          <a:r>
            <a:rPr lang="en-US" sz="1100"/>
            <a:t> return on the S&amp;P 500 return.   For</a:t>
          </a:r>
          <a:r>
            <a:rPr lang="en-US" sz="1100" baseline="0"/>
            <a:t> a simple regression model, t</a:t>
          </a:r>
          <a:r>
            <a:rPr lang="en-US" sz="1100"/>
            <a:t>he regression equation is shown in</a:t>
          </a:r>
          <a:r>
            <a:rPr lang="en-US" sz="1100" baseline="0"/>
            <a:t> the title of the line fit plot.</a:t>
          </a:r>
        </a:p>
        <a:p>
          <a:endParaRPr lang="en-US" sz="1100" baseline="0"/>
        </a:p>
        <a:p>
          <a:r>
            <a:rPr lang="en-US" sz="1100" baseline="0"/>
            <a:t>The P-value of the A-D* stat is 0.393, indicating that the error distribution is very close to normal.  This is also apparent in the very linear pattern that is seen on the normal quantile plot.  </a:t>
          </a:r>
        </a:p>
        <a:p>
          <a:endParaRPr lang="en-US" sz="1100" baseline="0"/>
        </a:p>
        <a:p>
          <a:r>
            <a:rPr lang="en-US" sz="1100" baseline="0"/>
            <a:t>The residual autocorrelations  are all well below the  two-standard-error threshold of statistical significance.  Their standard errors are roughly 0.13, as seen in row below the autocorrelation table whose contents have been unhidden.</a:t>
          </a:r>
        </a:p>
        <a:p>
          <a:endParaRPr lang="en-US" sz="1100" baseline="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127000</xdr:colOff>
      <xdr:row>23</xdr:row>
      <xdr:rowOff>127000</xdr:rowOff>
    </xdr:from>
    <xdr:to>
      <xdr:col>6</xdr:col>
      <xdr:colOff>688975</xdr:colOff>
      <xdr:row>41</xdr:row>
      <xdr:rowOff>136525</xdr:rowOff>
    </xdr:to>
    <xdr:pic>
      <xdr:nvPicPr>
        <xdr:cNvPr id="16385"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3441700"/>
          <a:ext cx="5181600"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56</xdr:row>
      <xdr:rowOff>127000</xdr:rowOff>
    </xdr:from>
    <xdr:to>
      <xdr:col>6</xdr:col>
      <xdr:colOff>688975</xdr:colOff>
      <xdr:row>74</xdr:row>
      <xdr:rowOff>127000</xdr:rowOff>
    </xdr:to>
    <xdr:pic>
      <xdr:nvPicPr>
        <xdr:cNvPr id="16386" name="Pictur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7000" y="8175625"/>
          <a:ext cx="5181600" cy="257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78</xdr:row>
      <xdr:rowOff>127000</xdr:rowOff>
    </xdr:from>
    <xdr:to>
      <xdr:col>6</xdr:col>
      <xdr:colOff>688975</xdr:colOff>
      <xdr:row>96</xdr:row>
      <xdr:rowOff>136525</xdr:rowOff>
    </xdr:to>
    <xdr:pic>
      <xdr:nvPicPr>
        <xdr:cNvPr id="16387" name="Picture 3"/>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7000" y="11318875"/>
          <a:ext cx="5181600"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100</xdr:row>
      <xdr:rowOff>127000</xdr:rowOff>
    </xdr:from>
    <xdr:to>
      <xdr:col>6</xdr:col>
      <xdr:colOff>688975</xdr:colOff>
      <xdr:row>118</xdr:row>
      <xdr:rowOff>127000</xdr:rowOff>
    </xdr:to>
    <xdr:pic>
      <xdr:nvPicPr>
        <xdr:cNvPr id="16388" name="Picture 4"/>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7000" y="14462125"/>
          <a:ext cx="5181600" cy="257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122</xdr:row>
      <xdr:rowOff>127002</xdr:rowOff>
    </xdr:from>
    <xdr:to>
      <xdr:col>6</xdr:col>
      <xdr:colOff>688975</xdr:colOff>
      <xdr:row>140</xdr:row>
      <xdr:rowOff>136527</xdr:rowOff>
    </xdr:to>
    <xdr:pic>
      <xdr:nvPicPr>
        <xdr:cNvPr id="16389" name="Picture 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27000" y="17605377"/>
          <a:ext cx="5181600"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144</xdr:row>
      <xdr:rowOff>126998</xdr:rowOff>
    </xdr:from>
    <xdr:to>
      <xdr:col>6</xdr:col>
      <xdr:colOff>688975</xdr:colOff>
      <xdr:row>162</xdr:row>
      <xdr:rowOff>126998</xdr:rowOff>
    </xdr:to>
    <xdr:pic>
      <xdr:nvPicPr>
        <xdr:cNvPr id="16390" name="Picture 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27000" y="20748623"/>
          <a:ext cx="5181600" cy="257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127000</xdr:colOff>
      <xdr:row>23</xdr:row>
      <xdr:rowOff>127000</xdr:rowOff>
    </xdr:from>
    <xdr:to>
      <xdr:col>6</xdr:col>
      <xdr:colOff>688975</xdr:colOff>
      <xdr:row>41</xdr:row>
      <xdr:rowOff>136525</xdr:rowOff>
    </xdr:to>
    <xdr:pic>
      <xdr:nvPicPr>
        <xdr:cNvPr id="23553"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3441700"/>
          <a:ext cx="5181600"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56</xdr:row>
      <xdr:rowOff>127000</xdr:rowOff>
    </xdr:from>
    <xdr:to>
      <xdr:col>6</xdr:col>
      <xdr:colOff>688975</xdr:colOff>
      <xdr:row>74</xdr:row>
      <xdr:rowOff>127000</xdr:rowOff>
    </xdr:to>
    <xdr:pic>
      <xdr:nvPicPr>
        <xdr:cNvPr id="23554" name="Pictur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7000" y="8175625"/>
          <a:ext cx="5181600" cy="257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78</xdr:row>
      <xdr:rowOff>127000</xdr:rowOff>
    </xdr:from>
    <xdr:to>
      <xdr:col>6</xdr:col>
      <xdr:colOff>688975</xdr:colOff>
      <xdr:row>96</xdr:row>
      <xdr:rowOff>136525</xdr:rowOff>
    </xdr:to>
    <xdr:pic>
      <xdr:nvPicPr>
        <xdr:cNvPr id="23555" name="Picture 3"/>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7000" y="11318875"/>
          <a:ext cx="5181600"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100</xdr:row>
      <xdr:rowOff>127000</xdr:rowOff>
    </xdr:from>
    <xdr:to>
      <xdr:col>6</xdr:col>
      <xdr:colOff>688975</xdr:colOff>
      <xdr:row>118</xdr:row>
      <xdr:rowOff>127000</xdr:rowOff>
    </xdr:to>
    <xdr:pic>
      <xdr:nvPicPr>
        <xdr:cNvPr id="23556" name="Picture 4"/>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7000" y="14462125"/>
          <a:ext cx="5181600" cy="257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122</xdr:row>
      <xdr:rowOff>127002</xdr:rowOff>
    </xdr:from>
    <xdr:to>
      <xdr:col>6</xdr:col>
      <xdr:colOff>688975</xdr:colOff>
      <xdr:row>140</xdr:row>
      <xdr:rowOff>136527</xdr:rowOff>
    </xdr:to>
    <xdr:pic>
      <xdr:nvPicPr>
        <xdr:cNvPr id="23557" name="Picture 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27000" y="17605377"/>
          <a:ext cx="5181600"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144</xdr:row>
      <xdr:rowOff>126998</xdr:rowOff>
    </xdr:from>
    <xdr:to>
      <xdr:col>6</xdr:col>
      <xdr:colOff>688975</xdr:colOff>
      <xdr:row>162</xdr:row>
      <xdr:rowOff>126998</xdr:rowOff>
    </xdr:to>
    <xdr:pic>
      <xdr:nvPicPr>
        <xdr:cNvPr id="23558" name="Picture 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27000" y="20748623"/>
          <a:ext cx="5181600" cy="257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tabSelected="1" workbookViewId="0"/>
  </sheetViews>
  <sheetFormatPr defaultRowHeight="15" x14ac:dyDescent="0.25"/>
  <cols>
    <col min="1" max="1" width="9.7109375" bestFit="1" customWidth="1"/>
    <col min="3" max="3" width="12.42578125" bestFit="1" customWidth="1"/>
    <col min="4" max="4" width="9.42578125" bestFit="1" customWidth="1"/>
    <col min="5" max="5" width="17.85546875" bestFit="1" customWidth="1"/>
    <col min="6" max="6" width="10.5703125" bestFit="1" customWidth="1"/>
    <col min="7" max="7" width="19" bestFit="1" customWidth="1"/>
    <col min="8" max="8" width="8" bestFit="1" customWidth="1"/>
    <col min="9" max="9" width="15.42578125" bestFit="1" customWidth="1"/>
  </cols>
  <sheetData>
    <row r="1" spans="1:9" x14ac:dyDescent="0.25">
      <c r="A1" t="s">
        <v>0</v>
      </c>
      <c r="B1" t="s">
        <v>1</v>
      </c>
      <c r="C1" t="s">
        <v>4</v>
      </c>
      <c r="D1" t="s">
        <v>2</v>
      </c>
      <c r="E1" t="s">
        <v>5</v>
      </c>
      <c r="F1" t="s">
        <v>3</v>
      </c>
      <c r="G1" t="s">
        <v>6</v>
      </c>
      <c r="H1" t="s">
        <v>7</v>
      </c>
      <c r="I1" t="s">
        <v>8</v>
      </c>
    </row>
    <row r="2" spans="1:9" x14ac:dyDescent="0.25">
      <c r="A2" s="1">
        <v>40269</v>
      </c>
      <c r="B2">
        <v>20.12</v>
      </c>
      <c r="C2" s="2"/>
      <c r="D2">
        <v>35.18</v>
      </c>
      <c r="E2" s="2"/>
      <c r="F2">
        <v>37.340000000000003</v>
      </c>
      <c r="G2" s="2"/>
      <c r="H2">
        <v>1186.69</v>
      </c>
      <c r="I2" s="2"/>
    </row>
    <row r="3" spans="1:9" x14ac:dyDescent="0.25">
      <c r="A3" s="1">
        <v>40301</v>
      </c>
      <c r="B3">
        <v>18.760000000000002</v>
      </c>
      <c r="C3" s="2">
        <v>-6.7594433399602361E-2</v>
      </c>
      <c r="D3">
        <v>34.61</v>
      </c>
      <c r="E3" s="2">
        <v>-1.6202387720295631E-2</v>
      </c>
      <c r="F3">
        <v>36.049999999999997</v>
      </c>
      <c r="G3" s="2">
        <v>-3.4547402249598451E-2</v>
      </c>
      <c r="H3">
        <v>1089.4100000000001</v>
      </c>
      <c r="I3" s="2">
        <v>-8.1975916203894841E-2</v>
      </c>
    </row>
    <row r="4" spans="1:9" x14ac:dyDescent="0.25">
      <c r="A4" s="1">
        <v>40330</v>
      </c>
      <c r="B4">
        <v>18.670000000000002</v>
      </c>
      <c r="C4" s="2">
        <v>-4.7974413646055354E-3</v>
      </c>
      <c r="D4">
        <v>33.89</v>
      </c>
      <c r="E4" s="2">
        <v>-2.0803236058942468E-2</v>
      </c>
      <c r="F4">
        <v>29.23</v>
      </c>
      <c r="G4" s="2">
        <v>-0.18918169209431338</v>
      </c>
      <c r="H4">
        <v>1030.71</v>
      </c>
      <c r="I4" s="2">
        <v>-5.3882376699314345E-2</v>
      </c>
    </row>
    <row r="5" spans="1:9" x14ac:dyDescent="0.25">
      <c r="A5" s="1">
        <v>40360</v>
      </c>
      <c r="B5">
        <v>20.37</v>
      </c>
      <c r="C5" s="2">
        <v>9.1055168719871404E-2</v>
      </c>
      <c r="D5">
        <v>34.659999999999997</v>
      </c>
      <c r="E5" s="2">
        <v>2.272056653880189E-2</v>
      </c>
      <c r="F5">
        <v>30.88</v>
      </c>
      <c r="G5" s="2">
        <v>5.6448853917208296E-2</v>
      </c>
      <c r="H5">
        <v>1101.5999999999999</v>
      </c>
      <c r="I5" s="2">
        <v>6.8777832756061225E-2</v>
      </c>
    </row>
    <row r="6" spans="1:9" x14ac:dyDescent="0.25">
      <c r="A6" s="1">
        <v>40392</v>
      </c>
      <c r="B6">
        <v>21.23</v>
      </c>
      <c r="C6" s="2">
        <v>4.2218949435444249E-2</v>
      </c>
      <c r="D6">
        <v>32.76</v>
      </c>
      <c r="E6" s="2">
        <v>-5.481823427582224E-2</v>
      </c>
      <c r="F6">
        <v>26.44</v>
      </c>
      <c r="G6" s="2">
        <v>-0.14378238341968905</v>
      </c>
      <c r="H6">
        <v>1049.33</v>
      </c>
      <c r="I6" s="2">
        <v>-4.7449164851125623E-2</v>
      </c>
    </row>
    <row r="7" spans="1:9" x14ac:dyDescent="0.25">
      <c r="A7" s="1">
        <v>40422</v>
      </c>
      <c r="B7">
        <v>22.46</v>
      </c>
      <c r="C7" s="2">
        <v>5.7936881771078683E-2</v>
      </c>
      <c r="D7">
        <v>38.24</v>
      </c>
      <c r="E7" s="2">
        <v>0.1672771672771674</v>
      </c>
      <c r="F7">
        <v>34.01</v>
      </c>
      <c r="G7" s="2">
        <v>0.28630862329803314</v>
      </c>
      <c r="H7">
        <v>1141.2</v>
      </c>
      <c r="I7" s="2">
        <v>8.7551104037814728E-2</v>
      </c>
    </row>
    <row r="8" spans="1:9" x14ac:dyDescent="0.25">
      <c r="A8" s="1">
        <v>40452</v>
      </c>
      <c r="B8">
        <v>22.73</v>
      </c>
      <c r="C8" s="2">
        <v>1.2021371326803186E-2</v>
      </c>
      <c r="D8">
        <v>40.56</v>
      </c>
      <c r="E8" s="2">
        <v>6.0669456066945612E-2</v>
      </c>
      <c r="F8">
        <v>35.21</v>
      </c>
      <c r="G8" s="2">
        <v>3.5283740076448189E-2</v>
      </c>
      <c r="H8">
        <v>1183.26</v>
      </c>
      <c r="I8" s="2">
        <v>3.6855941114616146E-2</v>
      </c>
    </row>
    <row r="9" spans="1:9" x14ac:dyDescent="0.25">
      <c r="A9" s="1">
        <v>40483</v>
      </c>
      <c r="B9">
        <v>22.14</v>
      </c>
      <c r="C9" s="2">
        <v>-2.5956885173779139E-2</v>
      </c>
      <c r="D9">
        <v>41.93</v>
      </c>
      <c r="E9" s="2">
        <v>3.3777120315581791E-2</v>
      </c>
      <c r="F9">
        <v>39.31</v>
      </c>
      <c r="G9" s="2">
        <v>0.11644419199091172</v>
      </c>
      <c r="H9">
        <v>1180.55</v>
      </c>
      <c r="I9" s="2">
        <v>-2.290282778087687E-3</v>
      </c>
    </row>
    <row r="10" spans="1:9" x14ac:dyDescent="0.25">
      <c r="A10" s="1">
        <v>40513</v>
      </c>
      <c r="B10">
        <v>23.41</v>
      </c>
      <c r="C10" s="2">
        <v>5.7362240289069534E-2</v>
      </c>
      <c r="D10">
        <v>43.47</v>
      </c>
      <c r="E10" s="2">
        <v>3.6727879799666088E-2</v>
      </c>
      <c r="F10">
        <v>38.92</v>
      </c>
      <c r="G10" s="2">
        <v>-9.9211396591198306E-3</v>
      </c>
      <c r="H10">
        <v>1257.6400000000001</v>
      </c>
      <c r="I10" s="2">
        <v>6.5300072000338952E-2</v>
      </c>
    </row>
    <row r="11" spans="1:9" x14ac:dyDescent="0.25">
      <c r="A11" s="1">
        <v>40546</v>
      </c>
      <c r="B11">
        <v>22.25</v>
      </c>
      <c r="C11" s="2">
        <v>-4.9551473729175573E-2</v>
      </c>
      <c r="D11">
        <v>45.72</v>
      </c>
      <c r="E11" s="2">
        <v>5.1759834368530024E-2</v>
      </c>
      <c r="F11">
        <v>37.82</v>
      </c>
      <c r="G11" s="2">
        <v>-2.8263103802672183E-2</v>
      </c>
      <c r="H11">
        <v>1286.1199999999999</v>
      </c>
      <c r="I11" s="2">
        <v>2.2645590152984788E-2</v>
      </c>
    </row>
    <row r="12" spans="1:9" x14ac:dyDescent="0.25">
      <c r="A12" s="1">
        <v>40575</v>
      </c>
      <c r="B12">
        <v>22.94</v>
      </c>
      <c r="C12" s="2">
        <v>3.1011235955056237E-2</v>
      </c>
      <c r="D12">
        <v>47.6</v>
      </c>
      <c r="E12" s="2">
        <v>4.1119860017497872E-2</v>
      </c>
      <c r="F12">
        <v>41.57</v>
      </c>
      <c r="G12" s="2">
        <v>9.9153886832363827E-2</v>
      </c>
      <c r="H12">
        <v>1327.22</v>
      </c>
      <c r="I12" s="2">
        <v>3.195658258949409E-2</v>
      </c>
    </row>
    <row r="13" spans="1:9" x14ac:dyDescent="0.25">
      <c r="A13" s="1">
        <v>40603</v>
      </c>
      <c r="B13">
        <v>24.75</v>
      </c>
      <c r="C13" s="2">
        <v>7.8901482127288522E-2</v>
      </c>
      <c r="D13">
        <v>46.96</v>
      </c>
      <c r="E13" s="2">
        <v>-1.3445378151260515E-2</v>
      </c>
      <c r="F13">
        <v>41.43</v>
      </c>
      <c r="G13" s="2">
        <v>-3.3678133269184644E-3</v>
      </c>
      <c r="H13">
        <v>1325.83</v>
      </c>
      <c r="I13" s="2">
        <v>-1.047301879115821E-3</v>
      </c>
    </row>
    <row r="14" spans="1:9" x14ac:dyDescent="0.25">
      <c r="A14" s="1">
        <v>40634</v>
      </c>
      <c r="B14">
        <v>25.52</v>
      </c>
      <c r="C14" s="2">
        <v>3.1111111111111093E-2</v>
      </c>
      <c r="D14">
        <v>47.18</v>
      </c>
      <c r="E14" s="2">
        <v>4.6848381601362621E-3</v>
      </c>
      <c r="F14">
        <v>43.9</v>
      </c>
      <c r="G14" s="2">
        <v>5.9618633840212376E-2</v>
      </c>
      <c r="H14">
        <v>1363.61</v>
      </c>
      <c r="I14" s="2">
        <v>2.8495357625034863E-2</v>
      </c>
    </row>
    <row r="15" spans="1:9" x14ac:dyDescent="0.25">
      <c r="A15" s="1">
        <v>40665</v>
      </c>
      <c r="B15">
        <v>25.88</v>
      </c>
      <c r="C15" s="2">
        <v>1.4106583072100292E-2</v>
      </c>
      <c r="D15">
        <v>46.87</v>
      </c>
      <c r="E15" s="2">
        <v>-6.5705807545570639E-3</v>
      </c>
      <c r="F15">
        <v>43.45</v>
      </c>
      <c r="G15" s="2">
        <v>-1.0250569476081908E-2</v>
      </c>
      <c r="H15">
        <v>1345.2</v>
      </c>
      <c r="I15" s="2">
        <v>-1.3500927684601796E-2</v>
      </c>
    </row>
    <row r="16" spans="1:9" x14ac:dyDescent="0.25">
      <c r="A16" s="1">
        <v>40695</v>
      </c>
      <c r="B16">
        <v>25.75</v>
      </c>
      <c r="C16" s="2">
        <v>-5.0231839258113994E-3</v>
      </c>
      <c r="D16">
        <v>45.23</v>
      </c>
      <c r="E16" s="2">
        <v>-3.4990398975890777E-2</v>
      </c>
      <c r="F16">
        <v>43.55</v>
      </c>
      <c r="G16" s="2">
        <v>2.3014959723819174E-3</v>
      </c>
      <c r="H16">
        <v>1320.64</v>
      </c>
      <c r="I16" s="2">
        <v>-1.8257508177222676E-2</v>
      </c>
    </row>
    <row r="17" spans="1:9" x14ac:dyDescent="0.25">
      <c r="A17" s="1">
        <v>40725</v>
      </c>
      <c r="B17">
        <v>24.32</v>
      </c>
      <c r="C17" s="2">
        <v>-5.5533980582524262E-2</v>
      </c>
      <c r="D17">
        <v>52.62</v>
      </c>
      <c r="E17" s="2">
        <v>0.16338713243422509</v>
      </c>
      <c r="F17">
        <v>46.54</v>
      </c>
      <c r="G17" s="2">
        <v>6.8656716417910504E-2</v>
      </c>
      <c r="H17">
        <v>1292.28</v>
      </c>
      <c r="I17" s="2">
        <v>-2.1474436636782262E-2</v>
      </c>
    </row>
    <row r="18" spans="1:9" x14ac:dyDescent="0.25">
      <c r="A18" s="1">
        <v>40756</v>
      </c>
      <c r="B18">
        <v>23.67</v>
      </c>
      <c r="C18" s="2">
        <v>-2.6726973684210467E-2</v>
      </c>
      <c r="D18">
        <v>51.86</v>
      </c>
      <c r="E18" s="2">
        <v>-1.4443177499049754E-2</v>
      </c>
      <c r="F18">
        <v>42.18</v>
      </c>
      <c r="G18" s="2">
        <v>-9.3682853459389759E-2</v>
      </c>
      <c r="H18">
        <v>1218.8900000000001</v>
      </c>
      <c r="I18" s="2">
        <v>-5.679109790447881E-2</v>
      </c>
    </row>
    <row r="19" spans="1:9" x14ac:dyDescent="0.25">
      <c r="A19" s="1">
        <v>40787</v>
      </c>
      <c r="B19">
        <v>23.71</v>
      </c>
      <c r="C19" s="2">
        <v>1.689902830587205E-3</v>
      </c>
      <c r="D19">
        <v>51.38</v>
      </c>
      <c r="E19" s="2">
        <v>-9.2556883918240816E-3</v>
      </c>
      <c r="F19">
        <v>42.6</v>
      </c>
      <c r="G19" s="2">
        <v>9.9573257467994707E-3</v>
      </c>
      <c r="H19">
        <v>1131.42</v>
      </c>
      <c r="I19" s="2">
        <v>-7.1762012979021919E-2</v>
      </c>
    </row>
    <row r="20" spans="1:9" x14ac:dyDescent="0.25">
      <c r="A20" s="1">
        <v>40819</v>
      </c>
      <c r="B20">
        <v>24.74</v>
      </c>
      <c r="C20" s="2">
        <v>4.3441585828764132E-2</v>
      </c>
      <c r="D20">
        <v>54.54</v>
      </c>
      <c r="E20" s="2">
        <v>6.1502530167380234E-2</v>
      </c>
      <c r="F20">
        <v>47.27</v>
      </c>
      <c r="G20" s="2">
        <v>0.10962441314553995</v>
      </c>
      <c r="H20">
        <v>1253.3</v>
      </c>
      <c r="I20" s="2">
        <v>0.10772303830584563</v>
      </c>
    </row>
    <row r="21" spans="1:9" x14ac:dyDescent="0.25">
      <c r="A21" s="1">
        <v>40848</v>
      </c>
      <c r="B21">
        <v>24.46</v>
      </c>
      <c r="C21" s="2">
        <v>-1.1317704122877834E-2</v>
      </c>
      <c r="D21">
        <v>51.5</v>
      </c>
      <c r="E21" s="2">
        <v>-5.5738907224055723E-2</v>
      </c>
      <c r="F21">
        <v>42.45</v>
      </c>
      <c r="G21" s="2">
        <v>-0.10196742119737677</v>
      </c>
      <c r="H21">
        <v>1246.96</v>
      </c>
      <c r="I21" s="2">
        <v>-5.0586451767333585E-3</v>
      </c>
    </row>
    <row r="22" spans="1:9" x14ac:dyDescent="0.25">
      <c r="A22" s="1">
        <v>40878</v>
      </c>
      <c r="B22">
        <v>25.52</v>
      </c>
      <c r="C22" s="2">
        <v>4.3336058871627094E-2</v>
      </c>
      <c r="D22">
        <v>54.57</v>
      </c>
      <c r="E22" s="2">
        <v>5.9611650485436901E-2</v>
      </c>
      <c r="F22">
        <v>46.6</v>
      </c>
      <c r="G22" s="2">
        <v>9.7762073027090654E-2</v>
      </c>
      <c r="H22">
        <v>1257.5999999999999</v>
      </c>
      <c r="I22" s="2">
        <v>8.5327516520176047E-3</v>
      </c>
    </row>
    <row r="23" spans="1:9" x14ac:dyDescent="0.25">
      <c r="A23" s="1">
        <v>40911</v>
      </c>
      <c r="B23">
        <v>25.19</v>
      </c>
      <c r="C23" s="2">
        <v>-1.2931034482758555E-2</v>
      </c>
      <c r="D23">
        <v>61.51</v>
      </c>
      <c r="E23" s="2">
        <v>0.12717610408649438</v>
      </c>
      <c r="F23">
        <v>46.29</v>
      </c>
      <c r="G23" s="2">
        <v>-6.6523605150215076E-3</v>
      </c>
      <c r="H23">
        <v>1312.41</v>
      </c>
      <c r="I23" s="2">
        <v>4.3583015267175715E-2</v>
      </c>
    </row>
    <row r="24" spans="1:9" x14ac:dyDescent="0.25">
      <c r="A24" s="1">
        <v>40940</v>
      </c>
      <c r="B24">
        <v>26.2</v>
      </c>
      <c r="C24" s="2">
        <v>4.0095275903136086E-2</v>
      </c>
      <c r="D24">
        <v>73.09</v>
      </c>
      <c r="E24" s="2">
        <v>0.18826207120793376</v>
      </c>
      <c r="F24">
        <v>50.52</v>
      </c>
      <c r="G24" s="2">
        <v>9.1380427738172482E-2</v>
      </c>
      <c r="H24">
        <v>1365.68</v>
      </c>
      <c r="I24" s="2">
        <v>4.0589449943234185E-2</v>
      </c>
    </row>
    <row r="25" spans="1:9" x14ac:dyDescent="0.25">
      <c r="A25" s="1">
        <v>40969</v>
      </c>
      <c r="B25">
        <v>26.75</v>
      </c>
      <c r="C25" s="2">
        <v>2.0992366412213768E-2</v>
      </c>
      <c r="D25">
        <v>80.790000000000006</v>
      </c>
      <c r="E25" s="2">
        <v>0.10534956902449039</v>
      </c>
      <c r="F25">
        <v>52.5</v>
      </c>
      <c r="G25" s="2">
        <v>3.9192399049881171E-2</v>
      </c>
      <c r="H25">
        <v>1408.47</v>
      </c>
      <c r="I25" s="2">
        <v>3.1332376545017838E-2</v>
      </c>
    </row>
    <row r="26" spans="1:9" x14ac:dyDescent="0.25">
      <c r="A26" s="1">
        <v>41001</v>
      </c>
      <c r="B26">
        <v>28.58</v>
      </c>
      <c r="C26" s="2">
        <v>6.841121495327096E-2</v>
      </c>
      <c r="D26">
        <v>78.69</v>
      </c>
      <c r="E26" s="2">
        <v>-2.5993316004456101E-2</v>
      </c>
      <c r="F26">
        <v>52.63</v>
      </c>
      <c r="G26" s="2">
        <v>2.476190476190525E-3</v>
      </c>
      <c r="H26">
        <v>1397.91</v>
      </c>
      <c r="I26" s="2">
        <v>-7.4974972842871664E-3</v>
      </c>
    </row>
    <row r="27" spans="1:9" x14ac:dyDescent="0.25">
      <c r="A27" s="1">
        <v>41030</v>
      </c>
      <c r="B27">
        <v>29.68</v>
      </c>
      <c r="C27" s="2">
        <v>3.8488453463960862E-2</v>
      </c>
      <c r="D27">
        <v>77.849999999999994</v>
      </c>
      <c r="E27" s="2">
        <v>-1.0674799847502903E-2</v>
      </c>
      <c r="F27">
        <v>44.87</v>
      </c>
      <c r="G27" s="2">
        <v>-0.14744442333270008</v>
      </c>
      <c r="H27">
        <v>1310.33</v>
      </c>
      <c r="I27" s="2">
        <v>-6.2650671359386623E-2</v>
      </c>
    </row>
    <row r="28" spans="1:9" x14ac:dyDescent="0.25">
      <c r="A28" s="1">
        <v>41061</v>
      </c>
      <c r="B28">
        <v>30.97</v>
      </c>
      <c r="C28" s="2">
        <v>4.3463611859838248E-2</v>
      </c>
      <c r="D28">
        <v>78.69</v>
      </c>
      <c r="E28" s="2">
        <v>1.0789980732177308E-2</v>
      </c>
      <c r="F28">
        <v>47.07</v>
      </c>
      <c r="G28" s="2">
        <v>4.9030532649877487E-2</v>
      </c>
      <c r="H28">
        <v>1362.16</v>
      </c>
      <c r="I28" s="2">
        <v>3.955492127937249E-2</v>
      </c>
    </row>
    <row r="29" spans="1:9" x14ac:dyDescent="0.25">
      <c r="A29" s="1">
        <v>41092</v>
      </c>
      <c r="B29">
        <v>33.35</v>
      </c>
      <c r="C29" s="2">
        <v>7.6848563125605507E-2</v>
      </c>
      <c r="D29">
        <v>82.3</v>
      </c>
      <c r="E29" s="2">
        <v>4.5876223154149187E-2</v>
      </c>
      <c r="F29">
        <v>51.28</v>
      </c>
      <c r="G29" s="2">
        <v>8.9441257701295962E-2</v>
      </c>
      <c r="H29">
        <v>1379.32</v>
      </c>
      <c r="I29" s="2">
        <v>1.259763904387139E-2</v>
      </c>
    </row>
    <row r="30" spans="1:9" x14ac:dyDescent="0.25">
      <c r="A30" s="1">
        <v>41122</v>
      </c>
      <c r="B30">
        <v>32.22</v>
      </c>
      <c r="C30" s="2">
        <v>-3.3883058470764692E-2</v>
      </c>
      <c r="D30">
        <v>90.03</v>
      </c>
      <c r="E30" s="2">
        <v>9.3924665856622166E-2</v>
      </c>
      <c r="F30">
        <v>55.03</v>
      </c>
      <c r="G30" s="2">
        <v>7.312792511700468E-2</v>
      </c>
      <c r="H30">
        <v>1406.58</v>
      </c>
      <c r="I30" s="2">
        <v>1.9763361656468401E-2</v>
      </c>
    </row>
    <row r="31" spans="1:9" x14ac:dyDescent="0.25">
      <c r="A31" s="1">
        <v>41156</v>
      </c>
      <c r="B31">
        <v>33.15</v>
      </c>
      <c r="C31" s="2">
        <v>2.8864059590316567E-2</v>
      </c>
      <c r="D31">
        <v>90.28</v>
      </c>
      <c r="E31" s="2">
        <v>2.7768521603909807E-3</v>
      </c>
      <c r="F31">
        <v>52.51</v>
      </c>
      <c r="G31" s="2">
        <v>-4.5793203707068929E-2</v>
      </c>
      <c r="H31">
        <v>1440.67</v>
      </c>
      <c r="I31" s="2">
        <v>2.4236090375236493E-2</v>
      </c>
    </row>
    <row r="32" spans="1:9" x14ac:dyDescent="0.25">
      <c r="A32" s="1">
        <v>41183</v>
      </c>
      <c r="B32">
        <v>30.77</v>
      </c>
      <c r="C32" s="2">
        <v>-7.1794871794871762E-2</v>
      </c>
      <c r="D32">
        <v>80.56</v>
      </c>
      <c r="E32" s="2">
        <v>-0.10766504209127159</v>
      </c>
      <c r="F32">
        <v>54.02</v>
      </c>
      <c r="G32" s="2">
        <v>2.8756427347172066E-2</v>
      </c>
      <c r="H32">
        <v>1412.16</v>
      </c>
      <c r="I32" s="2">
        <v>-1.9789403541407811E-2</v>
      </c>
    </row>
    <row r="33" spans="1:9" x14ac:dyDescent="0.25">
      <c r="A33" s="1">
        <v>41214</v>
      </c>
      <c r="B33">
        <v>30.36</v>
      </c>
      <c r="C33" s="2">
        <v>-1.3324666883327922E-2</v>
      </c>
      <c r="D33">
        <v>79.569999999999993</v>
      </c>
      <c r="E33" s="2">
        <v>-1.2288977159880947E-2</v>
      </c>
      <c r="F33">
        <v>51.73</v>
      </c>
      <c r="G33" s="2">
        <v>-4.2391706775268531E-2</v>
      </c>
      <c r="H33">
        <v>1416.18</v>
      </c>
      <c r="I33" s="2">
        <v>2.8467029231814961E-3</v>
      </c>
    </row>
    <row r="34" spans="1:9" x14ac:dyDescent="0.25">
      <c r="A34" s="1">
        <v>41246</v>
      </c>
      <c r="B34">
        <v>29.99</v>
      </c>
      <c r="C34" s="2">
        <v>-1.2187088274044829E-2</v>
      </c>
      <c r="D34">
        <v>72.349999999999994</v>
      </c>
      <c r="E34" s="2">
        <v>-9.0737715219303752E-2</v>
      </c>
      <c r="F34">
        <v>51.17</v>
      </c>
      <c r="G34" s="2">
        <v>-1.0825439783491111E-2</v>
      </c>
      <c r="H34">
        <v>1426.19</v>
      </c>
      <c r="I34" s="2">
        <v>7.0683105254981645E-3</v>
      </c>
    </row>
    <row r="35" spans="1:9" x14ac:dyDescent="0.25">
      <c r="A35" s="1">
        <v>41276</v>
      </c>
      <c r="B35">
        <v>31.35</v>
      </c>
      <c r="C35" s="2">
        <v>4.5348449483161156E-2</v>
      </c>
      <c r="D35">
        <v>61.92</v>
      </c>
      <c r="E35" s="2">
        <v>-0.14416033172080156</v>
      </c>
      <c r="F35">
        <v>52.82</v>
      </c>
      <c r="G35" s="2">
        <v>3.224545632206368E-2</v>
      </c>
      <c r="H35">
        <v>1498.11</v>
      </c>
      <c r="I35" s="2">
        <v>5.0428063581991069E-2</v>
      </c>
    </row>
    <row r="36" spans="1:9" x14ac:dyDescent="0.25">
      <c r="A36" s="1">
        <v>41306</v>
      </c>
      <c r="B36">
        <v>32.36</v>
      </c>
      <c r="C36" s="2">
        <v>3.2216905901116359E-2</v>
      </c>
      <c r="D36">
        <v>60.36</v>
      </c>
      <c r="E36" s="2">
        <v>-2.5193798449612437E-2</v>
      </c>
      <c r="F36">
        <v>51.86</v>
      </c>
      <c r="G36" s="2">
        <v>-1.8174933737220764E-2</v>
      </c>
      <c r="H36">
        <v>1514.68</v>
      </c>
      <c r="I36" s="2">
        <v>1.1060603026480141E-2</v>
      </c>
    </row>
    <row r="37" spans="1:9" x14ac:dyDescent="0.25">
      <c r="A37" s="1">
        <v>41334</v>
      </c>
      <c r="B37">
        <v>33.06</v>
      </c>
      <c r="C37" s="2">
        <v>2.1631644004944463E-2</v>
      </c>
      <c r="D37">
        <v>60.53</v>
      </c>
      <c r="E37" s="2">
        <v>2.8164347249834609E-3</v>
      </c>
      <c r="F37">
        <v>53.11</v>
      </c>
      <c r="G37" s="2">
        <v>2.4103355187042038E-2</v>
      </c>
      <c r="H37">
        <v>1569.19</v>
      </c>
      <c r="I37" s="2">
        <v>3.5987799403174259E-2</v>
      </c>
    </row>
    <row r="38" spans="1:9" x14ac:dyDescent="0.25">
      <c r="A38" s="1">
        <v>41365</v>
      </c>
      <c r="B38">
        <v>34.159999999999997</v>
      </c>
      <c r="C38" s="2">
        <v>3.3272837265577566E-2</v>
      </c>
      <c r="D38">
        <v>60.55</v>
      </c>
      <c r="E38" s="2">
        <v>3.3041467041130054E-4</v>
      </c>
      <c r="F38">
        <v>54.42</v>
      </c>
      <c r="G38" s="2">
        <v>2.4665787987196427E-2</v>
      </c>
      <c r="H38">
        <v>1597.57</v>
      </c>
      <c r="I38" s="2">
        <v>1.8085763992887974E-2</v>
      </c>
    </row>
    <row r="39" spans="1:9" x14ac:dyDescent="0.25">
      <c r="A39" s="1">
        <v>41395</v>
      </c>
      <c r="B39">
        <v>31.9</v>
      </c>
      <c r="C39" s="2">
        <v>-6.6159250585480042E-2</v>
      </c>
      <c r="D39">
        <v>61.9</v>
      </c>
      <c r="E39" s="2">
        <v>2.229562345169284E-2</v>
      </c>
      <c r="F39">
        <v>56.85</v>
      </c>
      <c r="G39" s="2">
        <v>4.4652701212789407E-2</v>
      </c>
      <c r="H39">
        <v>1630.74</v>
      </c>
      <c r="I39" s="2">
        <v>2.0762783477406357E-2</v>
      </c>
    </row>
    <row r="40" spans="1:9" x14ac:dyDescent="0.25">
      <c r="A40" s="1">
        <v>41428</v>
      </c>
      <c r="B40">
        <v>32.28</v>
      </c>
      <c r="C40" s="2">
        <v>1.1912225705329234E-2</v>
      </c>
      <c r="D40">
        <v>54.58</v>
      </c>
      <c r="E40" s="2">
        <v>-0.11825525040387723</v>
      </c>
      <c r="F40">
        <v>57.93</v>
      </c>
      <c r="G40" s="2">
        <v>1.8997361477572527E-2</v>
      </c>
      <c r="H40">
        <v>1606.28</v>
      </c>
      <c r="I40" s="2">
        <v>-1.4999325459607317E-2</v>
      </c>
    </row>
    <row r="41" spans="1:9" x14ac:dyDescent="0.25">
      <c r="A41" s="1">
        <v>41456</v>
      </c>
      <c r="B41">
        <v>32.57</v>
      </c>
      <c r="C41" s="2">
        <v>8.98389095415115E-3</v>
      </c>
      <c r="D41">
        <v>62.29</v>
      </c>
      <c r="E41" s="2">
        <v>0.1412605349945035</v>
      </c>
      <c r="F41">
        <v>59.19</v>
      </c>
      <c r="G41" s="2">
        <v>2.1750388399792819E-2</v>
      </c>
      <c r="H41">
        <v>1685.73</v>
      </c>
      <c r="I41" s="2">
        <v>4.9462111213487092E-2</v>
      </c>
    </row>
    <row r="42" spans="1:9" x14ac:dyDescent="0.25">
      <c r="A42" s="1">
        <v>41487</v>
      </c>
      <c r="B42">
        <v>31.24</v>
      </c>
      <c r="C42" s="2">
        <v>-4.0835124347559162E-2</v>
      </c>
      <c r="D42">
        <v>67.510000000000005</v>
      </c>
      <c r="E42" s="2">
        <v>8.3801573286241868E-2</v>
      </c>
      <c r="F42">
        <v>54.15</v>
      </c>
      <c r="G42" s="2">
        <v>-8.5149518499746571E-2</v>
      </c>
      <c r="H42">
        <v>1632.97</v>
      </c>
      <c r="I42" s="2">
        <v>-3.1298013323604608E-2</v>
      </c>
    </row>
    <row r="43" spans="1:9" x14ac:dyDescent="0.25">
      <c r="A43" s="1">
        <v>41520</v>
      </c>
      <c r="B43">
        <v>31.23</v>
      </c>
      <c r="C43" s="2">
        <v>-3.2010243277842546E-4</v>
      </c>
      <c r="D43">
        <v>66.06</v>
      </c>
      <c r="E43" s="2">
        <v>-2.147829951118357E-2</v>
      </c>
      <c r="F43">
        <v>54.61</v>
      </c>
      <c r="G43" s="2">
        <v>8.4949215143121128E-3</v>
      </c>
      <c r="H43">
        <v>1681.55</v>
      </c>
      <c r="I43" s="2">
        <v>2.9749474883188257E-2</v>
      </c>
    </row>
    <row r="44" spans="1:9" x14ac:dyDescent="0.25">
      <c r="A44" s="1">
        <v>41548</v>
      </c>
      <c r="B44">
        <v>33.880000000000003</v>
      </c>
      <c r="C44" s="2">
        <v>8.4854306756324119E-2</v>
      </c>
      <c r="D44">
        <v>72.42</v>
      </c>
      <c r="E44" s="2">
        <v>9.6276112624886459E-2</v>
      </c>
      <c r="F44">
        <v>58.76</v>
      </c>
      <c r="G44" s="2">
        <v>7.5993407800769061E-2</v>
      </c>
      <c r="H44">
        <v>1756.54</v>
      </c>
      <c r="I44" s="2">
        <v>4.4595759864410819E-2</v>
      </c>
    </row>
    <row r="45" spans="1:9" x14ac:dyDescent="0.25">
      <c r="A45" s="1">
        <v>41579</v>
      </c>
      <c r="B45">
        <v>32.950000000000003</v>
      </c>
      <c r="C45" s="2">
        <v>-2.744982290436835E-2</v>
      </c>
      <c r="D45">
        <v>77.5</v>
      </c>
      <c r="E45" s="2">
        <v>7.0146368406517515E-2</v>
      </c>
      <c r="F45">
        <v>60.74</v>
      </c>
      <c r="G45" s="2">
        <v>3.369639210347182E-2</v>
      </c>
      <c r="H45">
        <v>1805.81</v>
      </c>
      <c r="I45" s="2">
        <v>2.804946087194142E-2</v>
      </c>
    </row>
    <row r="46" spans="1:9" x14ac:dyDescent="0.25">
      <c r="A46" s="1">
        <v>41610</v>
      </c>
      <c r="B46">
        <v>32.9</v>
      </c>
      <c r="C46" s="2">
        <v>-1.5174506828529366E-3</v>
      </c>
      <c r="D46">
        <v>78.19</v>
      </c>
      <c r="E46" s="2">
        <v>8.9032258064515833E-3</v>
      </c>
      <c r="F46">
        <v>60.34</v>
      </c>
      <c r="G46" s="2">
        <v>-6.5854461639775859E-3</v>
      </c>
      <c r="H46">
        <v>1848.36</v>
      </c>
      <c r="I46" s="2">
        <v>2.3562833299184276E-2</v>
      </c>
    </row>
    <row r="47" spans="1:9" x14ac:dyDescent="0.25">
      <c r="A47" s="1">
        <v>41641</v>
      </c>
      <c r="B47">
        <v>31.6</v>
      </c>
      <c r="C47" s="2">
        <v>-3.9513677811550067E-2</v>
      </c>
      <c r="D47">
        <v>69.760000000000005</v>
      </c>
      <c r="E47" s="2">
        <v>-0.10781429850364488</v>
      </c>
      <c r="F47">
        <v>56.09</v>
      </c>
      <c r="G47" s="2">
        <v>-7.0434206165064628E-2</v>
      </c>
      <c r="H47">
        <v>1782.59</v>
      </c>
      <c r="I47" s="2">
        <v>-3.5582895107013776E-2</v>
      </c>
    </row>
    <row r="48" spans="1:9" x14ac:dyDescent="0.25">
      <c r="A48" s="1">
        <v>41673</v>
      </c>
      <c r="B48">
        <v>30.28</v>
      </c>
      <c r="C48" s="2">
        <v>-4.1772151898734185E-2</v>
      </c>
      <c r="D48">
        <v>73.78</v>
      </c>
      <c r="E48" s="2">
        <v>5.7626146788990765E-2</v>
      </c>
      <c r="F48">
        <v>60.03</v>
      </c>
      <c r="G48" s="2">
        <v>7.0244250311998532E-2</v>
      </c>
      <c r="H48">
        <v>1859.45</v>
      </c>
      <c r="I48" s="2">
        <v>4.3117037568930677E-2</v>
      </c>
    </row>
    <row r="49" spans="1:9" x14ac:dyDescent="0.25">
      <c r="A49" s="1">
        <v>41701</v>
      </c>
      <c r="B49">
        <v>33.26</v>
      </c>
      <c r="C49" s="2">
        <v>9.8414795244385622E-2</v>
      </c>
      <c r="D49">
        <v>75.25</v>
      </c>
      <c r="E49" s="2">
        <v>1.9924098671726738E-2</v>
      </c>
      <c r="F49">
        <v>61.3</v>
      </c>
      <c r="G49" s="2">
        <v>2.1156088622355421E-2</v>
      </c>
      <c r="H49">
        <v>1872.34</v>
      </c>
      <c r="I49" s="2">
        <v>6.9321573583585854E-3</v>
      </c>
    </row>
    <row r="50" spans="1:9" x14ac:dyDescent="0.25">
      <c r="A50" s="1">
        <v>41730</v>
      </c>
      <c r="B50">
        <v>34.299999999999997</v>
      </c>
      <c r="C50" s="2">
        <v>3.1268791340950064E-2</v>
      </c>
      <c r="D50">
        <v>82.73</v>
      </c>
      <c r="E50" s="2">
        <v>9.9401993355481777E-2</v>
      </c>
      <c r="F50">
        <v>60.15</v>
      </c>
      <c r="G50" s="2">
        <v>-1.8760195758564416E-2</v>
      </c>
      <c r="H50">
        <v>1883.95</v>
      </c>
      <c r="I50" s="2">
        <v>6.2007968638175372E-3</v>
      </c>
    </row>
    <row r="51" spans="1:9" x14ac:dyDescent="0.25">
      <c r="A51" s="1">
        <v>41760</v>
      </c>
      <c r="B51">
        <v>34.08</v>
      </c>
      <c r="C51" s="2">
        <v>-6.4139941690961773E-3</v>
      </c>
      <c r="D51">
        <v>89.24</v>
      </c>
      <c r="E51" s="2">
        <v>7.8689713525927601E-2</v>
      </c>
      <c r="F51">
        <v>67.13</v>
      </c>
      <c r="G51" s="2">
        <v>0.1160432252701579</v>
      </c>
      <c r="H51">
        <v>1923.57</v>
      </c>
      <c r="I51" s="2">
        <v>2.1030282120013743E-2</v>
      </c>
    </row>
    <row r="52" spans="1:9" x14ac:dyDescent="0.25">
      <c r="A52" s="1">
        <v>41792</v>
      </c>
      <c r="B52">
        <v>33.97</v>
      </c>
      <c r="C52" s="2">
        <v>-3.2276995305164152E-3</v>
      </c>
      <c r="D52">
        <v>91.71</v>
      </c>
      <c r="E52" s="2">
        <v>2.7678171223666507E-2</v>
      </c>
      <c r="F52">
        <v>67.010000000000005</v>
      </c>
      <c r="G52" s="2">
        <v>-1.7875763444062318E-3</v>
      </c>
      <c r="H52">
        <v>1960.23</v>
      </c>
      <c r="I52" s="2">
        <v>1.9058313448431865E-2</v>
      </c>
    </row>
    <row r="53" spans="1:9" x14ac:dyDescent="0.25">
      <c r="A53" s="1">
        <v>41821</v>
      </c>
      <c r="B53">
        <v>34.64</v>
      </c>
      <c r="C53" s="2">
        <v>1.9723285251692722E-2</v>
      </c>
      <c r="D53">
        <v>94.34</v>
      </c>
      <c r="E53" s="2">
        <v>2.8677352524261367E-2</v>
      </c>
      <c r="F53">
        <v>68.290000000000006</v>
      </c>
      <c r="G53" s="2">
        <v>1.910162662289212E-2</v>
      </c>
      <c r="H53">
        <v>1930.67</v>
      </c>
      <c r="I53" s="2">
        <v>-1.5079863077291922E-2</v>
      </c>
    </row>
    <row r="54" spans="1:9" x14ac:dyDescent="0.25">
      <c r="A54" s="1">
        <v>41852</v>
      </c>
      <c r="B54">
        <v>34.020000000000003</v>
      </c>
      <c r="C54" s="2">
        <v>-1.7898383371824405E-2</v>
      </c>
      <c r="D54">
        <v>101.66</v>
      </c>
      <c r="E54" s="2">
        <v>7.7591689633241395E-2</v>
      </c>
      <c r="F54">
        <v>68.63</v>
      </c>
      <c r="G54" s="2">
        <v>4.9787670229900303E-3</v>
      </c>
      <c r="H54">
        <v>2003.37</v>
      </c>
      <c r="I54" s="2">
        <v>3.7655321727690289E-2</v>
      </c>
    </row>
    <row r="55" spans="1:9" x14ac:dyDescent="0.25">
      <c r="A55" s="1">
        <v>41884</v>
      </c>
      <c r="B55">
        <v>34.29</v>
      </c>
      <c r="C55" s="2">
        <v>7.9365079365078181E-3</v>
      </c>
      <c r="D55">
        <v>99.92</v>
      </c>
      <c r="E55" s="2">
        <v>-1.7115876450914766E-2</v>
      </c>
      <c r="F55">
        <v>67.760000000000005</v>
      </c>
      <c r="G55" s="2">
        <v>-1.2676672009325228E-2</v>
      </c>
      <c r="H55">
        <v>1972.29</v>
      </c>
      <c r="I55" s="2">
        <v>-1.5513859147336702E-2</v>
      </c>
    </row>
    <row r="56" spans="1:9" x14ac:dyDescent="0.25">
      <c r="A56" s="1">
        <v>41913</v>
      </c>
      <c r="B56">
        <v>34.35</v>
      </c>
      <c r="C56" s="2">
        <v>1.7497812773403989E-3</v>
      </c>
      <c r="D56">
        <v>107.11</v>
      </c>
      <c r="E56" s="2">
        <v>7.1957566052842245E-2</v>
      </c>
      <c r="F56">
        <v>71.959999999999994</v>
      </c>
      <c r="G56" s="2">
        <v>6.1983471074379994E-2</v>
      </c>
      <c r="H56">
        <v>2018.05</v>
      </c>
      <c r="I56" s="2">
        <v>2.3201456175308902E-2</v>
      </c>
    </row>
    <row r="57" spans="1:9" x14ac:dyDescent="0.25">
      <c r="A57" s="1">
        <v>41946</v>
      </c>
      <c r="B57">
        <v>34.89</v>
      </c>
      <c r="C57" s="2">
        <v>1.5720524017467222E-2</v>
      </c>
      <c r="D57">
        <v>118.46</v>
      </c>
      <c r="E57" s="2">
        <v>0.10596582952105307</v>
      </c>
      <c r="F57">
        <v>76.010000000000005</v>
      </c>
      <c r="G57" s="2">
        <v>5.6281267370761695E-2</v>
      </c>
      <c r="H57">
        <v>2067.56</v>
      </c>
      <c r="I57" s="2">
        <v>2.4533584400782932E-2</v>
      </c>
    </row>
    <row r="58" spans="1:9" x14ac:dyDescent="0.25">
      <c r="A58" s="1">
        <v>41974</v>
      </c>
      <c r="B58">
        <v>33.119999999999997</v>
      </c>
      <c r="C58" s="2">
        <v>-5.0730868443680223E-2</v>
      </c>
      <c r="D58">
        <v>109.95</v>
      </c>
      <c r="E58" s="2">
        <v>-7.1838595306432482E-2</v>
      </c>
      <c r="F58">
        <v>79.03</v>
      </c>
      <c r="G58" s="2">
        <v>3.9731614261281356E-2</v>
      </c>
      <c r="H58">
        <v>2058.9</v>
      </c>
      <c r="I58" s="2">
        <v>-4.1885120625277401E-3</v>
      </c>
    </row>
    <row r="59" spans="1:9" x14ac:dyDescent="0.25">
      <c r="A59" s="1">
        <v>42006</v>
      </c>
      <c r="B59">
        <v>32.92</v>
      </c>
      <c r="C59" s="2">
        <v>-6.0386473429950406E-3</v>
      </c>
      <c r="D59">
        <v>116.7</v>
      </c>
      <c r="E59" s="2">
        <v>6.1391541609822645E-2</v>
      </c>
      <c r="F59">
        <v>75.849999999999994</v>
      </c>
      <c r="G59" s="2">
        <v>-4.0237884347716142E-2</v>
      </c>
      <c r="H59">
        <v>1994.99</v>
      </c>
      <c r="I59" s="2">
        <v>-3.1040847054252307E-2</v>
      </c>
    </row>
    <row r="60" spans="1:9" x14ac:dyDescent="0.25">
      <c r="A60" s="1">
        <v>42037</v>
      </c>
      <c r="B60">
        <v>34.56</v>
      </c>
      <c r="C60" s="2">
        <v>4.9817739975698681E-2</v>
      </c>
      <c r="D60">
        <v>128.46</v>
      </c>
      <c r="E60" s="2">
        <v>0.10077120822622113</v>
      </c>
      <c r="F60">
        <v>80.430000000000007</v>
      </c>
      <c r="G60" s="2">
        <v>6.038233355306543E-2</v>
      </c>
      <c r="H60">
        <v>2104.5</v>
      </c>
      <c r="I60" s="2">
        <v>5.4892505726845744E-2</v>
      </c>
    </row>
    <row r="61" spans="1:9" x14ac:dyDescent="0.25">
      <c r="A61" s="1">
        <v>42065</v>
      </c>
      <c r="B61">
        <v>32.97</v>
      </c>
      <c r="C61" s="2">
        <v>-4.6006944444444538E-2</v>
      </c>
      <c r="D61">
        <v>126.37</v>
      </c>
      <c r="E61" s="2">
        <v>-1.6269655924023067E-2</v>
      </c>
      <c r="F61">
        <v>80.02</v>
      </c>
      <c r="G61" s="2">
        <v>-5.0976003978616281E-3</v>
      </c>
      <c r="H61">
        <v>2086.2399999999998</v>
      </c>
      <c r="I61" s="2">
        <v>-8.6766452839155232E-3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O60"/>
  <sheetViews>
    <sheetView showGridLines="0" showRowColHeaders="0" zoomScaleNormal="100" workbookViewId="0">
      <pane xSplit="1" topLeftCell="B1" activePane="topRight" state="frozenSplit"/>
      <selection pane="topRight"/>
    </sheetView>
  </sheetViews>
  <sheetFormatPr defaultRowHeight="12" customHeight="1" outlineLevelRow="1" x14ac:dyDescent="0.2"/>
  <cols>
    <col min="1" max="1" width="17.7109375" style="3" customWidth="1"/>
    <col min="2" max="10" width="9.7109375" style="3" customWidth="1"/>
    <col min="11" max="300" width="9.140625" style="3"/>
    <col min="301" max="301" width="80.42578125" style="3" bestFit="1" customWidth="1"/>
    <col min="302" max="16384" width="9.140625" style="3"/>
  </cols>
  <sheetData>
    <row r="1" spans="1:301" ht="12" customHeight="1" x14ac:dyDescent="0.25">
      <c r="A1" s="4" t="s">
        <v>9</v>
      </c>
      <c r="B1" s="3" t="s">
        <v>29</v>
      </c>
      <c r="U1" s="11"/>
      <c r="W1" s="11" t="s">
        <v>30</v>
      </c>
      <c r="X1" s="11">
        <v>8</v>
      </c>
      <c r="Z1" s="16" t="s">
        <v>28</v>
      </c>
      <c r="JV1"/>
      <c r="KO1" s="15" t="s">
        <v>28</v>
      </c>
    </row>
    <row r="2" spans="1:301" ht="12" customHeight="1" outlineLevel="1" thickBot="1" x14ac:dyDescent="0.25">
      <c r="A2" s="6" t="s">
        <v>10</v>
      </c>
      <c r="B2" s="6" t="s">
        <v>11</v>
      </c>
      <c r="C2" s="6" t="s">
        <v>12</v>
      </c>
      <c r="D2" s="6" t="s">
        <v>13</v>
      </c>
      <c r="E2" s="6" t="s">
        <v>14</v>
      </c>
      <c r="F2" s="6" t="s">
        <v>15</v>
      </c>
      <c r="G2" s="6" t="s">
        <v>16</v>
      </c>
      <c r="H2" s="6" t="s">
        <v>17</v>
      </c>
      <c r="I2" s="6" t="s">
        <v>18</v>
      </c>
      <c r="J2" s="5"/>
    </row>
    <row r="3" spans="1:301" ht="12" customHeight="1" outlineLevel="1" x14ac:dyDescent="0.2">
      <c r="A3" s="8" t="s">
        <v>7</v>
      </c>
      <c r="B3" s="9">
        <v>60</v>
      </c>
      <c r="C3" s="10">
        <v>1526.2291666666667</v>
      </c>
      <c r="D3" s="10">
        <v>1414.17</v>
      </c>
      <c r="E3" s="3">
        <v>313.74440149933338</v>
      </c>
      <c r="F3" s="10">
        <v>1557.6169060988648</v>
      </c>
      <c r="G3" s="3">
        <v>40.504228065757715</v>
      </c>
      <c r="H3" s="10">
        <v>1030.71</v>
      </c>
      <c r="I3" s="10">
        <v>2104.5</v>
      </c>
    </row>
    <row r="4" spans="1:301" ht="12" customHeight="1" outlineLevel="1" x14ac:dyDescent="0.2">
      <c r="A4" s="8" t="s">
        <v>1</v>
      </c>
      <c r="B4" s="9">
        <v>60</v>
      </c>
      <c r="C4" s="3">
        <v>28.895666666666667</v>
      </c>
      <c r="D4" s="3">
        <v>30.869999999999997</v>
      </c>
      <c r="E4" s="3">
        <v>4.9063505601627222</v>
      </c>
      <c r="F4" s="3">
        <v>29.302399617323722</v>
      </c>
      <c r="G4" s="3">
        <v>0.63340713367218848</v>
      </c>
      <c r="H4" s="3">
        <v>18.670000000000002</v>
      </c>
      <c r="I4" s="3">
        <v>34.89</v>
      </c>
    </row>
    <row r="5" spans="1:301" ht="12" customHeight="1" outlineLevel="1" x14ac:dyDescent="0.2">
      <c r="A5" s="8" t="s">
        <v>2</v>
      </c>
      <c r="B5" s="9">
        <v>60</v>
      </c>
      <c r="C5" s="3">
        <v>69.104833333333346</v>
      </c>
      <c r="D5" s="3">
        <v>66.784999999999997</v>
      </c>
      <c r="E5" s="3">
        <v>24.314083000909964</v>
      </c>
      <c r="F5" s="3">
        <v>73.190161303734442</v>
      </c>
      <c r="G5" s="3">
        <v>3.1389346180276378</v>
      </c>
      <c r="H5" s="3">
        <v>32.76</v>
      </c>
      <c r="I5" s="3">
        <v>128.46</v>
      </c>
    </row>
    <row r="6" spans="1:301" ht="12" customHeight="1" outlineLevel="1" x14ac:dyDescent="0.2">
      <c r="A6" s="8" t="s">
        <v>3</v>
      </c>
      <c r="B6" s="9">
        <v>60</v>
      </c>
      <c r="C6" s="3">
        <v>52.514000000000017</v>
      </c>
      <c r="D6" s="3">
        <v>52.504999999999995</v>
      </c>
      <c r="E6" s="3">
        <v>12.882113628027874</v>
      </c>
      <c r="F6" s="3">
        <v>54.04538123959653</v>
      </c>
      <c r="G6" s="3">
        <v>1.6630737181767854</v>
      </c>
      <c r="H6" s="3">
        <v>26.44</v>
      </c>
      <c r="I6" s="3">
        <v>80.430000000000007</v>
      </c>
    </row>
    <row r="7" spans="1:301" ht="12" customHeight="1" x14ac:dyDescent="0.2">
      <c r="A7" s="14"/>
    </row>
    <row r="8" spans="1:301" ht="12" customHeight="1" x14ac:dyDescent="0.2">
      <c r="A8" s="4" t="s">
        <v>19</v>
      </c>
      <c r="C8" s="11" t="s">
        <v>20</v>
      </c>
    </row>
    <row r="9" spans="1:301" ht="12" customHeight="1" outlineLevel="1" x14ac:dyDescent="0.2">
      <c r="A9" s="3" t="s">
        <v>21</v>
      </c>
    </row>
    <row r="10" spans="1:301" ht="12" customHeight="1" outlineLevel="1" x14ac:dyDescent="0.2"/>
    <row r="11" spans="1:301" ht="12" customHeight="1" outlineLevel="1" x14ac:dyDescent="0.2"/>
    <row r="12" spans="1:301" ht="12" customHeight="1" outlineLevel="1" x14ac:dyDescent="0.2"/>
    <row r="13" spans="1:301" ht="12" customHeight="1" outlineLevel="1" x14ac:dyDescent="0.2"/>
    <row r="14" spans="1:301" ht="12" customHeight="1" outlineLevel="1" x14ac:dyDescent="0.2"/>
    <row r="15" spans="1:301" ht="12" customHeight="1" outlineLevel="1" x14ac:dyDescent="0.2"/>
    <row r="16" spans="1:301" ht="12" customHeight="1" outlineLevel="1" x14ac:dyDescent="0.2"/>
    <row r="17" spans="1:1" ht="12" customHeight="1" outlineLevel="1" x14ac:dyDescent="0.2"/>
    <row r="18" spans="1:1" ht="12" customHeight="1" outlineLevel="1" x14ac:dyDescent="0.2"/>
    <row r="19" spans="1:1" ht="12" customHeight="1" outlineLevel="1" x14ac:dyDescent="0.2">
      <c r="A19" s="3" t="s">
        <v>21</v>
      </c>
    </row>
    <row r="20" spans="1:1" ht="12" customHeight="1" outlineLevel="1" x14ac:dyDescent="0.2"/>
    <row r="21" spans="1:1" ht="12" customHeight="1" outlineLevel="1" x14ac:dyDescent="0.2"/>
    <row r="22" spans="1:1" ht="12" customHeight="1" outlineLevel="1" x14ac:dyDescent="0.2"/>
    <row r="23" spans="1:1" ht="12" customHeight="1" outlineLevel="1" x14ac:dyDescent="0.2"/>
    <row r="24" spans="1:1" ht="12" customHeight="1" outlineLevel="1" x14ac:dyDescent="0.2"/>
    <row r="25" spans="1:1" ht="12" customHeight="1" outlineLevel="1" x14ac:dyDescent="0.2"/>
    <row r="26" spans="1:1" ht="12" customHeight="1" outlineLevel="1" x14ac:dyDescent="0.2"/>
    <row r="27" spans="1:1" ht="12" customHeight="1" outlineLevel="1" x14ac:dyDescent="0.2"/>
    <row r="28" spans="1:1" ht="12" customHeight="1" outlineLevel="1" x14ac:dyDescent="0.2"/>
    <row r="29" spans="1:1" ht="12" customHeight="1" outlineLevel="1" x14ac:dyDescent="0.2">
      <c r="A29" s="3" t="s">
        <v>21</v>
      </c>
    </row>
    <row r="30" spans="1:1" ht="12" customHeight="1" outlineLevel="1" x14ac:dyDescent="0.2"/>
    <row r="31" spans="1:1" ht="12" customHeight="1" outlineLevel="1" x14ac:dyDescent="0.2"/>
    <row r="32" spans="1:1" ht="12" customHeight="1" outlineLevel="1" x14ac:dyDescent="0.2"/>
    <row r="33" spans="1:1" ht="12" customHeight="1" outlineLevel="1" x14ac:dyDescent="0.2"/>
    <row r="34" spans="1:1" ht="12" customHeight="1" outlineLevel="1" x14ac:dyDescent="0.2"/>
    <row r="35" spans="1:1" ht="12" customHeight="1" outlineLevel="1" x14ac:dyDescent="0.2"/>
    <row r="36" spans="1:1" ht="12" customHeight="1" outlineLevel="1" x14ac:dyDescent="0.2"/>
    <row r="37" spans="1:1" ht="12" customHeight="1" outlineLevel="1" x14ac:dyDescent="0.2"/>
    <row r="38" spans="1:1" ht="12" customHeight="1" outlineLevel="1" x14ac:dyDescent="0.2"/>
    <row r="39" spans="1:1" ht="12" customHeight="1" outlineLevel="1" x14ac:dyDescent="0.2">
      <c r="A39" s="3" t="s">
        <v>21</v>
      </c>
    </row>
    <row r="40" spans="1:1" ht="12" customHeight="1" outlineLevel="1" x14ac:dyDescent="0.2"/>
    <row r="41" spans="1:1" ht="12" customHeight="1" outlineLevel="1" x14ac:dyDescent="0.2"/>
    <row r="42" spans="1:1" ht="12" customHeight="1" outlineLevel="1" x14ac:dyDescent="0.2"/>
    <row r="43" spans="1:1" ht="12" customHeight="1" outlineLevel="1" x14ac:dyDescent="0.2"/>
    <row r="44" spans="1:1" ht="12" customHeight="1" outlineLevel="1" x14ac:dyDescent="0.2"/>
    <row r="45" spans="1:1" ht="12" customHeight="1" outlineLevel="1" x14ac:dyDescent="0.2"/>
    <row r="46" spans="1:1" ht="12" customHeight="1" outlineLevel="1" x14ac:dyDescent="0.2"/>
    <row r="47" spans="1:1" ht="12" customHeight="1" outlineLevel="1" x14ac:dyDescent="0.2"/>
    <row r="48" spans="1:1" ht="12" customHeight="1" outlineLevel="1" x14ac:dyDescent="0.2"/>
    <row r="49" spans="1:5" ht="12" customHeight="1" x14ac:dyDescent="0.2">
      <c r="A49" s="17"/>
    </row>
    <row r="50" spans="1:5" ht="12" customHeight="1" x14ac:dyDescent="0.2">
      <c r="A50" s="4" t="s">
        <v>22</v>
      </c>
    </row>
    <row r="51" spans="1:5" ht="12" customHeight="1" outlineLevel="1" thickBot="1" x14ac:dyDescent="0.25">
      <c r="A51" s="6" t="s">
        <v>10</v>
      </c>
      <c r="B51" s="7" t="s">
        <v>23</v>
      </c>
    </row>
    <row r="52" spans="1:5" ht="12" customHeight="1" outlineLevel="1" thickBot="1" x14ac:dyDescent="0.25">
      <c r="A52" s="5" t="s">
        <v>7</v>
      </c>
      <c r="B52" s="12">
        <v>1</v>
      </c>
      <c r="C52" s="13" t="s">
        <v>24</v>
      </c>
    </row>
    <row r="53" spans="1:5" ht="12" customHeight="1" outlineLevel="1" thickBot="1" x14ac:dyDescent="0.25">
      <c r="A53" s="5" t="s">
        <v>1</v>
      </c>
      <c r="B53" s="3">
        <v>0.85963871448669749</v>
      </c>
      <c r="C53" s="12">
        <v>1</v>
      </c>
      <c r="D53" s="13" t="s">
        <v>25</v>
      </c>
    </row>
    <row r="54" spans="1:5" ht="12" customHeight="1" outlineLevel="1" thickBot="1" x14ac:dyDescent="0.25">
      <c r="A54" s="5" t="s">
        <v>2</v>
      </c>
      <c r="B54" s="3">
        <v>0.84256660975694364</v>
      </c>
      <c r="C54" s="3">
        <v>0.80759335255733922</v>
      </c>
      <c r="D54" s="12">
        <v>1</v>
      </c>
      <c r="E54" s="13" t="s">
        <v>26</v>
      </c>
    </row>
    <row r="55" spans="1:5" ht="12" customHeight="1" outlineLevel="1" x14ac:dyDescent="0.2">
      <c r="A55" s="5" t="s">
        <v>3</v>
      </c>
      <c r="B55" s="3">
        <v>0.95591128788141266</v>
      </c>
      <c r="C55" s="3">
        <v>0.86822840180149796</v>
      </c>
      <c r="D55" s="3">
        <v>0.92338540225159205</v>
      </c>
      <c r="E55" s="12">
        <v>1</v>
      </c>
    </row>
    <row r="56" spans="1:5" ht="12" customHeight="1" x14ac:dyDescent="0.2">
      <c r="A56" s="14"/>
    </row>
    <row r="60" spans="1:5" ht="12" customHeight="1" x14ac:dyDescent="0.2">
      <c r="A60" s="11" t="s">
        <v>27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O57"/>
  <sheetViews>
    <sheetView showGridLines="0" showRowColHeaders="0" zoomScaleNormal="100" workbookViewId="0">
      <pane xSplit="1" topLeftCell="B1" activePane="topRight" state="frozenSplit"/>
      <selection pane="topRight"/>
    </sheetView>
  </sheetViews>
  <sheetFormatPr defaultRowHeight="12" customHeight="1" outlineLevelRow="1" x14ac:dyDescent="0.2"/>
  <cols>
    <col min="1" max="1" width="17.7109375" style="3" customWidth="1"/>
    <col min="2" max="10" width="9.7109375" style="3" customWidth="1"/>
    <col min="11" max="300" width="9.140625" style="3"/>
    <col min="301" max="301" width="82.7109375" style="3" bestFit="1" customWidth="1"/>
    <col min="302" max="16384" width="9.140625" style="3"/>
  </cols>
  <sheetData>
    <row r="1" spans="1:301" ht="12" customHeight="1" x14ac:dyDescent="0.2">
      <c r="A1" s="4" t="s">
        <v>9</v>
      </c>
      <c r="B1" s="3" t="s">
        <v>44</v>
      </c>
      <c r="T1" s="19" t="s">
        <v>38</v>
      </c>
      <c r="U1" s="11"/>
      <c r="W1" s="11" t="s">
        <v>30</v>
      </c>
      <c r="X1" s="11">
        <v>8</v>
      </c>
      <c r="Z1" s="16" t="s">
        <v>43</v>
      </c>
      <c r="KO1" s="15" t="s">
        <v>43</v>
      </c>
    </row>
    <row r="2" spans="1:301" ht="12" customHeight="1" outlineLevel="1" thickBot="1" x14ac:dyDescent="0.25">
      <c r="A2" s="6" t="s">
        <v>10</v>
      </c>
      <c r="B2" s="6" t="s">
        <v>11</v>
      </c>
      <c r="C2" s="6" t="s">
        <v>12</v>
      </c>
      <c r="D2" s="6" t="s">
        <v>13</v>
      </c>
      <c r="E2" s="6" t="s">
        <v>14</v>
      </c>
      <c r="F2" s="6" t="s">
        <v>15</v>
      </c>
      <c r="G2" s="6" t="s">
        <v>16</v>
      </c>
      <c r="H2" s="6" t="s">
        <v>17</v>
      </c>
      <c r="I2" s="6" t="s">
        <v>18</v>
      </c>
      <c r="J2" s="6" t="s">
        <v>31</v>
      </c>
      <c r="K2" s="6" t="s">
        <v>32</v>
      </c>
    </row>
    <row r="3" spans="1:301" ht="12" customHeight="1" outlineLevel="1" x14ac:dyDescent="0.2">
      <c r="A3" s="8" t="s">
        <v>8</v>
      </c>
      <c r="B3" s="9">
        <v>59</v>
      </c>
      <c r="C3" s="3">
        <v>1.0304560052992975E-2</v>
      </c>
      <c r="D3" s="3">
        <v>1.8085763992887974E-2</v>
      </c>
      <c r="E3" s="3">
        <v>3.7690712025603548E-2</v>
      </c>
      <c r="F3" s="3">
        <v>3.8764622249159789E-2</v>
      </c>
      <c r="G3" s="18">
        <v>4.9069127527051684E-3</v>
      </c>
      <c r="H3" s="3">
        <v>-8.1975916203894841E-2</v>
      </c>
      <c r="I3" s="3">
        <v>0.10772303830584563</v>
      </c>
      <c r="J3" s="3">
        <v>-0.21771929823567054</v>
      </c>
      <c r="K3" s="3">
        <v>0.3687271616206993</v>
      </c>
    </row>
    <row r="4" spans="1:301" ht="12" customHeight="1" outlineLevel="1" x14ac:dyDescent="0.2">
      <c r="A4" s="8" t="s">
        <v>4</v>
      </c>
      <c r="B4" s="9">
        <v>59</v>
      </c>
      <c r="C4" s="18">
        <v>9.2491675916534909E-3</v>
      </c>
      <c r="D4" s="18">
        <v>8.98389095415115E-3</v>
      </c>
      <c r="E4" s="3">
        <v>4.1603853025245663E-2</v>
      </c>
      <c r="F4" s="3">
        <v>4.227399589098163E-2</v>
      </c>
      <c r="G4" s="18">
        <v>5.4163603179629878E-3</v>
      </c>
      <c r="H4" s="3">
        <v>-7.1794871794871762E-2</v>
      </c>
      <c r="I4" s="3">
        <v>9.8414795244385622E-2</v>
      </c>
      <c r="J4" s="3">
        <v>5.3308108809033333E-2</v>
      </c>
      <c r="K4" s="3">
        <v>-0.53084348640819901</v>
      </c>
    </row>
    <row r="5" spans="1:301" ht="12" customHeight="1" outlineLevel="1" x14ac:dyDescent="0.2">
      <c r="A5" s="8" t="s">
        <v>5</v>
      </c>
      <c r="B5" s="9">
        <v>59</v>
      </c>
      <c r="C5" s="3">
        <v>2.4358392462846577E-2</v>
      </c>
      <c r="D5" s="3">
        <v>2.229562345169284E-2</v>
      </c>
      <c r="E5" s="3">
        <v>7.1178780446755296E-2</v>
      </c>
      <c r="F5" s="3">
        <v>7.4658412549530581E-2</v>
      </c>
      <c r="G5" s="18">
        <v>9.2666879113062327E-3</v>
      </c>
      <c r="H5" s="3">
        <v>-0.14416033172080156</v>
      </c>
      <c r="I5" s="3">
        <v>0.18826207120793376</v>
      </c>
      <c r="J5" s="3">
        <v>-2.7386374558374546E-2</v>
      </c>
      <c r="K5" s="3">
        <v>3.0853034450369243E-2</v>
      </c>
    </row>
    <row r="6" spans="1:301" ht="12" customHeight="1" outlineLevel="1" x14ac:dyDescent="0.2">
      <c r="A6" s="8" t="s">
        <v>6</v>
      </c>
      <c r="B6" s="9">
        <v>59</v>
      </c>
      <c r="C6" s="3">
        <v>1.5635457359945655E-2</v>
      </c>
      <c r="D6" s="3">
        <v>1.910162662289212E-2</v>
      </c>
      <c r="E6" s="3">
        <v>7.3541730313977274E-2</v>
      </c>
      <c r="F6" s="3">
        <v>7.4573360280012976E-2</v>
      </c>
      <c r="G6" s="18">
        <v>9.5743177812221431E-3</v>
      </c>
      <c r="H6" s="3">
        <v>-0.18918169209431338</v>
      </c>
      <c r="I6" s="3">
        <v>0.28630862329803314</v>
      </c>
      <c r="J6" s="3">
        <v>0.14901966679238837</v>
      </c>
      <c r="K6" s="3">
        <v>3.0650356124187881</v>
      </c>
    </row>
    <row r="7" spans="1:301" ht="12" customHeight="1" x14ac:dyDescent="0.2">
      <c r="A7" s="14"/>
    </row>
    <row r="8" spans="1:301" ht="12" customHeight="1" x14ac:dyDescent="0.2">
      <c r="A8" s="4" t="s">
        <v>33</v>
      </c>
    </row>
    <row r="9" spans="1:301" ht="12" customHeight="1" outlineLevel="1" thickBot="1" x14ac:dyDescent="0.25">
      <c r="A9" s="6" t="s">
        <v>10</v>
      </c>
      <c r="B9" s="6" t="s">
        <v>34</v>
      </c>
      <c r="C9" s="6" t="s">
        <v>35</v>
      </c>
      <c r="D9" s="6" t="s">
        <v>36</v>
      </c>
      <c r="E9" s="6" t="s">
        <v>37</v>
      </c>
    </row>
    <row r="10" spans="1:301" ht="12" customHeight="1" outlineLevel="1" x14ac:dyDescent="0.2">
      <c r="A10" s="5" t="s">
        <v>8</v>
      </c>
      <c r="B10" s="3">
        <v>-0.15301677118200085</v>
      </c>
      <c r="C10" s="3">
        <v>2.4134807196677276E-2</v>
      </c>
      <c r="D10" s="3">
        <v>8.4034710785668099E-2</v>
      </c>
      <c r="E10" s="3">
        <v>-0.17631541499736952</v>
      </c>
    </row>
    <row r="11" spans="1:301" ht="12" customHeight="1" outlineLevel="1" x14ac:dyDescent="0.2">
      <c r="A11" s="5" t="s">
        <v>4</v>
      </c>
      <c r="B11" s="3">
        <v>-1.4253031699328131E-2</v>
      </c>
      <c r="C11" s="3">
        <v>-3.1081972321935426E-2</v>
      </c>
      <c r="D11" s="3">
        <v>-6.1184480465245689E-2</v>
      </c>
      <c r="E11" s="3">
        <v>-0.24985890322977777</v>
      </c>
    </row>
    <row r="12" spans="1:301" ht="12" customHeight="1" outlineLevel="1" x14ac:dyDescent="0.2">
      <c r="A12" s="5" t="s">
        <v>5</v>
      </c>
      <c r="B12" s="3">
        <v>0.10226864513661121</v>
      </c>
      <c r="C12" s="3">
        <v>-2.5825910796342479E-2</v>
      </c>
      <c r="D12" s="3">
        <v>0.13349346145844806</v>
      </c>
      <c r="E12" s="3">
        <v>-0.12450054091602099</v>
      </c>
    </row>
    <row r="13" spans="1:301" ht="12" customHeight="1" outlineLevel="1" x14ac:dyDescent="0.2">
      <c r="A13" s="5" t="s">
        <v>6</v>
      </c>
      <c r="B13" s="3">
        <v>-0.28522375938735001</v>
      </c>
      <c r="C13" s="3">
        <v>0.13262126053880058</v>
      </c>
      <c r="D13" s="3">
        <v>-0.24938850300740634</v>
      </c>
      <c r="E13" s="3">
        <v>-0.11267473677054619</v>
      </c>
    </row>
    <row r="14" spans="1:301" ht="12" customHeight="1" x14ac:dyDescent="0.2">
      <c r="A14" s="14"/>
    </row>
    <row r="15" spans="1:301" ht="12" customHeight="1" x14ac:dyDescent="0.2">
      <c r="A15" s="4" t="s">
        <v>42</v>
      </c>
    </row>
    <row r="16" spans="1:301" ht="12" customHeight="1" outlineLevel="1" thickBot="1" x14ac:dyDescent="0.25">
      <c r="A16" s="6" t="s">
        <v>10</v>
      </c>
      <c r="B16" s="6" t="s">
        <v>40</v>
      </c>
      <c r="C16" s="6" t="s">
        <v>41</v>
      </c>
    </row>
    <row r="17" spans="1:3" ht="12" customHeight="1" outlineLevel="1" x14ac:dyDescent="0.2">
      <c r="A17" s="5" t="s">
        <v>8</v>
      </c>
      <c r="B17" s="12">
        <v>1</v>
      </c>
      <c r="C17" s="12">
        <v>1</v>
      </c>
    </row>
    <row r="18" spans="1:3" ht="12" customHeight="1" outlineLevel="1" x14ac:dyDescent="0.2">
      <c r="A18" s="5" t="s">
        <v>4</v>
      </c>
      <c r="B18" s="3">
        <v>0.38648379118284404</v>
      </c>
      <c r="C18" s="3">
        <v>0.14936972084706421</v>
      </c>
    </row>
    <row r="19" spans="1:3" ht="12" customHeight="1" outlineLevel="1" x14ac:dyDescent="0.2">
      <c r="A19" s="5" t="s">
        <v>5</v>
      </c>
      <c r="B19" s="3">
        <v>0.42950792394034942</v>
      </c>
      <c r="C19" s="3">
        <v>0.18447705672754899</v>
      </c>
    </row>
    <row r="20" spans="1:3" ht="12" customHeight="1" outlineLevel="1" x14ac:dyDescent="0.2">
      <c r="A20" s="5" t="s">
        <v>6</v>
      </c>
      <c r="B20" s="3">
        <v>0.644894059469314</v>
      </c>
      <c r="C20" s="3">
        <v>0.41588834793881108</v>
      </c>
    </row>
    <row r="21" spans="1:3" ht="12" customHeight="1" x14ac:dyDescent="0.2">
      <c r="A21" s="14"/>
    </row>
    <row r="22" spans="1:3" ht="12" customHeight="1" x14ac:dyDescent="0.2">
      <c r="A22" s="4" t="s">
        <v>39</v>
      </c>
      <c r="C22" s="11" t="s">
        <v>20</v>
      </c>
    </row>
    <row r="23" spans="1:3" ht="12" customHeight="1" outlineLevel="1" x14ac:dyDescent="0.2">
      <c r="A23" s="3" t="s">
        <v>21</v>
      </c>
    </row>
    <row r="24" spans="1:3" ht="12" customHeight="1" outlineLevel="1" x14ac:dyDescent="0.2"/>
    <row r="25" spans="1:3" ht="12" customHeight="1" outlineLevel="1" x14ac:dyDescent="0.2"/>
    <row r="26" spans="1:3" ht="12" customHeight="1" outlineLevel="1" x14ac:dyDescent="0.2"/>
    <row r="27" spans="1:3" ht="12" customHeight="1" outlineLevel="1" x14ac:dyDescent="0.2"/>
    <row r="28" spans="1:3" ht="12" customHeight="1" outlineLevel="1" x14ac:dyDescent="0.2"/>
    <row r="29" spans="1:3" ht="12" customHeight="1" outlineLevel="1" x14ac:dyDescent="0.2"/>
    <row r="30" spans="1:3" ht="12" customHeight="1" outlineLevel="1" x14ac:dyDescent="0.2"/>
    <row r="31" spans="1:3" ht="12" customHeight="1" outlineLevel="1" x14ac:dyDescent="0.2"/>
    <row r="32" spans="1:3" ht="12" customHeight="1" outlineLevel="1" x14ac:dyDescent="0.2"/>
    <row r="33" ht="12" customHeight="1" outlineLevel="1" x14ac:dyDescent="0.2"/>
    <row r="34" ht="12" customHeight="1" outlineLevel="1" x14ac:dyDescent="0.2"/>
    <row r="35" ht="12" customHeight="1" outlineLevel="1" x14ac:dyDescent="0.2"/>
    <row r="36" ht="12" customHeight="1" outlineLevel="1" x14ac:dyDescent="0.2"/>
    <row r="37" ht="12" customHeight="1" outlineLevel="1" x14ac:dyDescent="0.2"/>
    <row r="38" ht="12" customHeight="1" outlineLevel="1" x14ac:dyDescent="0.2"/>
    <row r="39" ht="12" customHeight="1" outlineLevel="1" x14ac:dyDescent="0.2"/>
    <row r="40" ht="12" customHeight="1" outlineLevel="1" x14ac:dyDescent="0.2"/>
    <row r="41" ht="12" customHeight="1" outlineLevel="1" x14ac:dyDescent="0.2"/>
    <row r="42" ht="12" customHeight="1" outlineLevel="1" x14ac:dyDescent="0.2"/>
    <row r="43" ht="12" customHeight="1" outlineLevel="1" x14ac:dyDescent="0.2"/>
    <row r="44" ht="12" customHeight="1" outlineLevel="1" x14ac:dyDescent="0.2"/>
    <row r="45" ht="12" customHeight="1" outlineLevel="1" x14ac:dyDescent="0.2"/>
    <row r="46" ht="12" customHeight="1" outlineLevel="1" x14ac:dyDescent="0.2"/>
    <row r="47" ht="12" customHeight="1" outlineLevel="1" x14ac:dyDescent="0.2"/>
    <row r="48" ht="12" customHeight="1" outlineLevel="1" x14ac:dyDescent="0.2"/>
    <row r="49" spans="1:1" ht="12" customHeight="1" outlineLevel="1" x14ac:dyDescent="0.2"/>
    <row r="50" spans="1:1" ht="12" customHeight="1" outlineLevel="1" x14ac:dyDescent="0.2"/>
    <row r="51" spans="1:1" ht="12" customHeight="1" outlineLevel="1" x14ac:dyDescent="0.2"/>
    <row r="52" spans="1:1" ht="12" customHeight="1" outlineLevel="1" x14ac:dyDescent="0.2"/>
    <row r="53" spans="1:1" ht="12" customHeight="1" outlineLevel="1" x14ac:dyDescent="0.2"/>
    <row r="54" spans="1:1" ht="12" customHeight="1" outlineLevel="1" x14ac:dyDescent="0.2"/>
    <row r="55" spans="1:1" ht="12" customHeight="1" outlineLevel="1" x14ac:dyDescent="0.2"/>
    <row r="56" spans="1:1" ht="12" customHeight="1" x14ac:dyDescent="0.2">
      <c r="A56" s="17"/>
    </row>
    <row r="57" spans="1:1" ht="12" customHeight="1" x14ac:dyDescent="0.2">
      <c r="A57" s="11" t="s">
        <v>27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Z168"/>
  <sheetViews>
    <sheetView showGridLines="0" showRowColHeaders="0" zoomScaleNormal="100" workbookViewId="0">
      <selection activeCell="B1" sqref="B1"/>
    </sheetView>
  </sheetViews>
  <sheetFormatPr defaultRowHeight="11.25" outlineLevelRow="1" x14ac:dyDescent="0.2"/>
  <cols>
    <col min="1" max="1" width="15.7109375" style="20" customWidth="1"/>
    <col min="2" max="10" width="10.7109375" style="20" customWidth="1"/>
    <col min="11" max="77" width="9.140625" style="20"/>
    <col min="78" max="78" width="9.140625" style="20" customWidth="1"/>
    <col min="79" max="16384" width="9.140625" style="20"/>
  </cols>
  <sheetData>
    <row r="1" spans="1:78" x14ac:dyDescent="0.2">
      <c r="A1" s="21" t="s">
        <v>45</v>
      </c>
      <c r="B1" s="20" t="s">
        <v>46</v>
      </c>
      <c r="M1" s="22" t="s">
        <v>122</v>
      </c>
      <c r="N1" s="22" t="s">
        <v>123</v>
      </c>
      <c r="O1" s="22" t="s">
        <v>129</v>
      </c>
      <c r="Q1" s="22" t="s">
        <v>65</v>
      </c>
      <c r="R1" s="22" t="s">
        <v>20</v>
      </c>
      <c r="T1" s="40" t="s">
        <v>38</v>
      </c>
      <c r="U1" s="22" t="s">
        <v>130</v>
      </c>
      <c r="Z1" s="57" t="s">
        <v>47</v>
      </c>
      <c r="BZ1" s="23" t="s">
        <v>47</v>
      </c>
    </row>
    <row r="2" spans="1:78" x14ac:dyDescent="0.2">
      <c r="A2" s="21" t="s">
        <v>48</v>
      </c>
      <c r="C2" s="20" t="s">
        <v>4</v>
      </c>
      <c r="Q2" s="22" t="s">
        <v>114</v>
      </c>
      <c r="R2" s="22" t="s">
        <v>126</v>
      </c>
      <c r="S2" s="22" t="s">
        <v>148</v>
      </c>
      <c r="T2" s="22" t="s">
        <v>149</v>
      </c>
    </row>
    <row r="3" spans="1:78" ht="11.25" hidden="1" customHeight="1" outlineLevel="1" x14ac:dyDescent="0.2">
      <c r="A3" s="21" t="s">
        <v>49</v>
      </c>
      <c r="AA3" s="44" t="s">
        <v>96</v>
      </c>
    </row>
    <row r="4" spans="1:78" hidden="1" outlineLevel="1" x14ac:dyDescent="0.2">
      <c r="A4" s="20" t="s">
        <v>8</v>
      </c>
    </row>
    <row r="5" spans="1:78" hidden="1" outlineLevel="1" x14ac:dyDescent="0.2">
      <c r="A5" s="21" t="s">
        <v>50</v>
      </c>
    </row>
    <row r="6" spans="1:78" hidden="1" outlineLevel="1" x14ac:dyDescent="0.2">
      <c r="A6" s="20" t="s">
        <v>51</v>
      </c>
    </row>
    <row r="7" spans="1:78" collapsed="1" x14ac:dyDescent="0.2">
      <c r="A7" s="55"/>
      <c r="J7" s="22" t="s">
        <v>127</v>
      </c>
      <c r="K7" s="22" t="s">
        <v>128</v>
      </c>
    </row>
    <row r="8" spans="1:78" hidden="1" x14ac:dyDescent="0.2">
      <c r="A8" s="24" t="s">
        <v>52</v>
      </c>
    </row>
    <row r="9" spans="1:78" ht="12" outlineLevel="1" thickBot="1" x14ac:dyDescent="0.25">
      <c r="A9" s="25"/>
      <c r="B9" s="30" t="s">
        <v>53</v>
      </c>
      <c r="C9" s="30" t="s">
        <v>54</v>
      </c>
      <c r="D9" s="30" t="s">
        <v>55</v>
      </c>
      <c r="E9" s="30" t="s">
        <v>56</v>
      </c>
      <c r="F9" s="30" t="s">
        <v>11</v>
      </c>
      <c r="G9" s="30" t="s">
        <v>57</v>
      </c>
      <c r="H9" s="30" t="str">
        <f>"t("&amp;TEXT((1-I10)/2,"0.00%") &amp; ",57)"</f>
        <v>t(2.50%,57)</v>
      </c>
      <c r="I9" s="30" t="s">
        <v>58</v>
      </c>
    </row>
    <row r="10" spans="1:78" outlineLevel="1" x14ac:dyDescent="0.2">
      <c r="B10" s="8">
        <f xml:space="preserve"> 1 - C20 / C21</f>
        <v>0.1493697208470649</v>
      </c>
      <c r="C10" s="8">
        <f>1-D10^2/E10^2</f>
        <v>0.13444638261631159</v>
      </c>
      <c r="D10" s="8">
        <f xml:space="preserve"> SQRT(D20)</f>
        <v>3.8706200445720602E-2</v>
      </c>
      <c r="E10" s="8">
        <f xml:space="preserve"> SQRT(C21 / B21)</f>
        <v>4.1603853025245677E-2</v>
      </c>
      <c r="F10" s="31">
        <v>59</v>
      </c>
      <c r="G10" s="31">
        <v>1</v>
      </c>
      <c r="H10" s="32">
        <f>TINV(1 - $I$10, F10 - 1 - 1)</f>
        <v>2.0024654592910065</v>
      </c>
      <c r="I10" s="33">
        <v>0.95</v>
      </c>
    </row>
    <row r="11" spans="1:78" x14ac:dyDescent="0.2">
      <c r="A11" s="55"/>
    </row>
    <row r="12" spans="1:78" hidden="1" x14ac:dyDescent="0.2">
      <c r="A12" s="24" t="s">
        <v>59</v>
      </c>
    </row>
    <row r="13" spans="1:78" ht="12" outlineLevel="1" thickBot="1" x14ac:dyDescent="0.25">
      <c r="A13" s="34" t="s">
        <v>60</v>
      </c>
      <c r="B13" s="27" t="s">
        <v>61</v>
      </c>
      <c r="C13" s="27" t="s">
        <v>62</v>
      </c>
      <c r="D13" s="27" t="s">
        <v>63</v>
      </c>
      <c r="E13" s="27" t="s">
        <v>64</v>
      </c>
      <c r="F13" s="27" t="str">
        <f>IF($I$10&gt;99%,("Lower"&amp;TEXT($I$10,"0.0%")),("Lower"&amp;TEXT($I$10,"0%")))</f>
        <v>Lower95%</v>
      </c>
      <c r="G13" s="27" t="str">
        <f>IF($I$10&gt;99%,("Upper"&amp;TEXT($I$10,"0.0%")),("Upper"&amp;TEXT($I$10,"0%")))</f>
        <v>Upper95%</v>
      </c>
      <c r="H13" s="30" t="s">
        <v>67</v>
      </c>
      <c r="I13" s="30" t="s">
        <v>66</v>
      </c>
    </row>
    <row r="14" spans="1:78" outlineLevel="1" x14ac:dyDescent="0.2">
      <c r="A14" s="35" t="s">
        <v>68</v>
      </c>
      <c r="B14" s="37">
        <v>4.8531446440679962E-3</v>
      </c>
      <c r="C14" s="37">
        <v>5.2271836522414846E-3</v>
      </c>
      <c r="D14" s="5">
        <f>B14 / C14</f>
        <v>0.92844349212542099</v>
      </c>
      <c r="E14" s="5">
        <f>TDIST(ABS(D14),$F$10 - 2,2)</f>
        <v>0.35709266800139949</v>
      </c>
      <c r="F14" s="37">
        <f>B14 - $H$10 * C14</f>
        <v>-5.6141100689161899E-3</v>
      </c>
      <c r="G14" s="5">
        <f>B14 + $H$10 * C14</f>
        <v>1.5320399357052181E-2</v>
      </c>
      <c r="H14" s="8">
        <v>0</v>
      </c>
      <c r="I14" s="8">
        <v>0</v>
      </c>
    </row>
    <row r="15" spans="1:78" outlineLevel="1" x14ac:dyDescent="0.2">
      <c r="A15" s="35" t="s">
        <v>8</v>
      </c>
      <c r="B15" s="5">
        <v>0.42660947434710356</v>
      </c>
      <c r="C15" s="5">
        <v>0.13484417876288687</v>
      </c>
      <c r="D15" s="58">
        <f>B15 / C15</f>
        <v>3.1637218474018334</v>
      </c>
      <c r="E15" s="5">
        <f>TDIST(ABS(D15),$F$10 - 2,2)</f>
        <v>2.4982320894206471E-3</v>
      </c>
      <c r="F15" s="5">
        <f>B15 - $H$10 * C15</f>
        <v>0.15658866398796073</v>
      </c>
      <c r="G15" s="5">
        <f>B15 + $H$10 * C15</f>
        <v>0.69663028470624644</v>
      </c>
      <c r="H15" s="8">
        <v>1</v>
      </c>
      <c r="I15" s="59">
        <f>B15*0.0376907120256035/$E$10</f>
        <v>0.38648379118284354</v>
      </c>
    </row>
    <row r="16" spans="1:78" x14ac:dyDescent="0.2">
      <c r="A16" s="55"/>
    </row>
    <row r="17" spans="1:7" hidden="1" x14ac:dyDescent="0.2">
      <c r="A17" s="24" t="s">
        <v>69</v>
      </c>
    </row>
    <row r="18" spans="1:7" ht="12" hidden="1" outlineLevel="1" thickBot="1" x14ac:dyDescent="0.25">
      <c r="A18" s="34" t="s">
        <v>70</v>
      </c>
      <c r="B18" s="27" t="s">
        <v>74</v>
      </c>
      <c r="C18" s="27" t="s">
        <v>75</v>
      </c>
      <c r="D18" s="27" t="s">
        <v>76</v>
      </c>
      <c r="E18" s="27" t="s">
        <v>77</v>
      </c>
      <c r="F18" s="27" t="s">
        <v>64</v>
      </c>
    </row>
    <row r="19" spans="1:7" hidden="1" outlineLevel="1" x14ac:dyDescent="0.2">
      <c r="A19" s="20" t="s">
        <v>71</v>
      </c>
      <c r="B19" s="29">
        <v>1</v>
      </c>
      <c r="C19" s="28">
        <f>C21 - C20</f>
        <v>1.4995386701856947E-2</v>
      </c>
      <c r="D19" s="28">
        <f>C19/B19</f>
        <v>1.4995386701856947E-2</v>
      </c>
      <c r="E19" s="28">
        <f>D19/D20</f>
        <v>10.009135927727712</v>
      </c>
      <c r="F19" s="28">
        <f>FDIST(E19,1,57)</f>
        <v>2.4982320894205929E-3</v>
      </c>
    </row>
    <row r="20" spans="1:7" hidden="1" outlineLevel="1" x14ac:dyDescent="0.2">
      <c r="A20" s="20" t="s">
        <v>72</v>
      </c>
      <c r="B20" s="29">
        <v>57</v>
      </c>
      <c r="C20" s="28">
        <v>8.5395687317825195E-2</v>
      </c>
      <c r="D20" s="36">
        <f>C20/B20</f>
        <v>1.4981699529443017E-3</v>
      </c>
    </row>
    <row r="21" spans="1:7" hidden="1" outlineLevel="1" x14ac:dyDescent="0.2">
      <c r="A21" s="20" t="s">
        <v>73</v>
      </c>
      <c r="B21" s="29">
        <f>B19 + B20</f>
        <v>58</v>
      </c>
      <c r="C21" s="28">
        <v>0.10039107401968214</v>
      </c>
    </row>
    <row r="22" spans="1:7" collapsed="1" x14ac:dyDescent="0.2">
      <c r="A22" s="55"/>
    </row>
    <row r="23" spans="1:7" hidden="1" x14ac:dyDescent="0.2">
      <c r="A23" s="24" t="s">
        <v>78</v>
      </c>
    </row>
    <row r="24" spans="1:7" outlineLevel="1" x14ac:dyDescent="0.2"/>
    <row r="25" spans="1:7" outlineLevel="1" x14ac:dyDescent="0.2">
      <c r="B25" s="38" t="s">
        <v>8</v>
      </c>
      <c r="C25" s="38" t="s">
        <v>79</v>
      </c>
      <c r="D25" s="38" t="s">
        <v>80</v>
      </c>
      <c r="E25" s="38" t="s">
        <v>81</v>
      </c>
      <c r="F25" s="38" t="str">
        <f>IF($I$10&gt;99%,("Lower "&amp;TEXT($I$10,"0.0%")),("Lower "&amp;TEXT($I$10,"0%")))</f>
        <v>Lower 95%</v>
      </c>
      <c r="G25" s="38" t="str">
        <f>IF($I$10&gt;99%,("Upper "&amp;TEXT($I$10,"0.0%")),("Upper "&amp;TEXT($I$10,"0%")))</f>
        <v>Upper 95%</v>
      </c>
    </row>
    <row r="26" spans="1:7" outlineLevel="1" x14ac:dyDescent="0.2">
      <c r="B26" s="38">
        <v>-8.19759162038948E-2</v>
      </c>
      <c r="C26" s="38">
        <f>$D$10/SQRT($F$10)*SQRT(1+(B26- 0.010304560052993)^2/0.00139651198023432)</f>
        <v>1.3425089605869711E-2</v>
      </c>
      <c r="D26" s="38">
        <f>SQRT($D$10^2 + C26^2)</f>
        <v>4.0968316829837328E-2</v>
      </c>
      <c r="E26" s="38">
        <f>0.004853144644068 + 0.426609474347104 * B26</f>
        <v>-3.0118557876797809E-2</v>
      </c>
      <c r="F26" s="38">
        <f>E26 - $H$10*D26</f>
        <v>-0.11215619725383748</v>
      </c>
      <c r="G26" s="38">
        <f>E26 + $H$10*D26</f>
        <v>5.1919081500241868E-2</v>
      </c>
    </row>
    <row r="27" spans="1:7" outlineLevel="1" x14ac:dyDescent="0.2">
      <c r="B27" s="38">
        <v>-3.4551177576459605E-2</v>
      </c>
      <c r="C27" s="38">
        <f>$D$10/SQRT($F$10)*SQRT(1+(B27- 0.010304560052993)^2/0.00139651198023432)</f>
        <v>7.8725782285401155E-3</v>
      </c>
      <c r="D27" s="38">
        <f>SQRT($D$10^2 + C27^2)</f>
        <v>3.9498701762321071E-2</v>
      </c>
      <c r="E27" s="38">
        <f>0.004853144644068 + 0.426609474347104 * B27</f>
        <v>-9.8867150598988783E-3</v>
      </c>
      <c r="F27" s="38">
        <f>E27 - $H$10*D27</f>
        <v>-8.898150102578363E-2</v>
      </c>
      <c r="G27" s="38">
        <f>E27 + $H$10*D27</f>
        <v>6.9208070905985866E-2</v>
      </c>
    </row>
    <row r="28" spans="1:7" outlineLevel="1" x14ac:dyDescent="0.2">
      <c r="B28" s="38">
        <v>1.2873561050975597E-2</v>
      </c>
      <c r="C28" s="38">
        <f>$D$10/SQRT($F$10)*SQRT(1+(B28- 0.010304560052993)^2/0.00139651198023432)</f>
        <v>5.0510112157040044E-3</v>
      </c>
      <c r="D28" s="38">
        <f>SQRT($D$10^2 + C28^2)</f>
        <v>3.9034378017914789E-2</v>
      </c>
      <c r="E28" s="38">
        <f>0.004853144644068 + 0.426609474347104 * B28</f>
        <v>1.0345127757000052E-2</v>
      </c>
      <c r="F28" s="38">
        <f>E28 - $H$10*D28</f>
        <v>-6.7819865948782448E-2</v>
      </c>
      <c r="G28" s="38">
        <f>E28 + $H$10*D28</f>
        <v>8.8510121462782559E-2</v>
      </c>
    </row>
    <row r="29" spans="1:7" outlineLevel="1" x14ac:dyDescent="0.2">
      <c r="B29" s="38">
        <v>6.0298299678410799E-2</v>
      </c>
      <c r="C29" s="38">
        <f>$D$10/SQRT($F$10)*SQRT(1+(B29- 0.010304560052993)^2/0.00139651198023432)</f>
        <v>8.4165735270169476E-3</v>
      </c>
      <c r="D29" s="38">
        <f>SQRT($D$10^2 + C29^2)</f>
        <v>3.9610713991040152E-2</v>
      </c>
      <c r="E29" s="38">
        <f>0.004853144644068 + 0.426609474347104 * B29</f>
        <v>3.0576970573898982E-2</v>
      </c>
      <c r="F29" s="38">
        <f>E29 - $H$10*D29</f>
        <v>-4.8742116011013942E-2</v>
      </c>
      <c r="G29" s="38">
        <f>E29 + $H$10*D29</f>
        <v>0.1098960571588119</v>
      </c>
    </row>
    <row r="30" spans="1:7" outlineLevel="1" x14ac:dyDescent="0.2">
      <c r="B30" s="38">
        <v>0.10772303830584599</v>
      </c>
      <c r="C30" s="38">
        <f>$D$10/SQRT($F$10)*SQRT(1+(B30- 0.010304560052993)^2/0.00139651198023432)</f>
        <v>1.4069665058843024E-2</v>
      </c>
      <c r="D30" s="38">
        <f>SQRT($D$10^2 + C30^2)</f>
        <v>4.1184043364054602E-2</v>
      </c>
      <c r="E30" s="38">
        <f>0.004853144644068 + 0.426609474347104 * B30</f>
        <v>5.0808813390797902E-2</v>
      </c>
      <c r="F30" s="38">
        <f>E30 - $H$10*D30</f>
        <v>-3.1660810919664426E-2</v>
      </c>
      <c r="G30" s="38">
        <f>E30 + $H$10*D30</f>
        <v>0.13327843770126024</v>
      </c>
    </row>
    <row r="31" spans="1:7" outlineLevel="1" x14ac:dyDescent="0.2"/>
    <row r="32" spans="1:7" outlineLevel="1" x14ac:dyDescent="0.2"/>
    <row r="33" spans="1:9" outlineLevel="1" x14ac:dyDescent="0.2"/>
    <row r="34" spans="1:9" outlineLevel="1" x14ac:dyDescent="0.2"/>
    <row r="35" spans="1:9" outlineLevel="1" x14ac:dyDescent="0.2"/>
    <row r="36" spans="1:9" outlineLevel="1" x14ac:dyDescent="0.2"/>
    <row r="37" spans="1:9" outlineLevel="1" x14ac:dyDescent="0.2"/>
    <row r="38" spans="1:9" outlineLevel="1" x14ac:dyDescent="0.2"/>
    <row r="39" spans="1:9" outlineLevel="1" x14ac:dyDescent="0.2"/>
    <row r="40" spans="1:9" outlineLevel="1" x14ac:dyDescent="0.2"/>
    <row r="41" spans="1:9" outlineLevel="1" x14ac:dyDescent="0.2"/>
    <row r="42" spans="1:9" outlineLevel="1" x14ac:dyDescent="0.2"/>
    <row r="43" spans="1:9" outlineLevel="1" x14ac:dyDescent="0.2"/>
    <row r="44" spans="1:9" x14ac:dyDescent="0.2">
      <c r="A44" s="56"/>
    </row>
    <row r="45" spans="1:9" hidden="1" x14ac:dyDescent="0.2">
      <c r="A45" s="24" t="s">
        <v>82</v>
      </c>
    </row>
    <row r="46" spans="1:9" ht="12" outlineLevel="1" thickBot="1" x14ac:dyDescent="0.25">
      <c r="A46" s="25"/>
      <c r="B46" s="27" t="s">
        <v>85</v>
      </c>
      <c r="C46" s="27" t="s">
        <v>86</v>
      </c>
      <c r="D46" s="27" t="s">
        <v>87</v>
      </c>
      <c r="E46" s="27" t="s">
        <v>17</v>
      </c>
      <c r="F46" s="27" t="s">
        <v>18</v>
      </c>
      <c r="G46" s="39"/>
      <c r="H46" s="30" t="s">
        <v>89</v>
      </c>
      <c r="I46" s="30" t="s">
        <v>83</v>
      </c>
    </row>
    <row r="47" spans="1:9" outlineLevel="1" x14ac:dyDescent="0.2">
      <c r="A47" s="20" t="s">
        <v>84</v>
      </c>
      <c r="B47" s="5">
        <v>-1.0584753412739841E-18</v>
      </c>
      <c r="C47" s="5">
        <v>3.8044507235744249E-2</v>
      </c>
      <c r="D47" s="5">
        <v>3.065543347678782E-2</v>
      </c>
      <c r="E47" s="5">
        <v>-7.9869995374827085E-2</v>
      </c>
      <c r="F47" s="5">
        <v>9.0604326593576867E-2</v>
      </c>
      <c r="G47" s="33"/>
      <c r="H47" s="32" t="s">
        <v>88</v>
      </c>
      <c r="I47" s="8">
        <v>0.6369691606616803</v>
      </c>
    </row>
    <row r="48" spans="1:9" outlineLevel="1" x14ac:dyDescent="0.2"/>
    <row r="49" spans="1:702" x14ac:dyDescent="0.2">
      <c r="A49" s="55"/>
    </row>
    <row r="50" spans="1:702" hidden="1" x14ac:dyDescent="0.2">
      <c r="A50" s="24" t="s">
        <v>90</v>
      </c>
    </row>
    <row r="51" spans="1:702" ht="12" outlineLevel="1" thickBot="1" x14ac:dyDescent="0.25">
      <c r="A51" s="26" t="s">
        <v>91</v>
      </c>
      <c r="B51" s="41">
        <v>1</v>
      </c>
      <c r="C51" s="41">
        <v>2</v>
      </c>
      <c r="D51" s="41">
        <v>3</v>
      </c>
      <c r="E51" s="41">
        <v>4</v>
      </c>
    </row>
    <row r="52" spans="1:702" outlineLevel="1" x14ac:dyDescent="0.2">
      <c r="A52" s="20" t="s">
        <v>92</v>
      </c>
      <c r="B52" s="60">
        <v>-4.3198042357827544E-2</v>
      </c>
      <c r="C52" s="60">
        <v>1.8435315740585507E-2</v>
      </c>
      <c r="D52" s="60">
        <v>-4.8442570801104583E-2</v>
      </c>
      <c r="E52" s="43">
        <v>-0.18813555079195318</v>
      </c>
    </row>
    <row r="53" spans="1:702" outlineLevel="1" x14ac:dyDescent="0.2">
      <c r="A53" s="61" t="s">
        <v>93</v>
      </c>
      <c r="B53" s="61">
        <f>B52/0.131306432859723</f>
        <v>-0.32898648921471185</v>
      </c>
      <c r="C53" s="61">
        <f>C52/0.132453235706504</f>
        <v>0.13918358160336175</v>
      </c>
      <c r="D53" s="61">
        <f>D52/0.133630620956212</f>
        <v>-0.36251100574454576</v>
      </c>
      <c r="E53" s="61">
        <f>E52/0.134839972492648</f>
        <v>-1.3952505871521967</v>
      </c>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c r="AV53" s="40"/>
      <c r="AW53" s="40"/>
      <c r="AX53" s="40"/>
      <c r="AY53" s="40"/>
      <c r="AZ53" s="40"/>
      <c r="BA53" s="40"/>
      <c r="BB53" s="40"/>
      <c r="BC53" s="40"/>
      <c r="BD53" s="40"/>
      <c r="BE53" s="40"/>
      <c r="BF53" s="40"/>
      <c r="BG53" s="40"/>
      <c r="BH53" s="40"/>
      <c r="BI53" s="40"/>
      <c r="BJ53" s="40"/>
      <c r="BK53" s="40"/>
      <c r="BL53" s="40"/>
      <c r="BM53" s="40"/>
      <c r="BN53" s="40"/>
      <c r="BO53" s="40"/>
      <c r="BP53" s="40"/>
      <c r="BQ53" s="40"/>
      <c r="BR53" s="40"/>
      <c r="BS53" s="40"/>
      <c r="BT53" s="40"/>
      <c r="BU53" s="40"/>
      <c r="BV53" s="40"/>
      <c r="BW53" s="40"/>
      <c r="BX53" s="40"/>
      <c r="BY53" s="40"/>
      <c r="BZ53" s="40"/>
      <c r="CA53" s="40"/>
      <c r="CB53" s="40"/>
      <c r="CC53" s="40"/>
      <c r="CD53" s="40"/>
      <c r="CE53" s="40"/>
      <c r="CF53" s="40"/>
      <c r="CG53" s="40"/>
      <c r="CH53" s="40"/>
      <c r="CI53" s="40"/>
      <c r="CJ53" s="40"/>
      <c r="CK53" s="40"/>
      <c r="CL53" s="40"/>
      <c r="CM53" s="40"/>
      <c r="CN53" s="40"/>
      <c r="CO53" s="40"/>
      <c r="CP53" s="40"/>
      <c r="CQ53" s="40"/>
      <c r="CR53" s="40"/>
      <c r="CS53" s="40"/>
      <c r="CT53" s="40"/>
      <c r="CU53" s="40"/>
      <c r="CV53" s="40"/>
      <c r="CW53" s="40"/>
      <c r="CX53" s="40"/>
      <c r="CY53" s="40"/>
      <c r="CZ53" s="40"/>
      <c r="DA53" s="40"/>
      <c r="DB53" s="40"/>
      <c r="DC53" s="40"/>
      <c r="DD53" s="40"/>
      <c r="DE53" s="40"/>
      <c r="DF53" s="40"/>
      <c r="DG53" s="40"/>
      <c r="DH53" s="40"/>
      <c r="DI53" s="40"/>
      <c r="DJ53" s="40"/>
      <c r="DK53" s="40"/>
      <c r="DL53" s="40"/>
      <c r="DM53" s="40"/>
      <c r="DN53" s="40"/>
      <c r="DO53" s="40"/>
      <c r="DP53" s="40"/>
      <c r="DQ53" s="40"/>
      <c r="DR53" s="40"/>
      <c r="DS53" s="40"/>
      <c r="DT53" s="40"/>
      <c r="DU53" s="40"/>
      <c r="DV53" s="40"/>
      <c r="DW53" s="40"/>
      <c r="DX53" s="40"/>
      <c r="DY53" s="40"/>
      <c r="DZ53" s="40"/>
      <c r="EA53" s="40"/>
      <c r="EB53" s="40"/>
      <c r="EC53" s="40"/>
      <c r="ED53" s="40"/>
      <c r="EE53" s="40"/>
      <c r="EF53" s="40"/>
      <c r="EG53" s="40"/>
      <c r="EH53" s="40"/>
      <c r="EI53" s="40"/>
      <c r="EJ53" s="40"/>
      <c r="EK53" s="40"/>
      <c r="EL53" s="40"/>
      <c r="EM53" s="40"/>
      <c r="EN53" s="40"/>
      <c r="EO53" s="40"/>
      <c r="EP53" s="40"/>
      <c r="EQ53" s="40"/>
      <c r="ER53" s="40"/>
      <c r="ES53" s="40"/>
      <c r="ET53" s="40"/>
      <c r="EU53" s="40"/>
      <c r="EV53" s="40"/>
      <c r="EW53" s="40"/>
      <c r="EX53" s="40"/>
      <c r="EY53" s="40"/>
      <c r="EZ53" s="40"/>
      <c r="FA53" s="40"/>
      <c r="FB53" s="40"/>
      <c r="FC53" s="40"/>
      <c r="FD53" s="40"/>
      <c r="FE53" s="40"/>
      <c r="FF53" s="40"/>
      <c r="FG53" s="40"/>
      <c r="FH53" s="40"/>
      <c r="FI53" s="40"/>
      <c r="FJ53" s="40"/>
      <c r="FK53" s="40"/>
      <c r="FL53" s="40"/>
      <c r="FM53" s="40"/>
      <c r="FN53" s="40"/>
      <c r="FO53" s="40"/>
      <c r="FP53" s="40"/>
      <c r="FQ53" s="40"/>
      <c r="FR53" s="40"/>
      <c r="FS53" s="40"/>
      <c r="FT53" s="40"/>
      <c r="FU53" s="40"/>
      <c r="FV53" s="40"/>
      <c r="FW53" s="40"/>
      <c r="FX53" s="40"/>
      <c r="FY53" s="40"/>
      <c r="FZ53" s="40"/>
      <c r="GA53" s="40"/>
      <c r="GB53" s="40"/>
      <c r="GC53" s="40"/>
      <c r="GD53" s="40"/>
      <c r="GE53" s="40"/>
      <c r="GF53" s="40"/>
      <c r="GG53" s="40"/>
      <c r="GH53" s="40"/>
      <c r="GI53" s="40"/>
      <c r="GJ53" s="40"/>
      <c r="GK53" s="40"/>
      <c r="GL53" s="40"/>
      <c r="GM53" s="40"/>
      <c r="GN53" s="40"/>
      <c r="GO53" s="40"/>
      <c r="GP53" s="40"/>
      <c r="GQ53" s="40"/>
      <c r="GR53" s="40"/>
      <c r="GS53" s="40"/>
      <c r="GT53" s="40"/>
      <c r="GU53" s="40"/>
      <c r="GV53" s="40"/>
      <c r="GW53" s="40"/>
      <c r="GX53" s="40"/>
      <c r="GY53" s="40"/>
      <c r="GZ53" s="40"/>
      <c r="HA53" s="40"/>
      <c r="HB53" s="40"/>
      <c r="HC53" s="40"/>
      <c r="HD53" s="40"/>
      <c r="HE53" s="40"/>
      <c r="HF53" s="40"/>
      <c r="HG53" s="40"/>
      <c r="HH53" s="40"/>
      <c r="HI53" s="40"/>
      <c r="HJ53" s="40"/>
      <c r="HK53" s="40"/>
      <c r="HL53" s="40"/>
      <c r="HM53" s="40"/>
      <c r="HN53" s="40"/>
      <c r="HO53" s="40"/>
      <c r="HP53" s="40"/>
      <c r="HQ53" s="40"/>
      <c r="HR53" s="40"/>
      <c r="HS53" s="40"/>
      <c r="HT53" s="40"/>
      <c r="HU53" s="40"/>
      <c r="HV53" s="40"/>
      <c r="HW53" s="40"/>
      <c r="HX53" s="40"/>
      <c r="HY53" s="40"/>
      <c r="HZ53" s="40"/>
      <c r="IA53" s="40"/>
      <c r="IB53" s="40"/>
      <c r="IC53" s="40"/>
      <c r="ID53" s="40"/>
      <c r="IE53" s="40"/>
      <c r="IF53" s="40"/>
      <c r="IG53" s="40"/>
      <c r="IH53" s="40"/>
      <c r="II53" s="40"/>
      <c r="IJ53" s="40"/>
      <c r="IK53" s="40"/>
      <c r="IL53" s="40"/>
      <c r="IM53" s="40"/>
      <c r="IN53" s="40"/>
      <c r="IO53" s="40"/>
      <c r="IP53" s="40"/>
      <c r="IQ53" s="40"/>
      <c r="IR53" s="40"/>
      <c r="IS53" s="40"/>
      <c r="IT53" s="40"/>
      <c r="IU53" s="40"/>
      <c r="IV53" s="40"/>
      <c r="IW53" s="40"/>
      <c r="IX53" s="40"/>
      <c r="IY53" s="40"/>
      <c r="IZ53" s="40"/>
      <c r="JA53" s="40"/>
      <c r="JB53" s="40"/>
      <c r="JC53" s="40"/>
      <c r="JD53" s="40"/>
      <c r="JE53" s="40"/>
      <c r="JF53" s="40"/>
      <c r="JG53" s="40"/>
      <c r="JH53" s="40"/>
      <c r="JI53" s="40"/>
      <c r="JJ53" s="40"/>
      <c r="JK53" s="40"/>
      <c r="JL53" s="40"/>
      <c r="JM53" s="40"/>
      <c r="JN53" s="40"/>
      <c r="JO53" s="40"/>
      <c r="JP53" s="40"/>
      <c r="JQ53" s="40"/>
      <c r="JR53" s="40"/>
      <c r="JS53" s="40"/>
      <c r="JT53" s="40"/>
      <c r="JU53" s="40"/>
      <c r="JV53" s="40"/>
      <c r="JW53" s="40"/>
      <c r="JX53" s="40"/>
      <c r="JY53" s="40"/>
      <c r="JZ53" s="40"/>
      <c r="KA53" s="40"/>
      <c r="KB53" s="40"/>
      <c r="KC53" s="40"/>
      <c r="KD53" s="40"/>
      <c r="KE53" s="40"/>
      <c r="KF53" s="40"/>
      <c r="KG53" s="40"/>
      <c r="KH53" s="40"/>
      <c r="KI53" s="40"/>
      <c r="KJ53" s="40"/>
      <c r="KK53" s="40"/>
      <c r="KL53" s="40"/>
      <c r="KM53" s="40"/>
      <c r="KN53" s="40"/>
      <c r="KO53" s="40"/>
      <c r="KP53" s="40"/>
      <c r="KQ53" s="40"/>
      <c r="KR53" s="40"/>
      <c r="KS53" s="40"/>
      <c r="KT53" s="40"/>
      <c r="KU53" s="40"/>
      <c r="KV53" s="40"/>
      <c r="KW53" s="40"/>
      <c r="KX53" s="40"/>
      <c r="KY53" s="40"/>
      <c r="KZ53" s="40"/>
      <c r="LA53" s="40"/>
      <c r="LB53" s="40"/>
      <c r="LC53" s="40"/>
      <c r="LD53" s="40"/>
      <c r="LE53" s="40"/>
      <c r="LF53" s="40"/>
      <c r="LG53" s="40"/>
      <c r="LH53" s="40"/>
      <c r="LI53" s="40"/>
      <c r="LJ53" s="40"/>
      <c r="LK53" s="40"/>
      <c r="LL53" s="40"/>
      <c r="LM53" s="40"/>
      <c r="LN53" s="40"/>
      <c r="LO53" s="40"/>
      <c r="LP53" s="40"/>
      <c r="LQ53" s="40"/>
      <c r="LR53" s="40"/>
      <c r="LS53" s="40"/>
      <c r="LT53" s="40"/>
      <c r="LU53" s="40"/>
      <c r="LV53" s="40"/>
      <c r="LW53" s="40"/>
      <c r="LX53" s="40"/>
      <c r="LY53" s="40"/>
      <c r="LZ53" s="40"/>
      <c r="MA53" s="40"/>
      <c r="MB53" s="40"/>
      <c r="MC53" s="40"/>
      <c r="MD53" s="40"/>
      <c r="ME53" s="40"/>
      <c r="MF53" s="40"/>
      <c r="MG53" s="40"/>
      <c r="MH53" s="40"/>
      <c r="MI53" s="40"/>
      <c r="MJ53" s="40"/>
      <c r="MK53" s="40"/>
      <c r="ML53" s="40"/>
      <c r="MM53" s="40"/>
      <c r="MN53" s="40"/>
      <c r="MO53" s="40"/>
      <c r="MP53" s="40"/>
      <c r="MQ53" s="40"/>
      <c r="MR53" s="40"/>
      <c r="MS53" s="40"/>
      <c r="MT53" s="40"/>
      <c r="MU53" s="40"/>
      <c r="MV53" s="40"/>
      <c r="MW53" s="40"/>
      <c r="MX53" s="40"/>
      <c r="MY53" s="40"/>
      <c r="MZ53" s="40"/>
      <c r="NA53" s="40"/>
      <c r="NB53" s="40"/>
      <c r="NC53" s="40"/>
      <c r="ND53" s="40"/>
      <c r="NE53" s="40"/>
      <c r="NF53" s="40"/>
      <c r="NG53" s="40"/>
      <c r="NH53" s="40"/>
      <c r="NI53" s="40"/>
      <c r="NJ53" s="40"/>
      <c r="NK53" s="40"/>
      <c r="NL53" s="40"/>
      <c r="NM53" s="40"/>
      <c r="NN53" s="40"/>
      <c r="NO53" s="40"/>
      <c r="NP53" s="40"/>
      <c r="NQ53" s="40"/>
      <c r="NR53" s="40"/>
      <c r="NS53" s="40"/>
      <c r="NT53" s="40"/>
      <c r="NU53" s="40"/>
      <c r="NV53" s="40"/>
      <c r="NW53" s="40"/>
      <c r="NX53" s="40"/>
      <c r="NY53" s="40"/>
      <c r="NZ53" s="40"/>
      <c r="OA53" s="40"/>
      <c r="OB53" s="40"/>
      <c r="OC53" s="40"/>
      <c r="OD53" s="40"/>
      <c r="OE53" s="40"/>
      <c r="OF53" s="40"/>
      <c r="OG53" s="40"/>
      <c r="OH53" s="40"/>
      <c r="OI53" s="40"/>
      <c r="OJ53" s="40"/>
      <c r="OK53" s="40"/>
      <c r="OL53" s="40"/>
      <c r="OM53" s="40"/>
      <c r="ON53" s="40"/>
      <c r="OO53" s="40"/>
      <c r="OP53" s="40"/>
      <c r="OQ53" s="40"/>
      <c r="OR53" s="40"/>
      <c r="OS53" s="40"/>
      <c r="OT53" s="40"/>
      <c r="OU53" s="40"/>
      <c r="OV53" s="40"/>
      <c r="OW53" s="40"/>
      <c r="OX53" s="40"/>
      <c r="OY53" s="40"/>
      <c r="OZ53" s="40"/>
      <c r="PA53" s="40"/>
      <c r="PB53" s="40"/>
      <c r="PC53" s="40"/>
      <c r="PD53" s="40"/>
      <c r="PE53" s="40"/>
      <c r="PF53" s="40"/>
      <c r="PG53" s="40"/>
      <c r="PH53" s="40"/>
      <c r="PI53" s="40"/>
      <c r="PJ53" s="40"/>
      <c r="PK53" s="40"/>
      <c r="PL53" s="40"/>
      <c r="PM53" s="40"/>
      <c r="PN53" s="40"/>
      <c r="PO53" s="40"/>
      <c r="PP53" s="40"/>
      <c r="PQ53" s="40"/>
      <c r="PR53" s="40"/>
      <c r="PS53" s="40"/>
      <c r="PT53" s="40"/>
      <c r="PU53" s="40"/>
      <c r="PV53" s="40"/>
      <c r="PW53" s="40"/>
      <c r="PX53" s="40"/>
      <c r="PY53" s="40"/>
      <c r="PZ53" s="40"/>
      <c r="QA53" s="40"/>
      <c r="QB53" s="40"/>
      <c r="QC53" s="40"/>
      <c r="QD53" s="40"/>
      <c r="QE53" s="40"/>
      <c r="QF53" s="40"/>
      <c r="QG53" s="40"/>
      <c r="QH53" s="40"/>
      <c r="QI53" s="40"/>
      <c r="QJ53" s="40"/>
      <c r="QK53" s="40"/>
      <c r="QL53" s="40"/>
      <c r="QM53" s="40"/>
      <c r="QN53" s="40"/>
      <c r="QO53" s="40"/>
      <c r="QP53" s="40"/>
      <c r="QQ53" s="40"/>
      <c r="QR53" s="40"/>
      <c r="QS53" s="40"/>
      <c r="QT53" s="40"/>
      <c r="QU53" s="40"/>
      <c r="QV53" s="40"/>
      <c r="QW53" s="40"/>
      <c r="QX53" s="40"/>
      <c r="QY53" s="40"/>
      <c r="QZ53" s="40"/>
      <c r="RA53" s="40"/>
      <c r="RB53" s="40"/>
      <c r="RC53" s="40"/>
      <c r="RD53" s="40"/>
      <c r="RE53" s="40"/>
      <c r="RF53" s="40"/>
      <c r="RG53" s="40"/>
      <c r="RH53" s="40"/>
      <c r="RI53" s="40"/>
      <c r="RJ53" s="40"/>
      <c r="RK53" s="40"/>
      <c r="RL53" s="40"/>
      <c r="RM53" s="40"/>
      <c r="RN53" s="40"/>
      <c r="RO53" s="40"/>
      <c r="RP53" s="40"/>
      <c r="RQ53" s="40"/>
      <c r="RR53" s="40"/>
      <c r="RS53" s="40"/>
      <c r="RT53" s="40"/>
      <c r="RU53" s="40"/>
      <c r="RV53" s="40"/>
      <c r="RW53" s="40"/>
      <c r="RX53" s="40"/>
      <c r="RY53" s="40"/>
      <c r="RZ53" s="40"/>
      <c r="SA53" s="40"/>
      <c r="SB53" s="40"/>
      <c r="SC53" s="40"/>
      <c r="SD53" s="40"/>
      <c r="SE53" s="40"/>
      <c r="SF53" s="40"/>
      <c r="SG53" s="40"/>
      <c r="SH53" s="40"/>
      <c r="SI53" s="40"/>
      <c r="SJ53" s="40"/>
      <c r="SK53" s="40"/>
      <c r="SL53" s="40"/>
      <c r="SM53" s="40"/>
      <c r="SN53" s="40"/>
      <c r="SO53" s="40"/>
      <c r="SP53" s="40"/>
      <c r="SQ53" s="40"/>
      <c r="SR53" s="40"/>
      <c r="SS53" s="40"/>
      <c r="ST53" s="40"/>
      <c r="SU53" s="40"/>
      <c r="SV53" s="40"/>
      <c r="SW53" s="40"/>
      <c r="SX53" s="40"/>
      <c r="SY53" s="40"/>
      <c r="SZ53" s="40"/>
      <c r="TA53" s="40"/>
      <c r="TB53" s="40"/>
      <c r="TC53" s="40"/>
      <c r="TD53" s="40"/>
      <c r="TE53" s="40"/>
      <c r="TF53" s="40"/>
      <c r="TG53" s="40"/>
      <c r="TH53" s="40"/>
      <c r="TI53" s="40"/>
      <c r="TJ53" s="40"/>
      <c r="TK53" s="40"/>
      <c r="TL53" s="40"/>
      <c r="TM53" s="40"/>
      <c r="TN53" s="40"/>
      <c r="TO53" s="40"/>
      <c r="TP53" s="40"/>
      <c r="TQ53" s="40"/>
      <c r="TR53" s="40"/>
      <c r="TS53" s="40"/>
      <c r="TT53" s="40"/>
      <c r="TU53" s="40"/>
      <c r="TV53" s="40"/>
      <c r="TW53" s="40"/>
      <c r="TX53" s="40"/>
      <c r="TY53" s="40"/>
      <c r="TZ53" s="40"/>
      <c r="UA53" s="40"/>
      <c r="UB53" s="40"/>
      <c r="UC53" s="40"/>
      <c r="UD53" s="40"/>
      <c r="UE53" s="40"/>
      <c r="UF53" s="40"/>
      <c r="UG53" s="40"/>
      <c r="UH53" s="40"/>
      <c r="UI53" s="40"/>
      <c r="UJ53" s="40"/>
      <c r="UK53" s="40"/>
      <c r="UL53" s="40"/>
      <c r="UM53" s="40"/>
      <c r="UN53" s="40"/>
      <c r="UO53" s="40"/>
      <c r="UP53" s="40"/>
      <c r="UQ53" s="40"/>
      <c r="UR53" s="40"/>
      <c r="US53" s="40"/>
      <c r="UT53" s="40"/>
      <c r="UU53" s="40"/>
      <c r="UV53" s="40"/>
      <c r="UW53" s="40"/>
      <c r="UX53" s="40"/>
      <c r="UY53" s="40"/>
      <c r="UZ53" s="40"/>
      <c r="VA53" s="40"/>
      <c r="VB53" s="40"/>
      <c r="VC53" s="40"/>
      <c r="VD53" s="40"/>
      <c r="VE53" s="40"/>
      <c r="VF53" s="40"/>
      <c r="VG53" s="40"/>
      <c r="VH53" s="40"/>
      <c r="VI53" s="40"/>
      <c r="VJ53" s="40"/>
      <c r="VK53" s="40"/>
      <c r="VL53" s="40"/>
      <c r="VM53" s="40"/>
      <c r="VN53" s="40"/>
      <c r="VO53" s="40"/>
      <c r="VP53" s="40"/>
      <c r="VQ53" s="40"/>
      <c r="VR53" s="40"/>
      <c r="VS53" s="40"/>
      <c r="VT53" s="40"/>
      <c r="VU53" s="40"/>
      <c r="VV53" s="40"/>
      <c r="VW53" s="40"/>
      <c r="VX53" s="40"/>
      <c r="VY53" s="40"/>
      <c r="VZ53" s="40"/>
      <c r="WA53" s="40"/>
      <c r="WB53" s="40"/>
      <c r="WC53" s="40"/>
      <c r="WD53" s="40"/>
      <c r="WE53" s="40"/>
      <c r="WF53" s="40"/>
      <c r="WG53" s="40"/>
      <c r="WH53" s="40"/>
      <c r="WI53" s="40"/>
      <c r="WJ53" s="40"/>
      <c r="WK53" s="40"/>
      <c r="WL53" s="40"/>
      <c r="WM53" s="40"/>
      <c r="WN53" s="40"/>
      <c r="WO53" s="40"/>
      <c r="WP53" s="40"/>
      <c r="WQ53" s="40"/>
      <c r="WR53" s="40"/>
      <c r="WS53" s="40"/>
      <c r="WT53" s="40"/>
      <c r="WU53" s="40"/>
      <c r="WV53" s="40"/>
      <c r="WW53" s="40"/>
      <c r="WX53" s="40"/>
      <c r="WY53" s="40"/>
      <c r="WZ53" s="40"/>
      <c r="XA53" s="40"/>
      <c r="XB53" s="40"/>
      <c r="XC53" s="40"/>
      <c r="XD53" s="40"/>
      <c r="XE53" s="40"/>
      <c r="XF53" s="40"/>
      <c r="XG53" s="40"/>
      <c r="XH53" s="40"/>
      <c r="XI53" s="40"/>
      <c r="XJ53" s="40"/>
      <c r="XK53" s="40"/>
      <c r="XL53" s="40"/>
      <c r="XM53" s="40"/>
      <c r="XN53" s="40"/>
      <c r="XO53" s="40"/>
      <c r="XP53" s="40"/>
      <c r="XQ53" s="40"/>
      <c r="XR53" s="40"/>
      <c r="XS53" s="40"/>
      <c r="XT53" s="40"/>
      <c r="XU53" s="40"/>
      <c r="XV53" s="40"/>
      <c r="XW53" s="40"/>
      <c r="XX53" s="40"/>
      <c r="XY53" s="40"/>
      <c r="XZ53" s="40"/>
      <c r="YA53" s="40"/>
      <c r="YB53" s="40"/>
      <c r="YC53" s="40"/>
      <c r="YD53" s="40"/>
      <c r="YE53" s="40"/>
      <c r="YF53" s="40"/>
      <c r="YG53" s="40"/>
      <c r="YH53" s="40"/>
      <c r="YI53" s="40"/>
      <c r="YJ53" s="40"/>
      <c r="YK53" s="40"/>
      <c r="YL53" s="40"/>
      <c r="YM53" s="40"/>
      <c r="YN53" s="40"/>
      <c r="YO53" s="40"/>
      <c r="YP53" s="40"/>
      <c r="YQ53" s="40"/>
      <c r="YR53" s="40"/>
      <c r="YS53" s="40"/>
      <c r="YT53" s="40"/>
      <c r="YU53" s="40"/>
      <c r="YV53" s="40"/>
      <c r="YW53" s="40"/>
      <c r="YX53" s="40"/>
      <c r="YY53" s="40"/>
      <c r="YZ53" s="40"/>
      <c r="ZA53" s="40"/>
      <c r="ZB53" s="40"/>
      <c r="ZC53" s="40"/>
      <c r="ZD53" s="40"/>
      <c r="ZE53" s="40"/>
      <c r="ZF53" s="40"/>
      <c r="ZG53" s="40"/>
      <c r="ZH53" s="40"/>
      <c r="ZI53" s="40"/>
      <c r="ZJ53" s="40"/>
      <c r="ZK53" s="40"/>
      <c r="ZL53" s="40"/>
      <c r="ZM53" s="40"/>
      <c r="ZN53" s="40"/>
      <c r="ZO53" s="40"/>
      <c r="ZP53" s="40"/>
      <c r="ZQ53" s="40"/>
      <c r="ZR53" s="40"/>
      <c r="ZS53" s="40"/>
      <c r="ZT53" s="40"/>
      <c r="ZU53" s="40"/>
      <c r="ZV53" s="40"/>
      <c r="ZW53" s="40"/>
      <c r="ZX53" s="40"/>
      <c r="ZY53" s="40"/>
      <c r="ZZ53" s="40"/>
    </row>
    <row r="54" spans="1:702" outlineLevel="1" x14ac:dyDescent="0.2">
      <c r="A54" s="42" t="s">
        <v>94</v>
      </c>
      <c r="B54" s="43">
        <v>2.044</v>
      </c>
      <c r="C54" s="28"/>
      <c r="D54" s="28"/>
      <c r="E54" s="28"/>
    </row>
    <row r="55" spans="1:702" x14ac:dyDescent="0.2">
      <c r="A55" s="55"/>
    </row>
    <row r="56" spans="1:702" hidden="1" x14ac:dyDescent="0.2">
      <c r="A56" s="24" t="s">
        <v>95</v>
      </c>
    </row>
    <row r="57" spans="1:702" outlineLevel="1" x14ac:dyDescent="0.2"/>
    <row r="58" spans="1:702" outlineLevel="1" x14ac:dyDescent="0.2"/>
    <row r="59" spans="1:702" outlineLevel="1" x14ac:dyDescent="0.2">
      <c r="C59" s="40" t="b">
        <v>1</v>
      </c>
    </row>
    <row r="60" spans="1:702" outlineLevel="1" x14ac:dyDescent="0.2"/>
    <row r="61" spans="1:702" outlineLevel="1" x14ac:dyDescent="0.2"/>
    <row r="62" spans="1:702" outlineLevel="1" x14ac:dyDescent="0.2"/>
    <row r="63" spans="1:702" outlineLevel="1" x14ac:dyDescent="0.2"/>
    <row r="64" spans="1:702" outlineLevel="1" x14ac:dyDescent="0.2"/>
    <row r="65" spans="1:1" outlineLevel="1" x14ac:dyDescent="0.2"/>
    <row r="66" spans="1:1" outlineLevel="1" x14ac:dyDescent="0.2"/>
    <row r="67" spans="1:1" outlineLevel="1" x14ac:dyDescent="0.2"/>
    <row r="68" spans="1:1" outlineLevel="1" x14ac:dyDescent="0.2"/>
    <row r="69" spans="1:1" outlineLevel="1" x14ac:dyDescent="0.2"/>
    <row r="70" spans="1:1" outlineLevel="1" x14ac:dyDescent="0.2"/>
    <row r="71" spans="1:1" outlineLevel="1" x14ac:dyDescent="0.2"/>
    <row r="72" spans="1:1" outlineLevel="1" x14ac:dyDescent="0.2"/>
    <row r="73" spans="1:1" outlineLevel="1" x14ac:dyDescent="0.2"/>
    <row r="74" spans="1:1" outlineLevel="1" x14ac:dyDescent="0.2"/>
    <row r="75" spans="1:1" outlineLevel="1" x14ac:dyDescent="0.2"/>
    <row r="76" spans="1:1" outlineLevel="1" x14ac:dyDescent="0.2"/>
    <row r="77" spans="1:1" x14ac:dyDescent="0.2">
      <c r="A77" s="56"/>
    </row>
    <row r="78" spans="1:1" hidden="1" x14ac:dyDescent="0.2">
      <c r="A78" s="24" t="s">
        <v>97</v>
      </c>
    </row>
    <row r="79" spans="1:1" outlineLevel="1" x14ac:dyDescent="0.2"/>
    <row r="80" spans="1:1" outlineLevel="1" x14ac:dyDescent="0.2"/>
    <row r="81" outlineLevel="1" x14ac:dyDescent="0.2"/>
    <row r="82" outlineLevel="1" x14ac:dyDescent="0.2"/>
    <row r="83" outlineLevel="1" x14ac:dyDescent="0.2"/>
    <row r="84" outlineLevel="1" x14ac:dyDescent="0.2"/>
    <row r="85" outlineLevel="1" x14ac:dyDescent="0.2"/>
    <row r="86" outlineLevel="1" x14ac:dyDescent="0.2"/>
    <row r="87" outlineLevel="1" x14ac:dyDescent="0.2"/>
    <row r="88" outlineLevel="1" x14ac:dyDescent="0.2"/>
    <row r="89" outlineLevel="1" x14ac:dyDescent="0.2"/>
    <row r="90" outlineLevel="1" x14ac:dyDescent="0.2"/>
    <row r="91" outlineLevel="1" x14ac:dyDescent="0.2"/>
    <row r="92" outlineLevel="1" x14ac:dyDescent="0.2"/>
    <row r="93" outlineLevel="1" x14ac:dyDescent="0.2"/>
    <row r="94" outlineLevel="1" x14ac:dyDescent="0.2"/>
    <row r="95" outlineLevel="1" x14ac:dyDescent="0.2"/>
    <row r="96" outlineLevel="1" x14ac:dyDescent="0.2"/>
    <row r="97" spans="1:1" outlineLevel="1" x14ac:dyDescent="0.2"/>
    <row r="98" spans="1:1" outlineLevel="1" x14ac:dyDescent="0.2"/>
    <row r="99" spans="1:1" x14ac:dyDescent="0.2">
      <c r="A99" s="56"/>
    </row>
    <row r="100" spans="1:1" hidden="1" x14ac:dyDescent="0.2">
      <c r="A100" s="24" t="s">
        <v>98</v>
      </c>
    </row>
    <row r="101" spans="1:1" outlineLevel="1" x14ac:dyDescent="0.2"/>
    <row r="102" spans="1:1" outlineLevel="1" x14ac:dyDescent="0.2"/>
    <row r="103" spans="1:1" outlineLevel="1" x14ac:dyDescent="0.2"/>
    <row r="104" spans="1:1" outlineLevel="1" x14ac:dyDescent="0.2"/>
    <row r="105" spans="1:1" outlineLevel="1" x14ac:dyDescent="0.2"/>
    <row r="106" spans="1:1" outlineLevel="1" x14ac:dyDescent="0.2"/>
    <row r="107" spans="1:1" outlineLevel="1" x14ac:dyDescent="0.2"/>
    <row r="108" spans="1:1" outlineLevel="1" x14ac:dyDescent="0.2"/>
    <row r="109" spans="1:1" outlineLevel="1" x14ac:dyDescent="0.2"/>
    <row r="110" spans="1:1" outlineLevel="1" x14ac:dyDescent="0.2"/>
    <row r="111" spans="1:1" outlineLevel="1" x14ac:dyDescent="0.2"/>
    <row r="112" spans="1:1" outlineLevel="1" x14ac:dyDescent="0.2"/>
    <row r="113" spans="1:1" outlineLevel="1" x14ac:dyDescent="0.2"/>
    <row r="114" spans="1:1" outlineLevel="1" x14ac:dyDescent="0.2"/>
    <row r="115" spans="1:1" outlineLevel="1" x14ac:dyDescent="0.2"/>
    <row r="116" spans="1:1" outlineLevel="1" x14ac:dyDescent="0.2"/>
    <row r="117" spans="1:1" outlineLevel="1" x14ac:dyDescent="0.2"/>
    <row r="118" spans="1:1" outlineLevel="1" x14ac:dyDescent="0.2"/>
    <row r="119" spans="1:1" outlineLevel="1" x14ac:dyDescent="0.2"/>
    <row r="120" spans="1:1" outlineLevel="1" x14ac:dyDescent="0.2"/>
    <row r="121" spans="1:1" x14ac:dyDescent="0.2">
      <c r="A121" s="56"/>
    </row>
    <row r="122" spans="1:1" hidden="1" x14ac:dyDescent="0.2">
      <c r="A122" s="24" t="s">
        <v>99</v>
      </c>
    </row>
    <row r="123" spans="1:1" outlineLevel="1" x14ac:dyDescent="0.2"/>
    <row r="124" spans="1:1" outlineLevel="1" x14ac:dyDescent="0.2"/>
    <row r="125" spans="1:1" outlineLevel="1" x14ac:dyDescent="0.2"/>
    <row r="126" spans="1:1" outlineLevel="1" x14ac:dyDescent="0.2"/>
    <row r="127" spans="1:1" outlineLevel="1" x14ac:dyDescent="0.2"/>
    <row r="128" spans="1:1" outlineLevel="1" x14ac:dyDescent="0.2"/>
    <row r="129" spans="1:1" outlineLevel="1" x14ac:dyDescent="0.2"/>
    <row r="130" spans="1:1" outlineLevel="1" x14ac:dyDescent="0.2"/>
    <row r="131" spans="1:1" outlineLevel="1" x14ac:dyDescent="0.2"/>
    <row r="132" spans="1:1" outlineLevel="1" x14ac:dyDescent="0.2"/>
    <row r="133" spans="1:1" outlineLevel="1" x14ac:dyDescent="0.2"/>
    <row r="134" spans="1:1" outlineLevel="1" x14ac:dyDescent="0.2"/>
    <row r="135" spans="1:1" outlineLevel="1" x14ac:dyDescent="0.2"/>
    <row r="136" spans="1:1" outlineLevel="1" x14ac:dyDescent="0.2"/>
    <row r="137" spans="1:1" outlineLevel="1" x14ac:dyDescent="0.2"/>
    <row r="138" spans="1:1" outlineLevel="1" x14ac:dyDescent="0.2"/>
    <row r="139" spans="1:1" outlineLevel="1" x14ac:dyDescent="0.2"/>
    <row r="140" spans="1:1" outlineLevel="1" x14ac:dyDescent="0.2"/>
    <row r="141" spans="1:1" outlineLevel="1" x14ac:dyDescent="0.2"/>
    <row r="142" spans="1:1" outlineLevel="1" x14ac:dyDescent="0.2"/>
    <row r="143" spans="1:1" x14ac:dyDescent="0.2">
      <c r="A143" s="56"/>
    </row>
    <row r="144" spans="1:1" hidden="1" x14ac:dyDescent="0.2">
      <c r="A144" s="24" t="s">
        <v>100</v>
      </c>
    </row>
    <row r="145" outlineLevel="1" x14ac:dyDescent="0.2"/>
    <row r="146" outlineLevel="1" x14ac:dyDescent="0.2"/>
    <row r="147" outlineLevel="1" x14ac:dyDescent="0.2"/>
    <row r="148" outlineLevel="1" x14ac:dyDescent="0.2"/>
    <row r="149" outlineLevel="1" x14ac:dyDescent="0.2"/>
    <row r="150" outlineLevel="1" x14ac:dyDescent="0.2"/>
    <row r="151" outlineLevel="1" x14ac:dyDescent="0.2"/>
    <row r="152" outlineLevel="1" x14ac:dyDescent="0.2"/>
    <row r="153" outlineLevel="1" x14ac:dyDescent="0.2"/>
    <row r="154" outlineLevel="1" x14ac:dyDescent="0.2"/>
    <row r="155" outlineLevel="1" x14ac:dyDescent="0.2"/>
    <row r="156" outlineLevel="1" x14ac:dyDescent="0.2"/>
    <row r="157" outlineLevel="1" x14ac:dyDescent="0.2"/>
    <row r="158" outlineLevel="1" x14ac:dyDescent="0.2"/>
    <row r="159" outlineLevel="1" x14ac:dyDescent="0.2"/>
    <row r="160" outlineLevel="1" x14ac:dyDescent="0.2"/>
    <row r="161" spans="1:1" outlineLevel="1" x14ac:dyDescent="0.2"/>
    <row r="162" spans="1:1" outlineLevel="1" x14ac:dyDescent="0.2"/>
    <row r="163" spans="1:1" outlineLevel="1" x14ac:dyDescent="0.2"/>
    <row r="164" spans="1:1" outlineLevel="1" x14ac:dyDescent="0.2"/>
    <row r="165" spans="1:1" x14ac:dyDescent="0.2">
      <c r="A165" s="56"/>
    </row>
    <row r="168" spans="1:1" x14ac:dyDescent="0.2">
      <c r="A168" s="22" t="s">
        <v>27</v>
      </c>
    </row>
  </sheetData>
  <dataValidations count="1">
    <dataValidation type="decimal" allowBlank="1" showInputMessage="1" showErrorMessage="1" error="Please enter a confidence level between 0 and 1." sqref="I10">
      <formula1>0</formula1>
      <formula2>1</formula2>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Z168"/>
  <sheetViews>
    <sheetView showGridLines="0" showRowColHeaders="0" zoomScaleNormal="100" workbookViewId="0">
      <selection activeCell="B1" sqref="B1"/>
    </sheetView>
  </sheetViews>
  <sheetFormatPr defaultRowHeight="11.25" outlineLevelRow="1" x14ac:dyDescent="0.2"/>
  <cols>
    <col min="1" max="1" width="15.7109375" style="20" customWidth="1"/>
    <col min="2" max="10" width="10.7109375" style="20" customWidth="1"/>
    <col min="11" max="77" width="9.140625" style="20"/>
    <col min="78" max="78" width="9.140625" style="20" customWidth="1"/>
    <col min="79" max="16384" width="9.140625" style="20"/>
  </cols>
  <sheetData>
    <row r="1" spans="1:78" x14ac:dyDescent="0.2">
      <c r="A1" s="21" t="s">
        <v>45</v>
      </c>
      <c r="B1" s="20" t="s">
        <v>131</v>
      </c>
      <c r="M1" s="22" t="s">
        <v>122</v>
      </c>
      <c r="N1" s="22" t="s">
        <v>123</v>
      </c>
      <c r="O1" s="22" t="s">
        <v>129</v>
      </c>
      <c r="Q1" s="22" t="s">
        <v>65</v>
      </c>
      <c r="R1" s="22" t="s">
        <v>20</v>
      </c>
      <c r="T1" s="40" t="s">
        <v>38</v>
      </c>
      <c r="U1" s="22" t="s">
        <v>130</v>
      </c>
      <c r="Z1" s="57" t="s">
        <v>132</v>
      </c>
      <c r="BZ1" s="23" t="s">
        <v>132</v>
      </c>
    </row>
    <row r="2" spans="1:78" x14ac:dyDescent="0.2">
      <c r="A2" s="21" t="s">
        <v>48</v>
      </c>
      <c r="C2" s="20" t="s">
        <v>5</v>
      </c>
      <c r="Q2" s="22" t="s">
        <v>142</v>
      </c>
      <c r="R2" s="22" t="s">
        <v>126</v>
      </c>
      <c r="S2" s="22" t="s">
        <v>167</v>
      </c>
      <c r="T2" s="22" t="s">
        <v>168</v>
      </c>
    </row>
    <row r="3" spans="1:78" ht="11.25" hidden="1" customHeight="1" outlineLevel="1" x14ac:dyDescent="0.2">
      <c r="A3" s="21" t="s">
        <v>49</v>
      </c>
      <c r="AA3" s="44" t="s">
        <v>140</v>
      </c>
    </row>
    <row r="4" spans="1:78" hidden="1" outlineLevel="1" x14ac:dyDescent="0.2">
      <c r="A4" s="20" t="s">
        <v>8</v>
      </c>
    </row>
    <row r="5" spans="1:78" hidden="1" outlineLevel="1" x14ac:dyDescent="0.2">
      <c r="A5" s="21" t="s">
        <v>50</v>
      </c>
    </row>
    <row r="6" spans="1:78" hidden="1" outlineLevel="1" x14ac:dyDescent="0.2">
      <c r="A6" s="20" t="s">
        <v>133</v>
      </c>
    </row>
    <row r="7" spans="1:78" collapsed="1" x14ac:dyDescent="0.2">
      <c r="A7" s="55"/>
      <c r="J7" s="22" t="s">
        <v>127</v>
      </c>
      <c r="K7" s="22" t="s">
        <v>147</v>
      </c>
    </row>
    <row r="8" spans="1:78" hidden="1" x14ac:dyDescent="0.2">
      <c r="A8" s="24" t="s">
        <v>134</v>
      </c>
    </row>
    <row r="9" spans="1:78" ht="12" outlineLevel="1" thickBot="1" x14ac:dyDescent="0.25">
      <c r="A9" s="25"/>
      <c r="B9" s="30" t="s">
        <v>53</v>
      </c>
      <c r="C9" s="30" t="s">
        <v>54</v>
      </c>
      <c r="D9" s="30" t="s">
        <v>55</v>
      </c>
      <c r="E9" s="30" t="s">
        <v>56</v>
      </c>
      <c r="F9" s="30" t="s">
        <v>11</v>
      </c>
      <c r="G9" s="30" t="s">
        <v>57</v>
      </c>
      <c r="H9" s="30" t="str">
        <f>"t("&amp;TEXT((1-I10)/2,"0.00%") &amp; ",57)"</f>
        <v>t(2.50%,57)</v>
      </c>
      <c r="I9" s="30" t="s">
        <v>58</v>
      </c>
    </row>
    <row r="10" spans="1:78" outlineLevel="1" x14ac:dyDescent="0.2">
      <c r="B10" s="8">
        <f xml:space="preserve"> 1 - C20 / C21</f>
        <v>0.18447705672754922</v>
      </c>
      <c r="C10" s="8">
        <f>1-D10^2/E10^2</f>
        <v>0.17016963667013751</v>
      </c>
      <c r="D10" s="8">
        <f xml:space="preserve"> SQRT(D20)</f>
        <v>6.4840328051870441E-2</v>
      </c>
      <c r="E10" s="8">
        <f xml:space="preserve"> SQRT(C21 / B21)</f>
        <v>7.1178780446755296E-2</v>
      </c>
      <c r="F10" s="31">
        <v>59</v>
      </c>
      <c r="G10" s="31">
        <v>1</v>
      </c>
      <c r="H10" s="32">
        <f>TINV(1 - $I$10, F10 - 1 - 1)</f>
        <v>2.0024654592910065</v>
      </c>
      <c r="I10" s="33">
        <v>0.95</v>
      </c>
    </row>
    <row r="11" spans="1:78" x14ac:dyDescent="0.2">
      <c r="A11" s="55"/>
    </row>
    <row r="12" spans="1:78" hidden="1" x14ac:dyDescent="0.2">
      <c r="A12" s="24" t="s">
        <v>135</v>
      </c>
    </row>
    <row r="13" spans="1:78" ht="12" outlineLevel="1" thickBot="1" x14ac:dyDescent="0.25">
      <c r="A13" s="34" t="s">
        <v>60</v>
      </c>
      <c r="B13" s="27" t="s">
        <v>61</v>
      </c>
      <c r="C13" s="27" t="s">
        <v>62</v>
      </c>
      <c r="D13" s="27" t="s">
        <v>63</v>
      </c>
      <c r="E13" s="27" t="s">
        <v>64</v>
      </c>
      <c r="F13" s="27" t="str">
        <f>IF($I$10&gt;99%,("Lower"&amp;TEXT($I$10,"0.0%")),("Lower"&amp;TEXT($I$10,"0%")))</f>
        <v>Lower95%</v>
      </c>
      <c r="G13" s="27" t="str">
        <f>IF($I$10&gt;99%,("Upper"&amp;TEXT($I$10,"0.0%")),("Upper"&amp;TEXT($I$10,"0%")))</f>
        <v>Upper95%</v>
      </c>
      <c r="H13" s="30" t="s">
        <v>67</v>
      </c>
      <c r="I13" s="30" t="s">
        <v>66</v>
      </c>
    </row>
    <row r="14" spans="1:78" outlineLevel="1" x14ac:dyDescent="0.2">
      <c r="A14" s="35" t="s">
        <v>68</v>
      </c>
      <c r="B14" s="5">
        <v>1.6000114001789838E-2</v>
      </c>
      <c r="C14" s="37">
        <v>8.7565376837752829E-3</v>
      </c>
      <c r="D14" s="5">
        <f>B14 / C14</f>
        <v>1.8272192251780008</v>
      </c>
      <c r="E14" s="5">
        <f>TDIST(ABS(D14),$F$10 - 2,2)</f>
        <v>7.2903539358662936E-2</v>
      </c>
      <c r="F14" s="37">
        <f>B14 - $H$10 * C14</f>
        <v>-1.5345502529502397E-3</v>
      </c>
      <c r="G14" s="5">
        <f>B14 + $H$10 * C14</f>
        <v>3.3534778256529917E-2</v>
      </c>
      <c r="H14" s="8">
        <v>0</v>
      </c>
      <c r="I14" s="8">
        <v>0</v>
      </c>
    </row>
    <row r="15" spans="1:78" outlineLevel="1" x14ac:dyDescent="0.2">
      <c r="A15" s="35" t="s">
        <v>8</v>
      </c>
      <c r="B15" s="5">
        <v>0.81112424189609766</v>
      </c>
      <c r="C15" s="5">
        <v>0.22588992683825465</v>
      </c>
      <c r="D15" s="58">
        <f>B15 / C15</f>
        <v>3.5907942122487468</v>
      </c>
      <c r="E15" s="5">
        <f>TDIST(ABS(D15),$F$10 - 2,2)</f>
        <v>6.8703916388308415E-4</v>
      </c>
      <c r="F15" s="5">
        <f>B15 - $H$10 * C15</f>
        <v>0.35878746580072018</v>
      </c>
      <c r="G15" s="5">
        <f>B15 + $H$10 * C15</f>
        <v>1.2634610179914751</v>
      </c>
      <c r="H15" s="8">
        <v>1</v>
      </c>
      <c r="I15" s="59">
        <f>B15*0.0376907120256035/$E$10</f>
        <v>0.42950792394034898</v>
      </c>
    </row>
    <row r="16" spans="1:78" x14ac:dyDescent="0.2">
      <c r="A16" s="55"/>
    </row>
    <row r="17" spans="1:7" hidden="1" x14ac:dyDescent="0.2">
      <c r="A17" s="24" t="s">
        <v>136</v>
      </c>
    </row>
    <row r="18" spans="1:7" ht="12" hidden="1" outlineLevel="1" thickBot="1" x14ac:dyDescent="0.25">
      <c r="A18" s="34" t="s">
        <v>70</v>
      </c>
      <c r="B18" s="27" t="s">
        <v>74</v>
      </c>
      <c r="C18" s="27" t="s">
        <v>75</v>
      </c>
      <c r="D18" s="27" t="s">
        <v>76</v>
      </c>
      <c r="E18" s="27" t="s">
        <v>77</v>
      </c>
      <c r="F18" s="27" t="s">
        <v>64</v>
      </c>
    </row>
    <row r="19" spans="1:7" hidden="1" outlineLevel="1" x14ac:dyDescent="0.2">
      <c r="A19" s="20" t="s">
        <v>71</v>
      </c>
      <c r="B19" s="29">
        <v>1</v>
      </c>
      <c r="C19" s="28">
        <f>C21 - C20</f>
        <v>5.4209005494640861E-2</v>
      </c>
      <c r="D19" s="28">
        <f>C19/B19</f>
        <v>5.4209005494640861E-2</v>
      </c>
      <c r="E19" s="28">
        <f>D19/D20</f>
        <v>12.893803074719113</v>
      </c>
      <c r="F19" s="28">
        <f>FDIST(E19,1,57)</f>
        <v>6.8703916388308068E-4</v>
      </c>
    </row>
    <row r="20" spans="1:7" hidden="1" outlineLevel="1" x14ac:dyDescent="0.2">
      <c r="A20" s="20" t="s">
        <v>72</v>
      </c>
      <c r="B20" s="29">
        <v>57</v>
      </c>
      <c r="C20" s="28">
        <v>0.23964328408682806</v>
      </c>
      <c r="D20" s="36">
        <f>C20/B20</f>
        <v>4.2042681418741762E-3</v>
      </c>
    </row>
    <row r="21" spans="1:7" hidden="1" outlineLevel="1" x14ac:dyDescent="0.2">
      <c r="A21" s="20" t="s">
        <v>73</v>
      </c>
      <c r="B21" s="29">
        <f>B19 + B20</f>
        <v>58</v>
      </c>
      <c r="C21" s="28">
        <v>0.29385228958146892</v>
      </c>
    </row>
    <row r="22" spans="1:7" collapsed="1" x14ac:dyDescent="0.2">
      <c r="A22" s="55"/>
    </row>
    <row r="23" spans="1:7" hidden="1" x14ac:dyDescent="0.2">
      <c r="A23" s="24" t="s">
        <v>78</v>
      </c>
    </row>
    <row r="24" spans="1:7" outlineLevel="1" x14ac:dyDescent="0.2"/>
    <row r="25" spans="1:7" outlineLevel="1" x14ac:dyDescent="0.2">
      <c r="B25" s="38" t="s">
        <v>8</v>
      </c>
      <c r="C25" s="38" t="s">
        <v>79</v>
      </c>
      <c r="D25" s="38" t="s">
        <v>80</v>
      </c>
      <c r="E25" s="38" t="s">
        <v>81</v>
      </c>
      <c r="F25" s="38" t="str">
        <f>IF($I$10&gt;99%,("Lower "&amp;TEXT($I$10,"0.0%")),("Lower "&amp;TEXT($I$10,"0%")))</f>
        <v>Lower 95%</v>
      </c>
      <c r="G25" s="38" t="str">
        <f>IF($I$10&gt;99%,("Upper "&amp;TEXT($I$10,"0.0%")),("Upper "&amp;TEXT($I$10,"0%")))</f>
        <v>Upper 95%</v>
      </c>
    </row>
    <row r="26" spans="1:7" outlineLevel="1" x14ac:dyDescent="0.2">
      <c r="B26" s="38">
        <v>-8.19759162038948E-2</v>
      </c>
      <c r="C26" s="38">
        <f>$D$10/SQRT($F$10)*SQRT(1+(B26- 0.010304560052993)^2/0.00139651198023432)</f>
        <v>2.2489606423422272E-2</v>
      </c>
      <c r="D26" s="38">
        <f>SQRT($D$10^2 + C26^2)</f>
        <v>6.8629807947819685E-2</v>
      </c>
      <c r="E26" s="38">
        <f>0.0160001140017898 + 0.811124241896098 * B26</f>
        <v>-5.0492538882832422E-2</v>
      </c>
      <c r="F26" s="38">
        <f>E26 - $H$10*D26</f>
        <v>-0.18792135877611674</v>
      </c>
      <c r="G26" s="38">
        <f>E26 + $H$10*D26</f>
        <v>8.6936281010451893E-2</v>
      </c>
    </row>
    <row r="27" spans="1:7" outlineLevel="1" x14ac:dyDescent="0.2">
      <c r="B27" s="38">
        <v>-3.4551177576459605E-2</v>
      </c>
      <c r="C27" s="38">
        <f>$D$10/SQRT($F$10)*SQRT(1+(B27- 0.010304560052993)^2/0.00139651198023432)</f>
        <v>1.3188082247142682E-2</v>
      </c>
      <c r="D27" s="38">
        <f>SQRT($D$10^2 + C27^2)</f>
        <v>6.6167920136812344E-2</v>
      </c>
      <c r="E27" s="38">
        <f>0.0160001140017898 + 0.811124241896098 * B27</f>
        <v>-1.2025183716533456E-2</v>
      </c>
      <c r="F27" s="38">
        <f>E27 - $H$10*D27</f>
        <v>-0.14452415830362603</v>
      </c>
      <c r="G27" s="38">
        <f>E27 + $H$10*D27</f>
        <v>0.12047379087055911</v>
      </c>
    </row>
    <row r="28" spans="1:7" outlineLevel="1" x14ac:dyDescent="0.2">
      <c r="B28" s="38">
        <v>1.2873561050975597E-2</v>
      </c>
      <c r="C28" s="38">
        <f>$D$10/SQRT($F$10)*SQRT(1+(B28- 0.010304560052993)^2/0.00139651198023432)</f>
        <v>8.4614149786984404E-3</v>
      </c>
      <c r="D28" s="38">
        <f>SQRT($D$10^2 + C28^2)</f>
        <v>6.5390088586236975E-2</v>
      </c>
      <c r="E28" s="38">
        <f>0.0160001140017898 + 0.811124241896098 * B28</f>
        <v>2.6442171449765517E-2</v>
      </c>
      <c r="F28" s="38">
        <f>E28 - $H$10*D28</f>
        <v>-0.1044992223241531</v>
      </c>
      <c r="G28" s="38">
        <f>E28 + $H$10*D28</f>
        <v>0.15738356522368413</v>
      </c>
    </row>
    <row r="29" spans="1:7" outlineLevel="1" x14ac:dyDescent="0.2">
      <c r="B29" s="38">
        <v>6.0298299678410799E-2</v>
      </c>
      <c r="C29" s="38">
        <f>$D$10/SQRT($F$10)*SQRT(1+(B29- 0.010304560052993)^2/0.00139651198023432)</f>
        <v>1.4099378969779605E-2</v>
      </c>
      <c r="D29" s="38">
        <f>SQRT($D$10^2 + C29^2)</f>
        <v>6.6355562157272396E-2</v>
      </c>
      <c r="E29" s="38">
        <f>0.0160001140017898 + 0.811124241896098 * B29</f>
        <v>6.4909526616064486E-2</v>
      </c>
      <c r="F29" s="38">
        <f>E29 - $H$10*D29</f>
        <v>-6.7965194635710921E-2</v>
      </c>
      <c r="G29" s="38">
        <f>E29 + $H$10*D29</f>
        <v>0.19778424786783988</v>
      </c>
    </row>
    <row r="30" spans="1:7" outlineLevel="1" x14ac:dyDescent="0.2">
      <c r="B30" s="38">
        <v>0.10772303830584599</v>
      </c>
      <c r="C30" s="38">
        <f>$D$10/SQRT($F$10)*SQRT(1+(B30- 0.010304560052993)^2/0.00139651198023432)</f>
        <v>2.356939424407346E-2</v>
      </c>
      <c r="D30" s="38">
        <f>SQRT($D$10^2 + C30^2)</f>
        <v>6.899119137184645E-2</v>
      </c>
      <c r="E30" s="38">
        <f>0.0160001140017898 + 0.811124241896098 * B30</f>
        <v>0.10337688178236346</v>
      </c>
      <c r="F30" s="38">
        <f>E30 - $H$10*D30</f>
        <v>-3.4775595935094772E-2</v>
      </c>
      <c r="G30" s="38">
        <f>E30 + $H$10*D30</f>
        <v>0.24152935949982168</v>
      </c>
    </row>
    <row r="31" spans="1:7" outlineLevel="1" x14ac:dyDescent="0.2"/>
    <row r="32" spans="1:7" outlineLevel="1" x14ac:dyDescent="0.2"/>
    <row r="33" spans="1:9" outlineLevel="1" x14ac:dyDescent="0.2"/>
    <row r="34" spans="1:9" outlineLevel="1" x14ac:dyDescent="0.2"/>
    <row r="35" spans="1:9" outlineLevel="1" x14ac:dyDescent="0.2"/>
    <row r="36" spans="1:9" outlineLevel="1" x14ac:dyDescent="0.2"/>
    <row r="37" spans="1:9" outlineLevel="1" x14ac:dyDescent="0.2"/>
    <row r="38" spans="1:9" outlineLevel="1" x14ac:dyDescent="0.2"/>
    <row r="39" spans="1:9" outlineLevel="1" x14ac:dyDescent="0.2"/>
    <row r="40" spans="1:9" outlineLevel="1" x14ac:dyDescent="0.2"/>
    <row r="41" spans="1:9" outlineLevel="1" x14ac:dyDescent="0.2"/>
    <row r="42" spans="1:9" outlineLevel="1" x14ac:dyDescent="0.2"/>
    <row r="43" spans="1:9" outlineLevel="1" x14ac:dyDescent="0.2"/>
    <row r="44" spans="1:9" x14ac:dyDescent="0.2">
      <c r="A44" s="56"/>
    </row>
    <row r="45" spans="1:9" hidden="1" x14ac:dyDescent="0.2">
      <c r="A45" s="24" t="s">
        <v>137</v>
      </c>
    </row>
    <row r="46" spans="1:9" ht="12" outlineLevel="1" thickBot="1" x14ac:dyDescent="0.25">
      <c r="A46" s="25"/>
      <c r="B46" s="27" t="s">
        <v>85</v>
      </c>
      <c r="C46" s="27" t="s">
        <v>86</v>
      </c>
      <c r="D46" s="27" t="s">
        <v>87</v>
      </c>
      <c r="E46" s="27" t="s">
        <v>17</v>
      </c>
      <c r="F46" s="27" t="s">
        <v>18</v>
      </c>
      <c r="G46" s="39"/>
      <c r="H46" s="30" t="s">
        <v>89</v>
      </c>
      <c r="I46" s="30" t="s">
        <v>83</v>
      </c>
    </row>
    <row r="47" spans="1:9" outlineLevel="1" x14ac:dyDescent="0.2">
      <c r="A47" s="20" t="s">
        <v>84</v>
      </c>
      <c r="B47" s="5">
        <v>-7.3505232032915559E-18</v>
      </c>
      <c r="C47" s="5">
        <v>6.3731864696891211E-2</v>
      </c>
      <c r="D47" s="5">
        <v>4.9714494482923761E-2</v>
      </c>
      <c r="E47" s="5">
        <v>-0.20106387056582212</v>
      </c>
      <c r="F47" s="5">
        <v>0.16480545456959106</v>
      </c>
      <c r="G47" s="33"/>
      <c r="H47" s="32" t="s">
        <v>138</v>
      </c>
      <c r="I47" s="8">
        <v>0.66373893847621257</v>
      </c>
    </row>
    <row r="48" spans="1:9" outlineLevel="1" x14ac:dyDescent="0.2"/>
    <row r="49" spans="1:702" x14ac:dyDescent="0.2">
      <c r="A49" s="55"/>
    </row>
    <row r="50" spans="1:702" hidden="1" x14ac:dyDescent="0.2">
      <c r="A50" s="24" t="s">
        <v>139</v>
      </c>
    </row>
    <row r="51" spans="1:702" ht="12" outlineLevel="1" thickBot="1" x14ac:dyDescent="0.25">
      <c r="A51" s="26" t="s">
        <v>91</v>
      </c>
      <c r="B51" s="41">
        <v>1</v>
      </c>
      <c r="C51" s="41">
        <v>2</v>
      </c>
      <c r="D51" s="41">
        <v>3</v>
      </c>
      <c r="E51" s="41">
        <v>4</v>
      </c>
    </row>
    <row r="52" spans="1:702" outlineLevel="1" x14ac:dyDescent="0.2">
      <c r="A52" s="20" t="s">
        <v>92</v>
      </c>
      <c r="B52" s="43">
        <v>0.20157088479135218</v>
      </c>
      <c r="C52" s="60">
        <v>2.0681085104748829E-2</v>
      </c>
      <c r="D52" s="43">
        <v>0.12432892543807594</v>
      </c>
      <c r="E52" s="60">
        <v>-6.3575168968620255E-2</v>
      </c>
    </row>
    <row r="53" spans="1:702" outlineLevel="1" x14ac:dyDescent="0.2">
      <c r="A53" s="61" t="s">
        <v>93</v>
      </c>
      <c r="B53" s="61">
        <f>B52/0.131306432859723</f>
        <v>1.5351181233191673</v>
      </c>
      <c r="C53" s="61">
        <f>C52/0.132453235706504</f>
        <v>0.15613876848259814</v>
      </c>
      <c r="D53" s="61">
        <f>D52/0.133630620956212</f>
        <v>0.93039248451008816</v>
      </c>
      <c r="E53" s="61">
        <f>E52/0.134839972492648</f>
        <v>-0.47148607192193409</v>
      </c>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c r="AV53" s="40"/>
      <c r="AW53" s="40"/>
      <c r="AX53" s="40"/>
      <c r="AY53" s="40"/>
      <c r="AZ53" s="40"/>
      <c r="BA53" s="40"/>
      <c r="BB53" s="40"/>
      <c r="BC53" s="40"/>
      <c r="BD53" s="40"/>
      <c r="BE53" s="40"/>
      <c r="BF53" s="40"/>
      <c r="BG53" s="40"/>
      <c r="BH53" s="40"/>
      <c r="BI53" s="40"/>
      <c r="BJ53" s="40"/>
      <c r="BK53" s="40"/>
      <c r="BL53" s="40"/>
      <c r="BM53" s="40"/>
      <c r="BN53" s="40"/>
      <c r="BO53" s="40"/>
      <c r="BP53" s="40"/>
      <c r="BQ53" s="40"/>
      <c r="BR53" s="40"/>
      <c r="BS53" s="40"/>
      <c r="BT53" s="40"/>
      <c r="BU53" s="40"/>
      <c r="BV53" s="40"/>
      <c r="BW53" s="40"/>
      <c r="BX53" s="40"/>
      <c r="BY53" s="40"/>
      <c r="BZ53" s="40"/>
      <c r="CA53" s="40"/>
      <c r="CB53" s="40"/>
      <c r="CC53" s="40"/>
      <c r="CD53" s="40"/>
      <c r="CE53" s="40"/>
      <c r="CF53" s="40"/>
      <c r="CG53" s="40"/>
      <c r="CH53" s="40"/>
      <c r="CI53" s="40"/>
      <c r="CJ53" s="40"/>
      <c r="CK53" s="40"/>
      <c r="CL53" s="40"/>
      <c r="CM53" s="40"/>
      <c r="CN53" s="40"/>
      <c r="CO53" s="40"/>
      <c r="CP53" s="40"/>
      <c r="CQ53" s="40"/>
      <c r="CR53" s="40"/>
      <c r="CS53" s="40"/>
      <c r="CT53" s="40"/>
      <c r="CU53" s="40"/>
      <c r="CV53" s="40"/>
      <c r="CW53" s="40"/>
      <c r="CX53" s="40"/>
      <c r="CY53" s="40"/>
      <c r="CZ53" s="40"/>
      <c r="DA53" s="40"/>
      <c r="DB53" s="40"/>
      <c r="DC53" s="40"/>
      <c r="DD53" s="40"/>
      <c r="DE53" s="40"/>
      <c r="DF53" s="40"/>
      <c r="DG53" s="40"/>
      <c r="DH53" s="40"/>
      <c r="DI53" s="40"/>
      <c r="DJ53" s="40"/>
      <c r="DK53" s="40"/>
      <c r="DL53" s="40"/>
      <c r="DM53" s="40"/>
      <c r="DN53" s="40"/>
      <c r="DO53" s="40"/>
      <c r="DP53" s="40"/>
      <c r="DQ53" s="40"/>
      <c r="DR53" s="40"/>
      <c r="DS53" s="40"/>
      <c r="DT53" s="40"/>
      <c r="DU53" s="40"/>
      <c r="DV53" s="40"/>
      <c r="DW53" s="40"/>
      <c r="DX53" s="40"/>
      <c r="DY53" s="40"/>
      <c r="DZ53" s="40"/>
      <c r="EA53" s="40"/>
      <c r="EB53" s="40"/>
      <c r="EC53" s="40"/>
      <c r="ED53" s="40"/>
      <c r="EE53" s="40"/>
      <c r="EF53" s="40"/>
      <c r="EG53" s="40"/>
      <c r="EH53" s="40"/>
      <c r="EI53" s="40"/>
      <c r="EJ53" s="40"/>
      <c r="EK53" s="40"/>
      <c r="EL53" s="40"/>
      <c r="EM53" s="40"/>
      <c r="EN53" s="40"/>
      <c r="EO53" s="40"/>
      <c r="EP53" s="40"/>
      <c r="EQ53" s="40"/>
      <c r="ER53" s="40"/>
      <c r="ES53" s="40"/>
      <c r="ET53" s="40"/>
      <c r="EU53" s="40"/>
      <c r="EV53" s="40"/>
      <c r="EW53" s="40"/>
      <c r="EX53" s="40"/>
      <c r="EY53" s="40"/>
      <c r="EZ53" s="40"/>
      <c r="FA53" s="40"/>
      <c r="FB53" s="40"/>
      <c r="FC53" s="40"/>
      <c r="FD53" s="40"/>
      <c r="FE53" s="40"/>
      <c r="FF53" s="40"/>
      <c r="FG53" s="40"/>
      <c r="FH53" s="40"/>
      <c r="FI53" s="40"/>
      <c r="FJ53" s="40"/>
      <c r="FK53" s="40"/>
      <c r="FL53" s="40"/>
      <c r="FM53" s="40"/>
      <c r="FN53" s="40"/>
      <c r="FO53" s="40"/>
      <c r="FP53" s="40"/>
      <c r="FQ53" s="40"/>
      <c r="FR53" s="40"/>
      <c r="FS53" s="40"/>
      <c r="FT53" s="40"/>
      <c r="FU53" s="40"/>
      <c r="FV53" s="40"/>
      <c r="FW53" s="40"/>
      <c r="FX53" s="40"/>
      <c r="FY53" s="40"/>
      <c r="FZ53" s="40"/>
      <c r="GA53" s="40"/>
      <c r="GB53" s="40"/>
      <c r="GC53" s="40"/>
      <c r="GD53" s="40"/>
      <c r="GE53" s="40"/>
      <c r="GF53" s="40"/>
      <c r="GG53" s="40"/>
      <c r="GH53" s="40"/>
      <c r="GI53" s="40"/>
      <c r="GJ53" s="40"/>
      <c r="GK53" s="40"/>
      <c r="GL53" s="40"/>
      <c r="GM53" s="40"/>
      <c r="GN53" s="40"/>
      <c r="GO53" s="40"/>
      <c r="GP53" s="40"/>
      <c r="GQ53" s="40"/>
      <c r="GR53" s="40"/>
      <c r="GS53" s="40"/>
      <c r="GT53" s="40"/>
      <c r="GU53" s="40"/>
      <c r="GV53" s="40"/>
      <c r="GW53" s="40"/>
      <c r="GX53" s="40"/>
      <c r="GY53" s="40"/>
      <c r="GZ53" s="40"/>
      <c r="HA53" s="40"/>
      <c r="HB53" s="40"/>
      <c r="HC53" s="40"/>
      <c r="HD53" s="40"/>
      <c r="HE53" s="40"/>
      <c r="HF53" s="40"/>
      <c r="HG53" s="40"/>
      <c r="HH53" s="40"/>
      <c r="HI53" s="40"/>
      <c r="HJ53" s="40"/>
      <c r="HK53" s="40"/>
      <c r="HL53" s="40"/>
      <c r="HM53" s="40"/>
      <c r="HN53" s="40"/>
      <c r="HO53" s="40"/>
      <c r="HP53" s="40"/>
      <c r="HQ53" s="40"/>
      <c r="HR53" s="40"/>
      <c r="HS53" s="40"/>
      <c r="HT53" s="40"/>
      <c r="HU53" s="40"/>
      <c r="HV53" s="40"/>
      <c r="HW53" s="40"/>
      <c r="HX53" s="40"/>
      <c r="HY53" s="40"/>
      <c r="HZ53" s="40"/>
      <c r="IA53" s="40"/>
      <c r="IB53" s="40"/>
      <c r="IC53" s="40"/>
      <c r="ID53" s="40"/>
      <c r="IE53" s="40"/>
      <c r="IF53" s="40"/>
      <c r="IG53" s="40"/>
      <c r="IH53" s="40"/>
      <c r="II53" s="40"/>
      <c r="IJ53" s="40"/>
      <c r="IK53" s="40"/>
      <c r="IL53" s="40"/>
      <c r="IM53" s="40"/>
      <c r="IN53" s="40"/>
      <c r="IO53" s="40"/>
      <c r="IP53" s="40"/>
      <c r="IQ53" s="40"/>
      <c r="IR53" s="40"/>
      <c r="IS53" s="40"/>
      <c r="IT53" s="40"/>
      <c r="IU53" s="40"/>
      <c r="IV53" s="40"/>
      <c r="IW53" s="40"/>
      <c r="IX53" s="40"/>
      <c r="IY53" s="40"/>
      <c r="IZ53" s="40"/>
      <c r="JA53" s="40"/>
      <c r="JB53" s="40"/>
      <c r="JC53" s="40"/>
      <c r="JD53" s="40"/>
      <c r="JE53" s="40"/>
      <c r="JF53" s="40"/>
      <c r="JG53" s="40"/>
      <c r="JH53" s="40"/>
      <c r="JI53" s="40"/>
      <c r="JJ53" s="40"/>
      <c r="JK53" s="40"/>
      <c r="JL53" s="40"/>
      <c r="JM53" s="40"/>
      <c r="JN53" s="40"/>
      <c r="JO53" s="40"/>
      <c r="JP53" s="40"/>
      <c r="JQ53" s="40"/>
      <c r="JR53" s="40"/>
      <c r="JS53" s="40"/>
      <c r="JT53" s="40"/>
      <c r="JU53" s="40"/>
      <c r="JV53" s="40"/>
      <c r="JW53" s="40"/>
      <c r="JX53" s="40"/>
      <c r="JY53" s="40"/>
      <c r="JZ53" s="40"/>
      <c r="KA53" s="40"/>
      <c r="KB53" s="40"/>
      <c r="KC53" s="40"/>
      <c r="KD53" s="40"/>
      <c r="KE53" s="40"/>
      <c r="KF53" s="40"/>
      <c r="KG53" s="40"/>
      <c r="KH53" s="40"/>
      <c r="KI53" s="40"/>
      <c r="KJ53" s="40"/>
      <c r="KK53" s="40"/>
      <c r="KL53" s="40"/>
      <c r="KM53" s="40"/>
      <c r="KN53" s="40"/>
      <c r="KO53" s="40"/>
      <c r="KP53" s="40"/>
      <c r="KQ53" s="40"/>
      <c r="KR53" s="40"/>
      <c r="KS53" s="40"/>
      <c r="KT53" s="40"/>
      <c r="KU53" s="40"/>
      <c r="KV53" s="40"/>
      <c r="KW53" s="40"/>
      <c r="KX53" s="40"/>
      <c r="KY53" s="40"/>
      <c r="KZ53" s="40"/>
      <c r="LA53" s="40"/>
      <c r="LB53" s="40"/>
      <c r="LC53" s="40"/>
      <c r="LD53" s="40"/>
      <c r="LE53" s="40"/>
      <c r="LF53" s="40"/>
      <c r="LG53" s="40"/>
      <c r="LH53" s="40"/>
      <c r="LI53" s="40"/>
      <c r="LJ53" s="40"/>
      <c r="LK53" s="40"/>
      <c r="LL53" s="40"/>
      <c r="LM53" s="40"/>
      <c r="LN53" s="40"/>
      <c r="LO53" s="40"/>
      <c r="LP53" s="40"/>
      <c r="LQ53" s="40"/>
      <c r="LR53" s="40"/>
      <c r="LS53" s="40"/>
      <c r="LT53" s="40"/>
      <c r="LU53" s="40"/>
      <c r="LV53" s="40"/>
      <c r="LW53" s="40"/>
      <c r="LX53" s="40"/>
      <c r="LY53" s="40"/>
      <c r="LZ53" s="40"/>
      <c r="MA53" s="40"/>
      <c r="MB53" s="40"/>
      <c r="MC53" s="40"/>
      <c r="MD53" s="40"/>
      <c r="ME53" s="40"/>
      <c r="MF53" s="40"/>
      <c r="MG53" s="40"/>
      <c r="MH53" s="40"/>
      <c r="MI53" s="40"/>
      <c r="MJ53" s="40"/>
      <c r="MK53" s="40"/>
      <c r="ML53" s="40"/>
      <c r="MM53" s="40"/>
      <c r="MN53" s="40"/>
      <c r="MO53" s="40"/>
      <c r="MP53" s="40"/>
      <c r="MQ53" s="40"/>
      <c r="MR53" s="40"/>
      <c r="MS53" s="40"/>
      <c r="MT53" s="40"/>
      <c r="MU53" s="40"/>
      <c r="MV53" s="40"/>
      <c r="MW53" s="40"/>
      <c r="MX53" s="40"/>
      <c r="MY53" s="40"/>
      <c r="MZ53" s="40"/>
      <c r="NA53" s="40"/>
      <c r="NB53" s="40"/>
      <c r="NC53" s="40"/>
      <c r="ND53" s="40"/>
      <c r="NE53" s="40"/>
      <c r="NF53" s="40"/>
      <c r="NG53" s="40"/>
      <c r="NH53" s="40"/>
      <c r="NI53" s="40"/>
      <c r="NJ53" s="40"/>
      <c r="NK53" s="40"/>
      <c r="NL53" s="40"/>
      <c r="NM53" s="40"/>
      <c r="NN53" s="40"/>
      <c r="NO53" s="40"/>
      <c r="NP53" s="40"/>
      <c r="NQ53" s="40"/>
      <c r="NR53" s="40"/>
      <c r="NS53" s="40"/>
      <c r="NT53" s="40"/>
      <c r="NU53" s="40"/>
      <c r="NV53" s="40"/>
      <c r="NW53" s="40"/>
      <c r="NX53" s="40"/>
      <c r="NY53" s="40"/>
      <c r="NZ53" s="40"/>
      <c r="OA53" s="40"/>
      <c r="OB53" s="40"/>
      <c r="OC53" s="40"/>
      <c r="OD53" s="40"/>
      <c r="OE53" s="40"/>
      <c r="OF53" s="40"/>
      <c r="OG53" s="40"/>
      <c r="OH53" s="40"/>
      <c r="OI53" s="40"/>
      <c r="OJ53" s="40"/>
      <c r="OK53" s="40"/>
      <c r="OL53" s="40"/>
      <c r="OM53" s="40"/>
      <c r="ON53" s="40"/>
      <c r="OO53" s="40"/>
      <c r="OP53" s="40"/>
      <c r="OQ53" s="40"/>
      <c r="OR53" s="40"/>
      <c r="OS53" s="40"/>
      <c r="OT53" s="40"/>
      <c r="OU53" s="40"/>
      <c r="OV53" s="40"/>
      <c r="OW53" s="40"/>
      <c r="OX53" s="40"/>
      <c r="OY53" s="40"/>
      <c r="OZ53" s="40"/>
      <c r="PA53" s="40"/>
      <c r="PB53" s="40"/>
      <c r="PC53" s="40"/>
      <c r="PD53" s="40"/>
      <c r="PE53" s="40"/>
      <c r="PF53" s="40"/>
      <c r="PG53" s="40"/>
      <c r="PH53" s="40"/>
      <c r="PI53" s="40"/>
      <c r="PJ53" s="40"/>
      <c r="PK53" s="40"/>
      <c r="PL53" s="40"/>
      <c r="PM53" s="40"/>
      <c r="PN53" s="40"/>
      <c r="PO53" s="40"/>
      <c r="PP53" s="40"/>
      <c r="PQ53" s="40"/>
      <c r="PR53" s="40"/>
      <c r="PS53" s="40"/>
      <c r="PT53" s="40"/>
      <c r="PU53" s="40"/>
      <c r="PV53" s="40"/>
      <c r="PW53" s="40"/>
      <c r="PX53" s="40"/>
      <c r="PY53" s="40"/>
      <c r="PZ53" s="40"/>
      <c r="QA53" s="40"/>
      <c r="QB53" s="40"/>
      <c r="QC53" s="40"/>
      <c r="QD53" s="40"/>
      <c r="QE53" s="40"/>
      <c r="QF53" s="40"/>
      <c r="QG53" s="40"/>
      <c r="QH53" s="40"/>
      <c r="QI53" s="40"/>
      <c r="QJ53" s="40"/>
      <c r="QK53" s="40"/>
      <c r="QL53" s="40"/>
      <c r="QM53" s="40"/>
      <c r="QN53" s="40"/>
      <c r="QO53" s="40"/>
      <c r="QP53" s="40"/>
      <c r="QQ53" s="40"/>
      <c r="QR53" s="40"/>
      <c r="QS53" s="40"/>
      <c r="QT53" s="40"/>
      <c r="QU53" s="40"/>
      <c r="QV53" s="40"/>
      <c r="QW53" s="40"/>
      <c r="QX53" s="40"/>
      <c r="QY53" s="40"/>
      <c r="QZ53" s="40"/>
      <c r="RA53" s="40"/>
      <c r="RB53" s="40"/>
      <c r="RC53" s="40"/>
      <c r="RD53" s="40"/>
      <c r="RE53" s="40"/>
      <c r="RF53" s="40"/>
      <c r="RG53" s="40"/>
      <c r="RH53" s="40"/>
      <c r="RI53" s="40"/>
      <c r="RJ53" s="40"/>
      <c r="RK53" s="40"/>
      <c r="RL53" s="40"/>
      <c r="RM53" s="40"/>
      <c r="RN53" s="40"/>
      <c r="RO53" s="40"/>
      <c r="RP53" s="40"/>
      <c r="RQ53" s="40"/>
      <c r="RR53" s="40"/>
      <c r="RS53" s="40"/>
      <c r="RT53" s="40"/>
      <c r="RU53" s="40"/>
      <c r="RV53" s="40"/>
      <c r="RW53" s="40"/>
      <c r="RX53" s="40"/>
      <c r="RY53" s="40"/>
      <c r="RZ53" s="40"/>
      <c r="SA53" s="40"/>
      <c r="SB53" s="40"/>
      <c r="SC53" s="40"/>
      <c r="SD53" s="40"/>
      <c r="SE53" s="40"/>
      <c r="SF53" s="40"/>
      <c r="SG53" s="40"/>
      <c r="SH53" s="40"/>
      <c r="SI53" s="40"/>
      <c r="SJ53" s="40"/>
      <c r="SK53" s="40"/>
      <c r="SL53" s="40"/>
      <c r="SM53" s="40"/>
      <c r="SN53" s="40"/>
      <c r="SO53" s="40"/>
      <c r="SP53" s="40"/>
      <c r="SQ53" s="40"/>
      <c r="SR53" s="40"/>
      <c r="SS53" s="40"/>
      <c r="ST53" s="40"/>
      <c r="SU53" s="40"/>
      <c r="SV53" s="40"/>
      <c r="SW53" s="40"/>
      <c r="SX53" s="40"/>
      <c r="SY53" s="40"/>
      <c r="SZ53" s="40"/>
      <c r="TA53" s="40"/>
      <c r="TB53" s="40"/>
      <c r="TC53" s="40"/>
      <c r="TD53" s="40"/>
      <c r="TE53" s="40"/>
      <c r="TF53" s="40"/>
      <c r="TG53" s="40"/>
      <c r="TH53" s="40"/>
      <c r="TI53" s="40"/>
      <c r="TJ53" s="40"/>
      <c r="TK53" s="40"/>
      <c r="TL53" s="40"/>
      <c r="TM53" s="40"/>
      <c r="TN53" s="40"/>
      <c r="TO53" s="40"/>
      <c r="TP53" s="40"/>
      <c r="TQ53" s="40"/>
      <c r="TR53" s="40"/>
      <c r="TS53" s="40"/>
      <c r="TT53" s="40"/>
      <c r="TU53" s="40"/>
      <c r="TV53" s="40"/>
      <c r="TW53" s="40"/>
      <c r="TX53" s="40"/>
      <c r="TY53" s="40"/>
      <c r="TZ53" s="40"/>
      <c r="UA53" s="40"/>
      <c r="UB53" s="40"/>
      <c r="UC53" s="40"/>
      <c r="UD53" s="40"/>
      <c r="UE53" s="40"/>
      <c r="UF53" s="40"/>
      <c r="UG53" s="40"/>
      <c r="UH53" s="40"/>
      <c r="UI53" s="40"/>
      <c r="UJ53" s="40"/>
      <c r="UK53" s="40"/>
      <c r="UL53" s="40"/>
      <c r="UM53" s="40"/>
      <c r="UN53" s="40"/>
      <c r="UO53" s="40"/>
      <c r="UP53" s="40"/>
      <c r="UQ53" s="40"/>
      <c r="UR53" s="40"/>
      <c r="US53" s="40"/>
      <c r="UT53" s="40"/>
      <c r="UU53" s="40"/>
      <c r="UV53" s="40"/>
      <c r="UW53" s="40"/>
      <c r="UX53" s="40"/>
      <c r="UY53" s="40"/>
      <c r="UZ53" s="40"/>
      <c r="VA53" s="40"/>
      <c r="VB53" s="40"/>
      <c r="VC53" s="40"/>
      <c r="VD53" s="40"/>
      <c r="VE53" s="40"/>
      <c r="VF53" s="40"/>
      <c r="VG53" s="40"/>
      <c r="VH53" s="40"/>
      <c r="VI53" s="40"/>
      <c r="VJ53" s="40"/>
      <c r="VK53" s="40"/>
      <c r="VL53" s="40"/>
      <c r="VM53" s="40"/>
      <c r="VN53" s="40"/>
      <c r="VO53" s="40"/>
      <c r="VP53" s="40"/>
      <c r="VQ53" s="40"/>
      <c r="VR53" s="40"/>
      <c r="VS53" s="40"/>
      <c r="VT53" s="40"/>
      <c r="VU53" s="40"/>
      <c r="VV53" s="40"/>
      <c r="VW53" s="40"/>
      <c r="VX53" s="40"/>
      <c r="VY53" s="40"/>
      <c r="VZ53" s="40"/>
      <c r="WA53" s="40"/>
      <c r="WB53" s="40"/>
      <c r="WC53" s="40"/>
      <c r="WD53" s="40"/>
      <c r="WE53" s="40"/>
      <c r="WF53" s="40"/>
      <c r="WG53" s="40"/>
      <c r="WH53" s="40"/>
      <c r="WI53" s="40"/>
      <c r="WJ53" s="40"/>
      <c r="WK53" s="40"/>
      <c r="WL53" s="40"/>
      <c r="WM53" s="40"/>
      <c r="WN53" s="40"/>
      <c r="WO53" s="40"/>
      <c r="WP53" s="40"/>
      <c r="WQ53" s="40"/>
      <c r="WR53" s="40"/>
      <c r="WS53" s="40"/>
      <c r="WT53" s="40"/>
      <c r="WU53" s="40"/>
      <c r="WV53" s="40"/>
      <c r="WW53" s="40"/>
      <c r="WX53" s="40"/>
      <c r="WY53" s="40"/>
      <c r="WZ53" s="40"/>
      <c r="XA53" s="40"/>
      <c r="XB53" s="40"/>
      <c r="XC53" s="40"/>
      <c r="XD53" s="40"/>
      <c r="XE53" s="40"/>
      <c r="XF53" s="40"/>
      <c r="XG53" s="40"/>
      <c r="XH53" s="40"/>
      <c r="XI53" s="40"/>
      <c r="XJ53" s="40"/>
      <c r="XK53" s="40"/>
      <c r="XL53" s="40"/>
      <c r="XM53" s="40"/>
      <c r="XN53" s="40"/>
      <c r="XO53" s="40"/>
      <c r="XP53" s="40"/>
      <c r="XQ53" s="40"/>
      <c r="XR53" s="40"/>
      <c r="XS53" s="40"/>
      <c r="XT53" s="40"/>
      <c r="XU53" s="40"/>
      <c r="XV53" s="40"/>
      <c r="XW53" s="40"/>
      <c r="XX53" s="40"/>
      <c r="XY53" s="40"/>
      <c r="XZ53" s="40"/>
      <c r="YA53" s="40"/>
      <c r="YB53" s="40"/>
      <c r="YC53" s="40"/>
      <c r="YD53" s="40"/>
      <c r="YE53" s="40"/>
      <c r="YF53" s="40"/>
      <c r="YG53" s="40"/>
      <c r="YH53" s="40"/>
      <c r="YI53" s="40"/>
      <c r="YJ53" s="40"/>
      <c r="YK53" s="40"/>
      <c r="YL53" s="40"/>
      <c r="YM53" s="40"/>
      <c r="YN53" s="40"/>
      <c r="YO53" s="40"/>
      <c r="YP53" s="40"/>
      <c r="YQ53" s="40"/>
      <c r="YR53" s="40"/>
      <c r="YS53" s="40"/>
      <c r="YT53" s="40"/>
      <c r="YU53" s="40"/>
      <c r="YV53" s="40"/>
      <c r="YW53" s="40"/>
      <c r="YX53" s="40"/>
      <c r="YY53" s="40"/>
      <c r="YZ53" s="40"/>
      <c r="ZA53" s="40"/>
      <c r="ZB53" s="40"/>
      <c r="ZC53" s="40"/>
      <c r="ZD53" s="40"/>
      <c r="ZE53" s="40"/>
      <c r="ZF53" s="40"/>
      <c r="ZG53" s="40"/>
      <c r="ZH53" s="40"/>
      <c r="ZI53" s="40"/>
      <c r="ZJ53" s="40"/>
      <c r="ZK53" s="40"/>
      <c r="ZL53" s="40"/>
      <c r="ZM53" s="40"/>
      <c r="ZN53" s="40"/>
      <c r="ZO53" s="40"/>
      <c r="ZP53" s="40"/>
      <c r="ZQ53" s="40"/>
      <c r="ZR53" s="40"/>
      <c r="ZS53" s="40"/>
      <c r="ZT53" s="40"/>
      <c r="ZU53" s="40"/>
      <c r="ZV53" s="40"/>
      <c r="ZW53" s="40"/>
      <c r="ZX53" s="40"/>
      <c r="ZY53" s="40"/>
      <c r="ZZ53" s="40"/>
    </row>
    <row r="54" spans="1:702" outlineLevel="1" x14ac:dyDescent="0.2">
      <c r="A54" s="42" t="s">
        <v>94</v>
      </c>
      <c r="B54" s="43">
        <v>1.589</v>
      </c>
      <c r="C54" s="28"/>
      <c r="D54" s="28"/>
      <c r="E54" s="28"/>
    </row>
    <row r="55" spans="1:702" x14ac:dyDescent="0.2">
      <c r="A55" s="55"/>
    </row>
    <row r="56" spans="1:702" hidden="1" x14ac:dyDescent="0.2">
      <c r="A56" s="24" t="s">
        <v>95</v>
      </c>
    </row>
    <row r="57" spans="1:702" outlineLevel="1" x14ac:dyDescent="0.2"/>
    <row r="58" spans="1:702" outlineLevel="1" x14ac:dyDescent="0.2"/>
    <row r="59" spans="1:702" outlineLevel="1" x14ac:dyDescent="0.2">
      <c r="C59" s="40" t="b">
        <v>1</v>
      </c>
    </row>
    <row r="60" spans="1:702" outlineLevel="1" x14ac:dyDescent="0.2"/>
    <row r="61" spans="1:702" outlineLevel="1" x14ac:dyDescent="0.2"/>
    <row r="62" spans="1:702" outlineLevel="1" x14ac:dyDescent="0.2"/>
    <row r="63" spans="1:702" outlineLevel="1" x14ac:dyDescent="0.2"/>
    <row r="64" spans="1:702" outlineLevel="1" x14ac:dyDescent="0.2"/>
    <row r="65" spans="1:1" outlineLevel="1" x14ac:dyDescent="0.2"/>
    <row r="66" spans="1:1" outlineLevel="1" x14ac:dyDescent="0.2"/>
    <row r="67" spans="1:1" outlineLevel="1" x14ac:dyDescent="0.2"/>
    <row r="68" spans="1:1" outlineLevel="1" x14ac:dyDescent="0.2"/>
    <row r="69" spans="1:1" outlineLevel="1" x14ac:dyDescent="0.2"/>
    <row r="70" spans="1:1" outlineLevel="1" x14ac:dyDescent="0.2"/>
    <row r="71" spans="1:1" outlineLevel="1" x14ac:dyDescent="0.2"/>
    <row r="72" spans="1:1" outlineLevel="1" x14ac:dyDescent="0.2"/>
    <row r="73" spans="1:1" outlineLevel="1" x14ac:dyDescent="0.2"/>
    <row r="74" spans="1:1" outlineLevel="1" x14ac:dyDescent="0.2"/>
    <row r="75" spans="1:1" outlineLevel="1" x14ac:dyDescent="0.2"/>
    <row r="76" spans="1:1" outlineLevel="1" x14ac:dyDescent="0.2"/>
    <row r="77" spans="1:1" x14ac:dyDescent="0.2">
      <c r="A77" s="56"/>
    </row>
    <row r="78" spans="1:1" hidden="1" x14ac:dyDescent="0.2">
      <c r="A78" s="24" t="s">
        <v>97</v>
      </c>
    </row>
    <row r="79" spans="1:1" outlineLevel="1" x14ac:dyDescent="0.2"/>
    <row r="80" spans="1:1" outlineLevel="1" x14ac:dyDescent="0.2"/>
    <row r="81" outlineLevel="1" x14ac:dyDescent="0.2"/>
    <row r="82" outlineLevel="1" x14ac:dyDescent="0.2"/>
    <row r="83" outlineLevel="1" x14ac:dyDescent="0.2"/>
    <row r="84" outlineLevel="1" x14ac:dyDescent="0.2"/>
    <row r="85" outlineLevel="1" x14ac:dyDescent="0.2"/>
    <row r="86" outlineLevel="1" x14ac:dyDescent="0.2"/>
    <row r="87" outlineLevel="1" x14ac:dyDescent="0.2"/>
    <row r="88" outlineLevel="1" x14ac:dyDescent="0.2"/>
    <row r="89" outlineLevel="1" x14ac:dyDescent="0.2"/>
    <row r="90" outlineLevel="1" x14ac:dyDescent="0.2"/>
    <row r="91" outlineLevel="1" x14ac:dyDescent="0.2"/>
    <row r="92" outlineLevel="1" x14ac:dyDescent="0.2"/>
    <row r="93" outlineLevel="1" x14ac:dyDescent="0.2"/>
    <row r="94" outlineLevel="1" x14ac:dyDescent="0.2"/>
    <row r="95" outlineLevel="1" x14ac:dyDescent="0.2"/>
    <row r="96" outlineLevel="1" x14ac:dyDescent="0.2"/>
    <row r="97" spans="1:1" outlineLevel="1" x14ac:dyDescent="0.2"/>
    <row r="98" spans="1:1" outlineLevel="1" x14ac:dyDescent="0.2"/>
    <row r="99" spans="1:1" x14ac:dyDescent="0.2">
      <c r="A99" s="56"/>
    </row>
    <row r="100" spans="1:1" hidden="1" x14ac:dyDescent="0.2">
      <c r="A100" s="24" t="s">
        <v>98</v>
      </c>
    </row>
    <row r="101" spans="1:1" outlineLevel="1" x14ac:dyDescent="0.2"/>
    <row r="102" spans="1:1" outlineLevel="1" x14ac:dyDescent="0.2"/>
    <row r="103" spans="1:1" outlineLevel="1" x14ac:dyDescent="0.2"/>
    <row r="104" spans="1:1" outlineLevel="1" x14ac:dyDescent="0.2"/>
    <row r="105" spans="1:1" outlineLevel="1" x14ac:dyDescent="0.2"/>
    <row r="106" spans="1:1" outlineLevel="1" x14ac:dyDescent="0.2"/>
    <row r="107" spans="1:1" outlineLevel="1" x14ac:dyDescent="0.2"/>
    <row r="108" spans="1:1" outlineLevel="1" x14ac:dyDescent="0.2"/>
    <row r="109" spans="1:1" outlineLevel="1" x14ac:dyDescent="0.2"/>
    <row r="110" spans="1:1" outlineLevel="1" x14ac:dyDescent="0.2"/>
    <row r="111" spans="1:1" outlineLevel="1" x14ac:dyDescent="0.2"/>
    <row r="112" spans="1:1" outlineLevel="1" x14ac:dyDescent="0.2"/>
    <row r="113" spans="1:1" outlineLevel="1" x14ac:dyDescent="0.2"/>
    <row r="114" spans="1:1" outlineLevel="1" x14ac:dyDescent="0.2"/>
    <row r="115" spans="1:1" outlineLevel="1" x14ac:dyDescent="0.2"/>
    <row r="116" spans="1:1" outlineLevel="1" x14ac:dyDescent="0.2"/>
    <row r="117" spans="1:1" outlineLevel="1" x14ac:dyDescent="0.2"/>
    <row r="118" spans="1:1" outlineLevel="1" x14ac:dyDescent="0.2"/>
    <row r="119" spans="1:1" outlineLevel="1" x14ac:dyDescent="0.2"/>
    <row r="120" spans="1:1" outlineLevel="1" x14ac:dyDescent="0.2"/>
    <row r="121" spans="1:1" x14ac:dyDescent="0.2">
      <c r="A121" s="56"/>
    </row>
    <row r="122" spans="1:1" hidden="1" x14ac:dyDescent="0.2">
      <c r="A122" s="24" t="s">
        <v>99</v>
      </c>
    </row>
    <row r="123" spans="1:1" outlineLevel="1" x14ac:dyDescent="0.2"/>
    <row r="124" spans="1:1" outlineLevel="1" x14ac:dyDescent="0.2"/>
    <row r="125" spans="1:1" outlineLevel="1" x14ac:dyDescent="0.2"/>
    <row r="126" spans="1:1" outlineLevel="1" x14ac:dyDescent="0.2"/>
    <row r="127" spans="1:1" outlineLevel="1" x14ac:dyDescent="0.2"/>
    <row r="128" spans="1:1" outlineLevel="1" x14ac:dyDescent="0.2"/>
    <row r="129" spans="1:1" outlineLevel="1" x14ac:dyDescent="0.2"/>
    <row r="130" spans="1:1" outlineLevel="1" x14ac:dyDescent="0.2"/>
    <row r="131" spans="1:1" outlineLevel="1" x14ac:dyDescent="0.2"/>
    <row r="132" spans="1:1" outlineLevel="1" x14ac:dyDescent="0.2"/>
    <row r="133" spans="1:1" outlineLevel="1" x14ac:dyDescent="0.2"/>
    <row r="134" spans="1:1" outlineLevel="1" x14ac:dyDescent="0.2"/>
    <row r="135" spans="1:1" outlineLevel="1" x14ac:dyDescent="0.2"/>
    <row r="136" spans="1:1" outlineLevel="1" x14ac:dyDescent="0.2"/>
    <row r="137" spans="1:1" outlineLevel="1" x14ac:dyDescent="0.2"/>
    <row r="138" spans="1:1" outlineLevel="1" x14ac:dyDescent="0.2"/>
    <row r="139" spans="1:1" outlineLevel="1" x14ac:dyDescent="0.2"/>
    <row r="140" spans="1:1" outlineLevel="1" x14ac:dyDescent="0.2"/>
    <row r="141" spans="1:1" outlineLevel="1" x14ac:dyDescent="0.2"/>
    <row r="142" spans="1:1" outlineLevel="1" x14ac:dyDescent="0.2"/>
    <row r="143" spans="1:1" x14ac:dyDescent="0.2">
      <c r="A143" s="56"/>
    </row>
    <row r="144" spans="1:1" hidden="1" x14ac:dyDescent="0.2">
      <c r="A144" s="24" t="s">
        <v>100</v>
      </c>
    </row>
    <row r="145" outlineLevel="1" x14ac:dyDescent="0.2"/>
    <row r="146" outlineLevel="1" x14ac:dyDescent="0.2"/>
    <row r="147" outlineLevel="1" x14ac:dyDescent="0.2"/>
    <row r="148" outlineLevel="1" x14ac:dyDescent="0.2"/>
    <row r="149" outlineLevel="1" x14ac:dyDescent="0.2"/>
    <row r="150" outlineLevel="1" x14ac:dyDescent="0.2"/>
    <row r="151" outlineLevel="1" x14ac:dyDescent="0.2"/>
    <row r="152" outlineLevel="1" x14ac:dyDescent="0.2"/>
    <row r="153" outlineLevel="1" x14ac:dyDescent="0.2"/>
    <row r="154" outlineLevel="1" x14ac:dyDescent="0.2"/>
    <row r="155" outlineLevel="1" x14ac:dyDescent="0.2"/>
    <row r="156" outlineLevel="1" x14ac:dyDescent="0.2"/>
    <row r="157" outlineLevel="1" x14ac:dyDescent="0.2"/>
    <row r="158" outlineLevel="1" x14ac:dyDescent="0.2"/>
    <row r="159" outlineLevel="1" x14ac:dyDescent="0.2"/>
    <row r="160" outlineLevel="1" x14ac:dyDescent="0.2"/>
    <row r="161" spans="1:1" outlineLevel="1" x14ac:dyDescent="0.2"/>
    <row r="162" spans="1:1" outlineLevel="1" x14ac:dyDescent="0.2"/>
    <row r="163" spans="1:1" outlineLevel="1" x14ac:dyDescent="0.2"/>
    <row r="164" spans="1:1" outlineLevel="1" x14ac:dyDescent="0.2"/>
    <row r="165" spans="1:1" x14ac:dyDescent="0.2">
      <c r="A165" s="56"/>
    </row>
    <row r="168" spans="1:1" x14ac:dyDescent="0.2">
      <c r="A168" s="22" t="s">
        <v>27</v>
      </c>
    </row>
  </sheetData>
  <dataValidations count="1">
    <dataValidation type="decimal" allowBlank="1" showInputMessage="1" showErrorMessage="1" error="Please enter a confidence level between 0 and 1." sqref="I10">
      <formula1>0</formula1>
      <formula2>1</formula2>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Z168"/>
  <sheetViews>
    <sheetView showGridLines="0" showRowColHeaders="0" zoomScaleNormal="100" workbookViewId="0">
      <selection activeCell="B1" sqref="B1"/>
    </sheetView>
  </sheetViews>
  <sheetFormatPr defaultRowHeight="11.25" outlineLevelRow="1" x14ac:dyDescent="0.2"/>
  <cols>
    <col min="1" max="1" width="15.7109375" style="20" customWidth="1"/>
    <col min="2" max="10" width="10.7109375" style="20" customWidth="1"/>
    <col min="11" max="77" width="9.140625" style="20"/>
    <col min="78" max="78" width="89.42578125" style="20" bestFit="1" customWidth="1"/>
    <col min="79" max="16384" width="9.140625" style="20"/>
  </cols>
  <sheetData>
    <row r="1" spans="1:78" x14ac:dyDescent="0.2">
      <c r="A1" s="21" t="s">
        <v>45</v>
      </c>
      <c r="B1" s="20" t="s">
        <v>150</v>
      </c>
      <c r="M1" s="22" t="s">
        <v>122</v>
      </c>
      <c r="N1" s="22" t="s">
        <v>123</v>
      </c>
      <c r="O1" s="22" t="s">
        <v>129</v>
      </c>
      <c r="Q1" s="22" t="s">
        <v>65</v>
      </c>
      <c r="R1" s="22" t="s">
        <v>20</v>
      </c>
      <c r="T1" s="40" t="s">
        <v>38</v>
      </c>
      <c r="U1" s="22" t="s">
        <v>130</v>
      </c>
      <c r="Z1" s="57" t="s">
        <v>151</v>
      </c>
      <c r="BZ1" s="23" t="s">
        <v>151</v>
      </c>
    </row>
    <row r="2" spans="1:78" x14ac:dyDescent="0.2">
      <c r="A2" s="21" t="s">
        <v>48</v>
      </c>
      <c r="C2" s="20" t="s">
        <v>6</v>
      </c>
      <c r="Q2" s="22" t="s">
        <v>161</v>
      </c>
      <c r="R2" s="22" t="s">
        <v>126</v>
      </c>
      <c r="S2" s="22" t="s">
        <v>125</v>
      </c>
    </row>
    <row r="3" spans="1:78" ht="11.25" hidden="1" customHeight="1" outlineLevel="1" x14ac:dyDescent="0.2">
      <c r="A3" s="21" t="s">
        <v>49</v>
      </c>
      <c r="AA3" s="44" t="s">
        <v>159</v>
      </c>
    </row>
    <row r="4" spans="1:78" hidden="1" outlineLevel="1" x14ac:dyDescent="0.2">
      <c r="A4" s="20" t="s">
        <v>8</v>
      </c>
    </row>
    <row r="5" spans="1:78" hidden="1" outlineLevel="1" x14ac:dyDescent="0.2">
      <c r="A5" s="21" t="s">
        <v>50</v>
      </c>
    </row>
    <row r="6" spans="1:78" hidden="1" outlineLevel="1" x14ac:dyDescent="0.2">
      <c r="A6" s="20" t="s">
        <v>152</v>
      </c>
    </row>
    <row r="7" spans="1:78" collapsed="1" x14ac:dyDescent="0.2">
      <c r="A7" s="55"/>
      <c r="J7" s="22" t="s">
        <v>127</v>
      </c>
      <c r="K7" s="22" t="s">
        <v>166</v>
      </c>
    </row>
    <row r="8" spans="1:78" hidden="1" x14ac:dyDescent="0.2">
      <c r="A8" s="24" t="s">
        <v>153</v>
      </c>
    </row>
    <row r="9" spans="1:78" ht="12" outlineLevel="1" thickBot="1" x14ac:dyDescent="0.25">
      <c r="A9" s="25"/>
      <c r="B9" s="30" t="s">
        <v>53</v>
      </c>
      <c r="C9" s="30" t="s">
        <v>54</v>
      </c>
      <c r="D9" s="30" t="s">
        <v>55</v>
      </c>
      <c r="E9" s="30" t="s">
        <v>56</v>
      </c>
      <c r="F9" s="30" t="s">
        <v>11</v>
      </c>
      <c r="G9" s="30" t="s">
        <v>57</v>
      </c>
      <c r="H9" s="30" t="str">
        <f>"t("&amp;TEXT((1-I10)/2,"0.00%") &amp; ",57)"</f>
        <v>t(2.50%,57)</v>
      </c>
      <c r="I9" s="30" t="s">
        <v>58</v>
      </c>
    </row>
    <row r="10" spans="1:78" outlineLevel="1" x14ac:dyDescent="0.2">
      <c r="B10" s="8">
        <f xml:space="preserve"> 1 - C20 / C21</f>
        <v>0.41588834793881124</v>
      </c>
      <c r="C10" s="8">
        <f>1-D10^2/E10^2</f>
        <v>0.40564077509563246</v>
      </c>
      <c r="D10" s="8">
        <f xml:space="preserve"> SQRT(D20)</f>
        <v>5.6696773884741467E-2</v>
      </c>
      <c r="E10" s="8">
        <f xml:space="preserve"> SQRT(C21 / B21)</f>
        <v>7.3541730313977302E-2</v>
      </c>
      <c r="F10" s="31">
        <v>59</v>
      </c>
      <c r="G10" s="31">
        <v>1</v>
      </c>
      <c r="H10" s="32">
        <f>TINV(1 - $I$10, F10 - 1 - 1)</f>
        <v>2.0024654592910065</v>
      </c>
      <c r="I10" s="33">
        <v>0.95</v>
      </c>
    </row>
    <row r="11" spans="1:78" x14ac:dyDescent="0.2">
      <c r="A11" s="55"/>
    </row>
    <row r="12" spans="1:78" hidden="1" x14ac:dyDescent="0.2">
      <c r="A12" s="24" t="s">
        <v>154</v>
      </c>
    </row>
    <row r="13" spans="1:78" ht="12" outlineLevel="1" thickBot="1" x14ac:dyDescent="0.25">
      <c r="A13" s="34" t="s">
        <v>60</v>
      </c>
      <c r="B13" s="27" t="s">
        <v>61</v>
      </c>
      <c r="C13" s="27" t="s">
        <v>62</v>
      </c>
      <c r="D13" s="27" t="s">
        <v>63</v>
      </c>
      <c r="E13" s="27" t="s">
        <v>64</v>
      </c>
      <c r="F13" s="27" t="str">
        <f>IF($I$10&gt;99%,("Lower"&amp;TEXT($I$10,"0.0%")),("Lower"&amp;TEXT($I$10,"0%")))</f>
        <v>Lower95%</v>
      </c>
      <c r="G13" s="27" t="str">
        <f>IF($I$10&gt;99%,("Upper"&amp;TEXT($I$10,"0.0%")),("Upper"&amp;TEXT($I$10,"0%")))</f>
        <v>Upper95%</v>
      </c>
      <c r="H13" s="30" t="s">
        <v>67</v>
      </c>
      <c r="I13" s="30" t="s">
        <v>66</v>
      </c>
    </row>
    <row r="14" spans="1:78" outlineLevel="1" x14ac:dyDescent="0.2">
      <c r="A14" s="35" t="s">
        <v>68</v>
      </c>
      <c r="B14" s="37">
        <v>2.6691195227123753E-3</v>
      </c>
      <c r="C14" s="37">
        <v>7.6567693592337321E-3</v>
      </c>
      <c r="D14" s="5">
        <f>B14 / C14</f>
        <v>0.34859604586280674</v>
      </c>
      <c r="E14" s="5">
        <f>TDIST(ABS(D14),$F$10 - 2,2)</f>
        <v>0.72867692999105271</v>
      </c>
      <c r="F14" s="5">
        <f>B14 - $H$10 * C14</f>
        <v>-1.2663296648910905E-2</v>
      </c>
      <c r="G14" s="5">
        <f>B14 + $H$10 * C14</f>
        <v>1.8001535694335657E-2</v>
      </c>
      <c r="H14" s="8">
        <v>0</v>
      </c>
      <c r="I14" s="8">
        <v>0</v>
      </c>
    </row>
    <row r="15" spans="1:78" ht="12.75" outlineLevel="1" x14ac:dyDescent="0.25">
      <c r="A15" s="35" t="s">
        <v>8</v>
      </c>
      <c r="B15" s="5">
        <v>1.2583106673697522</v>
      </c>
      <c r="C15" s="5">
        <v>0.19751951431436149</v>
      </c>
      <c r="D15" s="62">
        <f>B15 / C15</f>
        <v>6.3705637984057226</v>
      </c>
      <c r="E15" s="5">
        <f>TDIST(ABS(D15),$F$10 - 2,2)</f>
        <v>3.531330357398747E-8</v>
      </c>
      <c r="F15" s="5">
        <f>B15 - $H$10 * C15</f>
        <v>0.86278466241930774</v>
      </c>
      <c r="G15" s="5">
        <f>B15 + $H$10 * C15</f>
        <v>1.6538366723201965</v>
      </c>
      <c r="H15" s="8">
        <v>1</v>
      </c>
      <c r="I15" s="63">
        <f>B15*0.0376907120256035/$E$10</f>
        <v>0.64489405946931333</v>
      </c>
    </row>
    <row r="16" spans="1:78" x14ac:dyDescent="0.2">
      <c r="A16" s="55"/>
    </row>
    <row r="17" spans="1:7" hidden="1" x14ac:dyDescent="0.2">
      <c r="A17" s="24" t="s">
        <v>155</v>
      </c>
    </row>
    <row r="18" spans="1:7" ht="12" hidden="1" outlineLevel="1" thickBot="1" x14ac:dyDescent="0.25">
      <c r="A18" s="34" t="s">
        <v>70</v>
      </c>
      <c r="B18" s="27" t="s">
        <v>74</v>
      </c>
      <c r="C18" s="27" t="s">
        <v>75</v>
      </c>
      <c r="D18" s="27" t="s">
        <v>76</v>
      </c>
      <c r="E18" s="27" t="s">
        <v>77</v>
      </c>
      <c r="F18" s="27" t="s">
        <v>64</v>
      </c>
    </row>
    <row r="19" spans="1:7" hidden="1" outlineLevel="1" x14ac:dyDescent="0.2">
      <c r="A19" s="20" t="s">
        <v>71</v>
      </c>
      <c r="B19" s="29">
        <v>1</v>
      </c>
      <c r="C19" s="28">
        <f>C21 - C20</f>
        <v>0.13045851602984096</v>
      </c>
      <c r="D19" s="28">
        <f>C19/B19</f>
        <v>0.13045851602984096</v>
      </c>
      <c r="E19" s="28">
        <f>D19/D20</f>
        <v>40.584083109557533</v>
      </c>
      <c r="F19" s="28">
        <f>FDIST(E19,1,57)</f>
        <v>3.5313303573987662E-8</v>
      </c>
    </row>
    <row r="20" spans="1:7" hidden="1" outlineLevel="1" x14ac:dyDescent="0.2">
      <c r="A20" s="20" t="s">
        <v>72</v>
      </c>
      <c r="B20" s="29">
        <v>57</v>
      </c>
      <c r="C20" s="28">
        <v>0.18322787762943762</v>
      </c>
      <c r="D20" s="36">
        <f>C20/B20</f>
        <v>3.2145241689375023E-3</v>
      </c>
    </row>
    <row r="21" spans="1:7" hidden="1" outlineLevel="1" x14ac:dyDescent="0.2">
      <c r="A21" s="20" t="s">
        <v>73</v>
      </c>
      <c r="B21" s="29">
        <f>B19 + B20</f>
        <v>58</v>
      </c>
      <c r="C21" s="28">
        <v>0.31368639365927858</v>
      </c>
    </row>
    <row r="22" spans="1:7" collapsed="1" x14ac:dyDescent="0.2">
      <c r="A22" s="55"/>
    </row>
    <row r="23" spans="1:7" hidden="1" x14ac:dyDescent="0.2">
      <c r="A23" s="24" t="s">
        <v>78</v>
      </c>
    </row>
    <row r="24" spans="1:7" outlineLevel="1" x14ac:dyDescent="0.2"/>
    <row r="25" spans="1:7" outlineLevel="1" x14ac:dyDescent="0.2">
      <c r="B25" s="38" t="s">
        <v>8</v>
      </c>
      <c r="C25" s="38" t="s">
        <v>79</v>
      </c>
      <c r="D25" s="38" t="s">
        <v>80</v>
      </c>
      <c r="E25" s="38" t="s">
        <v>81</v>
      </c>
      <c r="F25" s="38" t="str">
        <f>IF($I$10&gt;99%,("Lower "&amp;TEXT($I$10,"0.0%")),("Lower "&amp;TEXT($I$10,"0%")))</f>
        <v>Lower 95%</v>
      </c>
      <c r="G25" s="38" t="str">
        <f>IF($I$10&gt;99%,("Upper "&amp;TEXT($I$10,"0.0%")),("Upper "&amp;TEXT($I$10,"0%")))</f>
        <v>Upper 95%</v>
      </c>
    </row>
    <row r="26" spans="1:7" outlineLevel="1" x14ac:dyDescent="0.2">
      <c r="B26" s="38">
        <v>-8.19759162038948E-2</v>
      </c>
      <c r="C26" s="38">
        <f>$D$10/SQRT($F$10)*SQRT(1+(B26- 0.010304560052993)^2/0.00139651198023432)</f>
        <v>1.9665047485965325E-2</v>
      </c>
      <c r="D26" s="38">
        <f>SQRT($D$10^2 + C26^2)</f>
        <v>6.0010317959187424E-2</v>
      </c>
      <c r="E26" s="38">
        <f>0.00266911952271238 + 1.25831066736975 * B26</f>
        <v>-0.10048205030405719</v>
      </c>
      <c r="F26" s="38">
        <f>E26 - $H$10*D26</f>
        <v>-0.22065063921840078</v>
      </c>
      <c r="G26" s="38">
        <f>E26 + $H$10*D26</f>
        <v>1.9686538610286394E-2</v>
      </c>
    </row>
    <row r="27" spans="1:7" outlineLevel="1" x14ac:dyDescent="0.2">
      <c r="B27" s="38">
        <v>-3.4551177576459605E-2</v>
      </c>
      <c r="C27" s="38">
        <f>$D$10/SQRT($F$10)*SQRT(1+(B27- 0.010304560052993)^2/0.00139651198023432)</f>
        <v>1.1531738651005366E-2</v>
      </c>
      <c r="D27" s="38">
        <f>SQRT($D$10^2 + C27^2)</f>
        <v>5.7857628410198363E-2</v>
      </c>
      <c r="E27" s="38">
        <f>0.00266911952271238 + 1.25831066736975 * B27</f>
        <v>-4.0806995791933247E-2</v>
      </c>
      <c r="F27" s="38">
        <f>E27 - $H$10*D27</f>
        <v>-0.1566648982398495</v>
      </c>
      <c r="G27" s="38">
        <f>E27 + $H$10*D27</f>
        <v>7.5050906655982991E-2</v>
      </c>
    </row>
    <row r="28" spans="1:7" outlineLevel="1" x14ac:dyDescent="0.2">
      <c r="B28" s="38">
        <v>1.2873561050975597E-2</v>
      </c>
      <c r="C28" s="38">
        <f>$D$10/SQRT($F$10)*SQRT(1+(B28- 0.010304560052993)^2/0.00139651198023432)</f>
        <v>7.3987122861015686E-3</v>
      </c>
      <c r="D28" s="38">
        <f>SQRT($D$10^2 + C28^2)</f>
        <v>5.7177487811463111E-2</v>
      </c>
      <c r="E28" s="38">
        <f>0.00266911952271238 + 1.25831066736975 * B28</f>
        <v>1.8868058720190706E-2</v>
      </c>
      <c r="F28" s="38">
        <f>E28 - $H$10*D28</f>
        <v>-9.5627885671296695E-2</v>
      </c>
      <c r="G28" s="38">
        <f>E28 + $H$10*D28</f>
        <v>0.13336400311167812</v>
      </c>
    </row>
    <row r="29" spans="1:7" outlineLevel="1" x14ac:dyDescent="0.2">
      <c r="B29" s="38">
        <v>6.0298299678410799E-2</v>
      </c>
      <c r="C29" s="38">
        <f>$D$10/SQRT($F$10)*SQRT(1+(B29- 0.010304560052993)^2/0.00139651198023432)</f>
        <v>1.2328582001087107E-2</v>
      </c>
      <c r="D29" s="38">
        <f>SQRT($D$10^2 + C29^2)</f>
        <v>5.802170372451184E-2</v>
      </c>
      <c r="E29" s="38">
        <f>0.00266911952271238 + 1.25831066736975 * B29</f>
        <v>7.8543113232314651E-2</v>
      </c>
      <c r="F29" s="38">
        <f>E29 - $H$10*D29</f>
        <v>-3.7643344365236656E-2</v>
      </c>
      <c r="G29" s="38">
        <f>E29 + $H$10*D29</f>
        <v>0.19472957082986597</v>
      </c>
    </row>
    <row r="30" spans="1:7" outlineLevel="1" x14ac:dyDescent="0.2">
      <c r="B30" s="38">
        <v>0.10772303830584599</v>
      </c>
      <c r="C30" s="38">
        <f>$D$10/SQRT($F$10)*SQRT(1+(B30- 0.010304560052993)^2/0.00139651198023432)</f>
        <v>2.0609220468279409E-2</v>
      </c>
      <c r="D30" s="38">
        <f>SQRT($D$10^2 + C30^2)</f>
        <v>6.0326313804571624E-2</v>
      </c>
      <c r="E30" s="38">
        <f>0.00266911952271238 + 1.25831066736975 * B30</f>
        <v>0.13821816774443857</v>
      </c>
      <c r="F30" s="38">
        <f>E30 - $H$10*D30</f>
        <v>1.7416808064433673E-2</v>
      </c>
      <c r="G30" s="38">
        <f>E30 + $H$10*D30</f>
        <v>0.25901952742444345</v>
      </c>
    </row>
    <row r="31" spans="1:7" outlineLevel="1" x14ac:dyDescent="0.2"/>
    <row r="32" spans="1:7" outlineLevel="1" x14ac:dyDescent="0.2"/>
    <row r="33" spans="1:9" outlineLevel="1" x14ac:dyDescent="0.2"/>
    <row r="34" spans="1:9" outlineLevel="1" x14ac:dyDescent="0.2"/>
    <row r="35" spans="1:9" outlineLevel="1" x14ac:dyDescent="0.2"/>
    <row r="36" spans="1:9" outlineLevel="1" x14ac:dyDescent="0.2"/>
    <row r="37" spans="1:9" outlineLevel="1" x14ac:dyDescent="0.2"/>
    <row r="38" spans="1:9" outlineLevel="1" x14ac:dyDescent="0.2"/>
    <row r="39" spans="1:9" outlineLevel="1" x14ac:dyDescent="0.2"/>
    <row r="40" spans="1:9" outlineLevel="1" x14ac:dyDescent="0.2"/>
    <row r="41" spans="1:9" outlineLevel="1" x14ac:dyDescent="0.2"/>
    <row r="42" spans="1:9" outlineLevel="1" x14ac:dyDescent="0.2"/>
    <row r="43" spans="1:9" outlineLevel="1" x14ac:dyDescent="0.2"/>
    <row r="44" spans="1:9" x14ac:dyDescent="0.2">
      <c r="A44" s="56"/>
    </row>
    <row r="45" spans="1:9" hidden="1" x14ac:dyDescent="0.2">
      <c r="A45" s="24" t="s">
        <v>156</v>
      </c>
    </row>
    <row r="46" spans="1:9" ht="12" outlineLevel="1" thickBot="1" x14ac:dyDescent="0.25">
      <c r="A46" s="25"/>
      <c r="B46" s="27" t="s">
        <v>85</v>
      </c>
      <c r="C46" s="27" t="s">
        <v>86</v>
      </c>
      <c r="D46" s="27" t="s">
        <v>87</v>
      </c>
      <c r="E46" s="27" t="s">
        <v>17</v>
      </c>
      <c r="F46" s="27" t="s">
        <v>18</v>
      </c>
      <c r="G46" s="39"/>
      <c r="H46" s="30" t="s">
        <v>89</v>
      </c>
      <c r="I46" s="30" t="s">
        <v>83</v>
      </c>
    </row>
    <row r="47" spans="1:9" outlineLevel="1" x14ac:dyDescent="0.2">
      <c r="A47" s="20" t="s">
        <v>84</v>
      </c>
      <c r="B47" s="5">
        <v>7.3505232032915552E-19</v>
      </c>
      <c r="C47" s="5">
        <v>5.5727526842275804E-2</v>
      </c>
      <c r="D47" s="5">
        <v>4.2902685938933344E-2</v>
      </c>
      <c r="E47" s="5">
        <v>-0.12405004223304313</v>
      </c>
      <c r="F47" s="5">
        <v>0.17347301562453951</v>
      </c>
      <c r="G47" s="33"/>
      <c r="H47" s="32" t="s">
        <v>157</v>
      </c>
      <c r="I47" s="8">
        <v>0.47908553537680937</v>
      </c>
    </row>
    <row r="48" spans="1:9" outlineLevel="1" x14ac:dyDescent="0.2"/>
    <row r="49" spans="1:702" x14ac:dyDescent="0.2">
      <c r="A49" s="55"/>
    </row>
    <row r="50" spans="1:702" hidden="1" x14ac:dyDescent="0.2">
      <c r="A50" s="24" t="s">
        <v>158</v>
      </c>
    </row>
    <row r="51" spans="1:702" ht="12" outlineLevel="1" thickBot="1" x14ac:dyDescent="0.25">
      <c r="A51" s="26" t="s">
        <v>91</v>
      </c>
      <c r="B51" s="41">
        <v>1</v>
      </c>
      <c r="C51" s="41">
        <v>2</v>
      </c>
      <c r="D51" s="41">
        <v>3</v>
      </c>
      <c r="E51" s="41">
        <v>4</v>
      </c>
    </row>
    <row r="52" spans="1:702" outlineLevel="1" x14ac:dyDescent="0.2">
      <c r="A52" s="20" t="s">
        <v>92</v>
      </c>
      <c r="B52" s="43">
        <v>-0.30136956922000141</v>
      </c>
      <c r="C52" s="43">
        <v>0.1218927621204486</v>
      </c>
      <c r="D52" s="43">
        <v>-0.24792359261779578</v>
      </c>
      <c r="E52" s="60">
        <v>-2.9601568408615893E-2</v>
      </c>
    </row>
    <row r="53" spans="1:702" outlineLevel="1" x14ac:dyDescent="0.2">
      <c r="A53" s="61" t="s">
        <v>93</v>
      </c>
      <c r="B53" s="61">
        <f>B52/0.131306432859723</f>
        <v>-2.2951622601914705</v>
      </c>
      <c r="C53" s="61">
        <f>C52/0.132453235706504</f>
        <v>0.92027017286723156</v>
      </c>
      <c r="D53" s="61">
        <f>D52/0.133630620956212</f>
        <v>-1.8552902833478206</v>
      </c>
      <c r="E53" s="61">
        <f>E52/0.134839972492648</f>
        <v>-0.21953110684763663</v>
      </c>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c r="AV53" s="40"/>
      <c r="AW53" s="40"/>
      <c r="AX53" s="40"/>
      <c r="AY53" s="40"/>
      <c r="AZ53" s="40"/>
      <c r="BA53" s="40"/>
      <c r="BB53" s="40"/>
      <c r="BC53" s="40"/>
      <c r="BD53" s="40"/>
      <c r="BE53" s="40"/>
      <c r="BF53" s="40"/>
      <c r="BG53" s="40"/>
      <c r="BH53" s="40"/>
      <c r="BI53" s="40"/>
      <c r="BJ53" s="40"/>
      <c r="BK53" s="40"/>
      <c r="BL53" s="40"/>
      <c r="BM53" s="40"/>
      <c r="BN53" s="40"/>
      <c r="BO53" s="40"/>
      <c r="BP53" s="40"/>
      <c r="BQ53" s="40"/>
      <c r="BR53" s="40"/>
      <c r="BS53" s="40"/>
      <c r="BT53" s="40"/>
      <c r="BU53" s="40"/>
      <c r="BV53" s="40"/>
      <c r="BW53" s="40"/>
      <c r="BX53" s="40"/>
      <c r="BY53" s="40"/>
      <c r="BZ53" s="40"/>
      <c r="CA53" s="40"/>
      <c r="CB53" s="40"/>
      <c r="CC53" s="40"/>
      <c r="CD53" s="40"/>
      <c r="CE53" s="40"/>
      <c r="CF53" s="40"/>
      <c r="CG53" s="40"/>
      <c r="CH53" s="40"/>
      <c r="CI53" s="40"/>
      <c r="CJ53" s="40"/>
      <c r="CK53" s="40"/>
      <c r="CL53" s="40"/>
      <c r="CM53" s="40"/>
      <c r="CN53" s="40"/>
      <c r="CO53" s="40"/>
      <c r="CP53" s="40"/>
      <c r="CQ53" s="40"/>
      <c r="CR53" s="40"/>
      <c r="CS53" s="40"/>
      <c r="CT53" s="40"/>
      <c r="CU53" s="40"/>
      <c r="CV53" s="40"/>
      <c r="CW53" s="40"/>
      <c r="CX53" s="40"/>
      <c r="CY53" s="40"/>
      <c r="CZ53" s="40"/>
      <c r="DA53" s="40"/>
      <c r="DB53" s="40"/>
      <c r="DC53" s="40"/>
      <c r="DD53" s="40"/>
      <c r="DE53" s="40"/>
      <c r="DF53" s="40"/>
      <c r="DG53" s="40"/>
      <c r="DH53" s="40"/>
      <c r="DI53" s="40"/>
      <c r="DJ53" s="40"/>
      <c r="DK53" s="40"/>
      <c r="DL53" s="40"/>
      <c r="DM53" s="40"/>
      <c r="DN53" s="40"/>
      <c r="DO53" s="40"/>
      <c r="DP53" s="40"/>
      <c r="DQ53" s="40"/>
      <c r="DR53" s="40"/>
      <c r="DS53" s="40"/>
      <c r="DT53" s="40"/>
      <c r="DU53" s="40"/>
      <c r="DV53" s="40"/>
      <c r="DW53" s="40"/>
      <c r="DX53" s="40"/>
      <c r="DY53" s="40"/>
      <c r="DZ53" s="40"/>
      <c r="EA53" s="40"/>
      <c r="EB53" s="40"/>
      <c r="EC53" s="40"/>
      <c r="ED53" s="40"/>
      <c r="EE53" s="40"/>
      <c r="EF53" s="40"/>
      <c r="EG53" s="40"/>
      <c r="EH53" s="40"/>
      <c r="EI53" s="40"/>
      <c r="EJ53" s="40"/>
      <c r="EK53" s="40"/>
      <c r="EL53" s="40"/>
      <c r="EM53" s="40"/>
      <c r="EN53" s="40"/>
      <c r="EO53" s="40"/>
      <c r="EP53" s="40"/>
      <c r="EQ53" s="40"/>
      <c r="ER53" s="40"/>
      <c r="ES53" s="40"/>
      <c r="ET53" s="40"/>
      <c r="EU53" s="40"/>
      <c r="EV53" s="40"/>
      <c r="EW53" s="40"/>
      <c r="EX53" s="40"/>
      <c r="EY53" s="40"/>
      <c r="EZ53" s="40"/>
      <c r="FA53" s="40"/>
      <c r="FB53" s="40"/>
      <c r="FC53" s="40"/>
      <c r="FD53" s="40"/>
      <c r="FE53" s="40"/>
      <c r="FF53" s="40"/>
      <c r="FG53" s="40"/>
      <c r="FH53" s="40"/>
      <c r="FI53" s="40"/>
      <c r="FJ53" s="40"/>
      <c r="FK53" s="40"/>
      <c r="FL53" s="40"/>
      <c r="FM53" s="40"/>
      <c r="FN53" s="40"/>
      <c r="FO53" s="40"/>
      <c r="FP53" s="40"/>
      <c r="FQ53" s="40"/>
      <c r="FR53" s="40"/>
      <c r="FS53" s="40"/>
      <c r="FT53" s="40"/>
      <c r="FU53" s="40"/>
      <c r="FV53" s="40"/>
      <c r="FW53" s="40"/>
      <c r="FX53" s="40"/>
      <c r="FY53" s="40"/>
      <c r="FZ53" s="40"/>
      <c r="GA53" s="40"/>
      <c r="GB53" s="40"/>
      <c r="GC53" s="40"/>
      <c r="GD53" s="40"/>
      <c r="GE53" s="40"/>
      <c r="GF53" s="40"/>
      <c r="GG53" s="40"/>
      <c r="GH53" s="40"/>
      <c r="GI53" s="40"/>
      <c r="GJ53" s="40"/>
      <c r="GK53" s="40"/>
      <c r="GL53" s="40"/>
      <c r="GM53" s="40"/>
      <c r="GN53" s="40"/>
      <c r="GO53" s="40"/>
      <c r="GP53" s="40"/>
      <c r="GQ53" s="40"/>
      <c r="GR53" s="40"/>
      <c r="GS53" s="40"/>
      <c r="GT53" s="40"/>
      <c r="GU53" s="40"/>
      <c r="GV53" s="40"/>
      <c r="GW53" s="40"/>
      <c r="GX53" s="40"/>
      <c r="GY53" s="40"/>
      <c r="GZ53" s="40"/>
      <c r="HA53" s="40"/>
      <c r="HB53" s="40"/>
      <c r="HC53" s="40"/>
      <c r="HD53" s="40"/>
      <c r="HE53" s="40"/>
      <c r="HF53" s="40"/>
      <c r="HG53" s="40"/>
      <c r="HH53" s="40"/>
      <c r="HI53" s="40"/>
      <c r="HJ53" s="40"/>
      <c r="HK53" s="40"/>
      <c r="HL53" s="40"/>
      <c r="HM53" s="40"/>
      <c r="HN53" s="40"/>
      <c r="HO53" s="40"/>
      <c r="HP53" s="40"/>
      <c r="HQ53" s="40"/>
      <c r="HR53" s="40"/>
      <c r="HS53" s="40"/>
      <c r="HT53" s="40"/>
      <c r="HU53" s="40"/>
      <c r="HV53" s="40"/>
      <c r="HW53" s="40"/>
      <c r="HX53" s="40"/>
      <c r="HY53" s="40"/>
      <c r="HZ53" s="40"/>
      <c r="IA53" s="40"/>
      <c r="IB53" s="40"/>
      <c r="IC53" s="40"/>
      <c r="ID53" s="40"/>
      <c r="IE53" s="40"/>
      <c r="IF53" s="40"/>
      <c r="IG53" s="40"/>
      <c r="IH53" s="40"/>
      <c r="II53" s="40"/>
      <c r="IJ53" s="40"/>
      <c r="IK53" s="40"/>
      <c r="IL53" s="40"/>
      <c r="IM53" s="40"/>
      <c r="IN53" s="40"/>
      <c r="IO53" s="40"/>
      <c r="IP53" s="40"/>
      <c r="IQ53" s="40"/>
      <c r="IR53" s="40"/>
      <c r="IS53" s="40"/>
      <c r="IT53" s="40"/>
      <c r="IU53" s="40"/>
      <c r="IV53" s="40"/>
      <c r="IW53" s="40"/>
      <c r="IX53" s="40"/>
      <c r="IY53" s="40"/>
      <c r="IZ53" s="40"/>
      <c r="JA53" s="40"/>
      <c r="JB53" s="40"/>
      <c r="JC53" s="40"/>
      <c r="JD53" s="40"/>
      <c r="JE53" s="40"/>
      <c r="JF53" s="40"/>
      <c r="JG53" s="40"/>
      <c r="JH53" s="40"/>
      <c r="JI53" s="40"/>
      <c r="JJ53" s="40"/>
      <c r="JK53" s="40"/>
      <c r="JL53" s="40"/>
      <c r="JM53" s="40"/>
      <c r="JN53" s="40"/>
      <c r="JO53" s="40"/>
      <c r="JP53" s="40"/>
      <c r="JQ53" s="40"/>
      <c r="JR53" s="40"/>
      <c r="JS53" s="40"/>
      <c r="JT53" s="40"/>
      <c r="JU53" s="40"/>
      <c r="JV53" s="40"/>
      <c r="JW53" s="40"/>
      <c r="JX53" s="40"/>
      <c r="JY53" s="40"/>
      <c r="JZ53" s="40"/>
      <c r="KA53" s="40"/>
      <c r="KB53" s="40"/>
      <c r="KC53" s="40"/>
      <c r="KD53" s="40"/>
      <c r="KE53" s="40"/>
      <c r="KF53" s="40"/>
      <c r="KG53" s="40"/>
      <c r="KH53" s="40"/>
      <c r="KI53" s="40"/>
      <c r="KJ53" s="40"/>
      <c r="KK53" s="40"/>
      <c r="KL53" s="40"/>
      <c r="KM53" s="40"/>
      <c r="KN53" s="40"/>
      <c r="KO53" s="40"/>
      <c r="KP53" s="40"/>
      <c r="KQ53" s="40"/>
      <c r="KR53" s="40"/>
      <c r="KS53" s="40"/>
      <c r="KT53" s="40"/>
      <c r="KU53" s="40"/>
      <c r="KV53" s="40"/>
      <c r="KW53" s="40"/>
      <c r="KX53" s="40"/>
      <c r="KY53" s="40"/>
      <c r="KZ53" s="40"/>
      <c r="LA53" s="40"/>
      <c r="LB53" s="40"/>
      <c r="LC53" s="40"/>
      <c r="LD53" s="40"/>
      <c r="LE53" s="40"/>
      <c r="LF53" s="40"/>
      <c r="LG53" s="40"/>
      <c r="LH53" s="40"/>
      <c r="LI53" s="40"/>
      <c r="LJ53" s="40"/>
      <c r="LK53" s="40"/>
      <c r="LL53" s="40"/>
      <c r="LM53" s="40"/>
      <c r="LN53" s="40"/>
      <c r="LO53" s="40"/>
      <c r="LP53" s="40"/>
      <c r="LQ53" s="40"/>
      <c r="LR53" s="40"/>
      <c r="LS53" s="40"/>
      <c r="LT53" s="40"/>
      <c r="LU53" s="40"/>
      <c r="LV53" s="40"/>
      <c r="LW53" s="40"/>
      <c r="LX53" s="40"/>
      <c r="LY53" s="40"/>
      <c r="LZ53" s="40"/>
      <c r="MA53" s="40"/>
      <c r="MB53" s="40"/>
      <c r="MC53" s="40"/>
      <c r="MD53" s="40"/>
      <c r="ME53" s="40"/>
      <c r="MF53" s="40"/>
      <c r="MG53" s="40"/>
      <c r="MH53" s="40"/>
      <c r="MI53" s="40"/>
      <c r="MJ53" s="40"/>
      <c r="MK53" s="40"/>
      <c r="ML53" s="40"/>
      <c r="MM53" s="40"/>
      <c r="MN53" s="40"/>
      <c r="MO53" s="40"/>
      <c r="MP53" s="40"/>
      <c r="MQ53" s="40"/>
      <c r="MR53" s="40"/>
      <c r="MS53" s="40"/>
      <c r="MT53" s="40"/>
      <c r="MU53" s="40"/>
      <c r="MV53" s="40"/>
      <c r="MW53" s="40"/>
      <c r="MX53" s="40"/>
      <c r="MY53" s="40"/>
      <c r="MZ53" s="40"/>
      <c r="NA53" s="40"/>
      <c r="NB53" s="40"/>
      <c r="NC53" s="40"/>
      <c r="ND53" s="40"/>
      <c r="NE53" s="40"/>
      <c r="NF53" s="40"/>
      <c r="NG53" s="40"/>
      <c r="NH53" s="40"/>
      <c r="NI53" s="40"/>
      <c r="NJ53" s="40"/>
      <c r="NK53" s="40"/>
      <c r="NL53" s="40"/>
      <c r="NM53" s="40"/>
      <c r="NN53" s="40"/>
      <c r="NO53" s="40"/>
      <c r="NP53" s="40"/>
      <c r="NQ53" s="40"/>
      <c r="NR53" s="40"/>
      <c r="NS53" s="40"/>
      <c r="NT53" s="40"/>
      <c r="NU53" s="40"/>
      <c r="NV53" s="40"/>
      <c r="NW53" s="40"/>
      <c r="NX53" s="40"/>
      <c r="NY53" s="40"/>
      <c r="NZ53" s="40"/>
      <c r="OA53" s="40"/>
      <c r="OB53" s="40"/>
      <c r="OC53" s="40"/>
      <c r="OD53" s="40"/>
      <c r="OE53" s="40"/>
      <c r="OF53" s="40"/>
      <c r="OG53" s="40"/>
      <c r="OH53" s="40"/>
      <c r="OI53" s="40"/>
      <c r="OJ53" s="40"/>
      <c r="OK53" s="40"/>
      <c r="OL53" s="40"/>
      <c r="OM53" s="40"/>
      <c r="ON53" s="40"/>
      <c r="OO53" s="40"/>
      <c r="OP53" s="40"/>
      <c r="OQ53" s="40"/>
      <c r="OR53" s="40"/>
      <c r="OS53" s="40"/>
      <c r="OT53" s="40"/>
      <c r="OU53" s="40"/>
      <c r="OV53" s="40"/>
      <c r="OW53" s="40"/>
      <c r="OX53" s="40"/>
      <c r="OY53" s="40"/>
      <c r="OZ53" s="40"/>
      <c r="PA53" s="40"/>
      <c r="PB53" s="40"/>
      <c r="PC53" s="40"/>
      <c r="PD53" s="40"/>
      <c r="PE53" s="40"/>
      <c r="PF53" s="40"/>
      <c r="PG53" s="40"/>
      <c r="PH53" s="40"/>
      <c r="PI53" s="40"/>
      <c r="PJ53" s="40"/>
      <c r="PK53" s="40"/>
      <c r="PL53" s="40"/>
      <c r="PM53" s="40"/>
      <c r="PN53" s="40"/>
      <c r="PO53" s="40"/>
      <c r="PP53" s="40"/>
      <c r="PQ53" s="40"/>
      <c r="PR53" s="40"/>
      <c r="PS53" s="40"/>
      <c r="PT53" s="40"/>
      <c r="PU53" s="40"/>
      <c r="PV53" s="40"/>
      <c r="PW53" s="40"/>
      <c r="PX53" s="40"/>
      <c r="PY53" s="40"/>
      <c r="PZ53" s="40"/>
      <c r="QA53" s="40"/>
      <c r="QB53" s="40"/>
      <c r="QC53" s="40"/>
      <c r="QD53" s="40"/>
      <c r="QE53" s="40"/>
      <c r="QF53" s="40"/>
      <c r="QG53" s="40"/>
      <c r="QH53" s="40"/>
      <c r="QI53" s="40"/>
      <c r="QJ53" s="40"/>
      <c r="QK53" s="40"/>
      <c r="QL53" s="40"/>
      <c r="QM53" s="40"/>
      <c r="QN53" s="40"/>
      <c r="QO53" s="40"/>
      <c r="QP53" s="40"/>
      <c r="QQ53" s="40"/>
      <c r="QR53" s="40"/>
      <c r="QS53" s="40"/>
      <c r="QT53" s="40"/>
      <c r="QU53" s="40"/>
      <c r="QV53" s="40"/>
      <c r="QW53" s="40"/>
      <c r="QX53" s="40"/>
      <c r="QY53" s="40"/>
      <c r="QZ53" s="40"/>
      <c r="RA53" s="40"/>
      <c r="RB53" s="40"/>
      <c r="RC53" s="40"/>
      <c r="RD53" s="40"/>
      <c r="RE53" s="40"/>
      <c r="RF53" s="40"/>
      <c r="RG53" s="40"/>
      <c r="RH53" s="40"/>
      <c r="RI53" s="40"/>
      <c r="RJ53" s="40"/>
      <c r="RK53" s="40"/>
      <c r="RL53" s="40"/>
      <c r="RM53" s="40"/>
      <c r="RN53" s="40"/>
      <c r="RO53" s="40"/>
      <c r="RP53" s="40"/>
      <c r="RQ53" s="40"/>
      <c r="RR53" s="40"/>
      <c r="RS53" s="40"/>
      <c r="RT53" s="40"/>
      <c r="RU53" s="40"/>
      <c r="RV53" s="40"/>
      <c r="RW53" s="40"/>
      <c r="RX53" s="40"/>
      <c r="RY53" s="40"/>
      <c r="RZ53" s="40"/>
      <c r="SA53" s="40"/>
      <c r="SB53" s="40"/>
      <c r="SC53" s="40"/>
      <c r="SD53" s="40"/>
      <c r="SE53" s="40"/>
      <c r="SF53" s="40"/>
      <c r="SG53" s="40"/>
      <c r="SH53" s="40"/>
      <c r="SI53" s="40"/>
      <c r="SJ53" s="40"/>
      <c r="SK53" s="40"/>
      <c r="SL53" s="40"/>
      <c r="SM53" s="40"/>
      <c r="SN53" s="40"/>
      <c r="SO53" s="40"/>
      <c r="SP53" s="40"/>
      <c r="SQ53" s="40"/>
      <c r="SR53" s="40"/>
      <c r="SS53" s="40"/>
      <c r="ST53" s="40"/>
      <c r="SU53" s="40"/>
      <c r="SV53" s="40"/>
      <c r="SW53" s="40"/>
      <c r="SX53" s="40"/>
      <c r="SY53" s="40"/>
      <c r="SZ53" s="40"/>
      <c r="TA53" s="40"/>
      <c r="TB53" s="40"/>
      <c r="TC53" s="40"/>
      <c r="TD53" s="40"/>
      <c r="TE53" s="40"/>
      <c r="TF53" s="40"/>
      <c r="TG53" s="40"/>
      <c r="TH53" s="40"/>
      <c r="TI53" s="40"/>
      <c r="TJ53" s="40"/>
      <c r="TK53" s="40"/>
      <c r="TL53" s="40"/>
      <c r="TM53" s="40"/>
      <c r="TN53" s="40"/>
      <c r="TO53" s="40"/>
      <c r="TP53" s="40"/>
      <c r="TQ53" s="40"/>
      <c r="TR53" s="40"/>
      <c r="TS53" s="40"/>
      <c r="TT53" s="40"/>
      <c r="TU53" s="40"/>
      <c r="TV53" s="40"/>
      <c r="TW53" s="40"/>
      <c r="TX53" s="40"/>
      <c r="TY53" s="40"/>
      <c r="TZ53" s="40"/>
      <c r="UA53" s="40"/>
      <c r="UB53" s="40"/>
      <c r="UC53" s="40"/>
      <c r="UD53" s="40"/>
      <c r="UE53" s="40"/>
      <c r="UF53" s="40"/>
      <c r="UG53" s="40"/>
      <c r="UH53" s="40"/>
      <c r="UI53" s="40"/>
      <c r="UJ53" s="40"/>
      <c r="UK53" s="40"/>
      <c r="UL53" s="40"/>
      <c r="UM53" s="40"/>
      <c r="UN53" s="40"/>
      <c r="UO53" s="40"/>
      <c r="UP53" s="40"/>
      <c r="UQ53" s="40"/>
      <c r="UR53" s="40"/>
      <c r="US53" s="40"/>
      <c r="UT53" s="40"/>
      <c r="UU53" s="40"/>
      <c r="UV53" s="40"/>
      <c r="UW53" s="40"/>
      <c r="UX53" s="40"/>
      <c r="UY53" s="40"/>
      <c r="UZ53" s="40"/>
      <c r="VA53" s="40"/>
      <c r="VB53" s="40"/>
      <c r="VC53" s="40"/>
      <c r="VD53" s="40"/>
      <c r="VE53" s="40"/>
      <c r="VF53" s="40"/>
      <c r="VG53" s="40"/>
      <c r="VH53" s="40"/>
      <c r="VI53" s="40"/>
      <c r="VJ53" s="40"/>
      <c r="VK53" s="40"/>
      <c r="VL53" s="40"/>
      <c r="VM53" s="40"/>
      <c r="VN53" s="40"/>
      <c r="VO53" s="40"/>
      <c r="VP53" s="40"/>
      <c r="VQ53" s="40"/>
      <c r="VR53" s="40"/>
      <c r="VS53" s="40"/>
      <c r="VT53" s="40"/>
      <c r="VU53" s="40"/>
      <c r="VV53" s="40"/>
      <c r="VW53" s="40"/>
      <c r="VX53" s="40"/>
      <c r="VY53" s="40"/>
      <c r="VZ53" s="40"/>
      <c r="WA53" s="40"/>
      <c r="WB53" s="40"/>
      <c r="WC53" s="40"/>
      <c r="WD53" s="40"/>
      <c r="WE53" s="40"/>
      <c r="WF53" s="40"/>
      <c r="WG53" s="40"/>
      <c r="WH53" s="40"/>
      <c r="WI53" s="40"/>
      <c r="WJ53" s="40"/>
      <c r="WK53" s="40"/>
      <c r="WL53" s="40"/>
      <c r="WM53" s="40"/>
      <c r="WN53" s="40"/>
      <c r="WO53" s="40"/>
      <c r="WP53" s="40"/>
      <c r="WQ53" s="40"/>
      <c r="WR53" s="40"/>
      <c r="WS53" s="40"/>
      <c r="WT53" s="40"/>
      <c r="WU53" s="40"/>
      <c r="WV53" s="40"/>
      <c r="WW53" s="40"/>
      <c r="WX53" s="40"/>
      <c r="WY53" s="40"/>
      <c r="WZ53" s="40"/>
      <c r="XA53" s="40"/>
      <c r="XB53" s="40"/>
      <c r="XC53" s="40"/>
      <c r="XD53" s="40"/>
      <c r="XE53" s="40"/>
      <c r="XF53" s="40"/>
      <c r="XG53" s="40"/>
      <c r="XH53" s="40"/>
      <c r="XI53" s="40"/>
      <c r="XJ53" s="40"/>
      <c r="XK53" s="40"/>
      <c r="XL53" s="40"/>
      <c r="XM53" s="40"/>
      <c r="XN53" s="40"/>
      <c r="XO53" s="40"/>
      <c r="XP53" s="40"/>
      <c r="XQ53" s="40"/>
      <c r="XR53" s="40"/>
      <c r="XS53" s="40"/>
      <c r="XT53" s="40"/>
      <c r="XU53" s="40"/>
      <c r="XV53" s="40"/>
      <c r="XW53" s="40"/>
      <c r="XX53" s="40"/>
      <c r="XY53" s="40"/>
      <c r="XZ53" s="40"/>
      <c r="YA53" s="40"/>
      <c r="YB53" s="40"/>
      <c r="YC53" s="40"/>
      <c r="YD53" s="40"/>
      <c r="YE53" s="40"/>
      <c r="YF53" s="40"/>
      <c r="YG53" s="40"/>
      <c r="YH53" s="40"/>
      <c r="YI53" s="40"/>
      <c r="YJ53" s="40"/>
      <c r="YK53" s="40"/>
      <c r="YL53" s="40"/>
      <c r="YM53" s="40"/>
      <c r="YN53" s="40"/>
      <c r="YO53" s="40"/>
      <c r="YP53" s="40"/>
      <c r="YQ53" s="40"/>
      <c r="YR53" s="40"/>
      <c r="YS53" s="40"/>
      <c r="YT53" s="40"/>
      <c r="YU53" s="40"/>
      <c r="YV53" s="40"/>
      <c r="YW53" s="40"/>
      <c r="YX53" s="40"/>
      <c r="YY53" s="40"/>
      <c r="YZ53" s="40"/>
      <c r="ZA53" s="40"/>
      <c r="ZB53" s="40"/>
      <c r="ZC53" s="40"/>
      <c r="ZD53" s="40"/>
      <c r="ZE53" s="40"/>
      <c r="ZF53" s="40"/>
      <c r="ZG53" s="40"/>
      <c r="ZH53" s="40"/>
      <c r="ZI53" s="40"/>
      <c r="ZJ53" s="40"/>
      <c r="ZK53" s="40"/>
      <c r="ZL53" s="40"/>
      <c r="ZM53" s="40"/>
      <c r="ZN53" s="40"/>
      <c r="ZO53" s="40"/>
      <c r="ZP53" s="40"/>
      <c r="ZQ53" s="40"/>
      <c r="ZR53" s="40"/>
      <c r="ZS53" s="40"/>
      <c r="ZT53" s="40"/>
      <c r="ZU53" s="40"/>
      <c r="ZV53" s="40"/>
      <c r="ZW53" s="40"/>
      <c r="ZX53" s="40"/>
      <c r="ZY53" s="40"/>
      <c r="ZZ53" s="40"/>
    </row>
    <row r="54" spans="1:702" outlineLevel="1" x14ac:dyDescent="0.2">
      <c r="A54" s="42" t="s">
        <v>94</v>
      </c>
      <c r="B54" s="43">
        <v>2.5790000000000002</v>
      </c>
      <c r="C54" s="28"/>
      <c r="D54" s="28"/>
      <c r="E54" s="28"/>
    </row>
    <row r="55" spans="1:702" x14ac:dyDescent="0.2">
      <c r="A55" s="55"/>
    </row>
    <row r="56" spans="1:702" hidden="1" x14ac:dyDescent="0.2">
      <c r="A56" s="24" t="s">
        <v>95</v>
      </c>
    </row>
    <row r="57" spans="1:702" outlineLevel="1" x14ac:dyDescent="0.2"/>
    <row r="58" spans="1:702" outlineLevel="1" x14ac:dyDescent="0.2"/>
    <row r="59" spans="1:702" outlineLevel="1" x14ac:dyDescent="0.2">
      <c r="C59" s="40" t="b">
        <v>1</v>
      </c>
    </row>
    <row r="60" spans="1:702" outlineLevel="1" x14ac:dyDescent="0.2"/>
    <row r="61" spans="1:702" outlineLevel="1" x14ac:dyDescent="0.2"/>
    <row r="62" spans="1:702" outlineLevel="1" x14ac:dyDescent="0.2"/>
    <row r="63" spans="1:702" outlineLevel="1" x14ac:dyDescent="0.2"/>
    <row r="64" spans="1:702" outlineLevel="1" x14ac:dyDescent="0.2"/>
    <row r="65" spans="1:1" outlineLevel="1" x14ac:dyDescent="0.2"/>
    <row r="66" spans="1:1" outlineLevel="1" x14ac:dyDescent="0.2"/>
    <row r="67" spans="1:1" outlineLevel="1" x14ac:dyDescent="0.2"/>
    <row r="68" spans="1:1" outlineLevel="1" x14ac:dyDescent="0.2"/>
    <row r="69" spans="1:1" outlineLevel="1" x14ac:dyDescent="0.2"/>
    <row r="70" spans="1:1" outlineLevel="1" x14ac:dyDescent="0.2"/>
    <row r="71" spans="1:1" outlineLevel="1" x14ac:dyDescent="0.2"/>
    <row r="72" spans="1:1" outlineLevel="1" x14ac:dyDescent="0.2"/>
    <row r="73" spans="1:1" outlineLevel="1" x14ac:dyDescent="0.2"/>
    <row r="74" spans="1:1" outlineLevel="1" x14ac:dyDescent="0.2"/>
    <row r="75" spans="1:1" outlineLevel="1" x14ac:dyDescent="0.2"/>
    <row r="76" spans="1:1" outlineLevel="1" x14ac:dyDescent="0.2"/>
    <row r="77" spans="1:1" x14ac:dyDescent="0.2">
      <c r="A77" s="56"/>
    </row>
    <row r="78" spans="1:1" hidden="1" x14ac:dyDescent="0.2">
      <c r="A78" s="24" t="s">
        <v>97</v>
      </c>
    </row>
    <row r="79" spans="1:1" outlineLevel="1" x14ac:dyDescent="0.2"/>
    <row r="80" spans="1:1" outlineLevel="1" x14ac:dyDescent="0.2"/>
    <row r="81" outlineLevel="1" x14ac:dyDescent="0.2"/>
    <row r="82" outlineLevel="1" x14ac:dyDescent="0.2"/>
    <row r="83" outlineLevel="1" x14ac:dyDescent="0.2"/>
    <row r="84" outlineLevel="1" x14ac:dyDescent="0.2"/>
    <row r="85" outlineLevel="1" x14ac:dyDescent="0.2"/>
    <row r="86" outlineLevel="1" x14ac:dyDescent="0.2"/>
    <row r="87" outlineLevel="1" x14ac:dyDescent="0.2"/>
    <row r="88" outlineLevel="1" x14ac:dyDescent="0.2"/>
    <row r="89" outlineLevel="1" x14ac:dyDescent="0.2"/>
    <row r="90" outlineLevel="1" x14ac:dyDescent="0.2"/>
    <row r="91" outlineLevel="1" x14ac:dyDescent="0.2"/>
    <row r="92" outlineLevel="1" x14ac:dyDescent="0.2"/>
    <row r="93" outlineLevel="1" x14ac:dyDescent="0.2"/>
    <row r="94" outlineLevel="1" x14ac:dyDescent="0.2"/>
    <row r="95" outlineLevel="1" x14ac:dyDescent="0.2"/>
    <row r="96" outlineLevel="1" x14ac:dyDescent="0.2"/>
    <row r="97" spans="1:1" outlineLevel="1" x14ac:dyDescent="0.2"/>
    <row r="98" spans="1:1" outlineLevel="1" x14ac:dyDescent="0.2"/>
    <row r="99" spans="1:1" x14ac:dyDescent="0.2">
      <c r="A99" s="56"/>
    </row>
    <row r="100" spans="1:1" hidden="1" x14ac:dyDescent="0.2">
      <c r="A100" s="24" t="s">
        <v>98</v>
      </c>
    </row>
    <row r="101" spans="1:1" outlineLevel="1" x14ac:dyDescent="0.2"/>
    <row r="102" spans="1:1" outlineLevel="1" x14ac:dyDescent="0.2"/>
    <row r="103" spans="1:1" outlineLevel="1" x14ac:dyDescent="0.2"/>
    <row r="104" spans="1:1" outlineLevel="1" x14ac:dyDescent="0.2"/>
    <row r="105" spans="1:1" outlineLevel="1" x14ac:dyDescent="0.2"/>
    <row r="106" spans="1:1" outlineLevel="1" x14ac:dyDescent="0.2"/>
    <row r="107" spans="1:1" outlineLevel="1" x14ac:dyDescent="0.2"/>
    <row r="108" spans="1:1" outlineLevel="1" x14ac:dyDescent="0.2"/>
    <row r="109" spans="1:1" outlineLevel="1" x14ac:dyDescent="0.2"/>
    <row r="110" spans="1:1" outlineLevel="1" x14ac:dyDescent="0.2"/>
    <row r="111" spans="1:1" outlineLevel="1" x14ac:dyDescent="0.2"/>
    <row r="112" spans="1:1" outlineLevel="1" x14ac:dyDescent="0.2"/>
    <row r="113" spans="1:1" outlineLevel="1" x14ac:dyDescent="0.2"/>
    <row r="114" spans="1:1" outlineLevel="1" x14ac:dyDescent="0.2"/>
    <row r="115" spans="1:1" outlineLevel="1" x14ac:dyDescent="0.2"/>
    <row r="116" spans="1:1" outlineLevel="1" x14ac:dyDescent="0.2"/>
    <row r="117" spans="1:1" outlineLevel="1" x14ac:dyDescent="0.2"/>
    <row r="118" spans="1:1" outlineLevel="1" x14ac:dyDescent="0.2"/>
    <row r="119" spans="1:1" outlineLevel="1" x14ac:dyDescent="0.2"/>
    <row r="120" spans="1:1" outlineLevel="1" x14ac:dyDescent="0.2"/>
    <row r="121" spans="1:1" x14ac:dyDescent="0.2">
      <c r="A121" s="56"/>
    </row>
    <row r="122" spans="1:1" hidden="1" x14ac:dyDescent="0.2">
      <c r="A122" s="24" t="s">
        <v>99</v>
      </c>
    </row>
    <row r="123" spans="1:1" outlineLevel="1" x14ac:dyDescent="0.2"/>
    <row r="124" spans="1:1" outlineLevel="1" x14ac:dyDescent="0.2"/>
    <row r="125" spans="1:1" outlineLevel="1" x14ac:dyDescent="0.2"/>
    <row r="126" spans="1:1" outlineLevel="1" x14ac:dyDescent="0.2"/>
    <row r="127" spans="1:1" outlineLevel="1" x14ac:dyDescent="0.2"/>
    <row r="128" spans="1:1" outlineLevel="1" x14ac:dyDescent="0.2"/>
    <row r="129" spans="1:1" outlineLevel="1" x14ac:dyDescent="0.2"/>
    <row r="130" spans="1:1" outlineLevel="1" x14ac:dyDescent="0.2"/>
    <row r="131" spans="1:1" outlineLevel="1" x14ac:dyDescent="0.2"/>
    <row r="132" spans="1:1" outlineLevel="1" x14ac:dyDescent="0.2"/>
    <row r="133" spans="1:1" outlineLevel="1" x14ac:dyDescent="0.2"/>
    <row r="134" spans="1:1" outlineLevel="1" x14ac:dyDescent="0.2"/>
    <row r="135" spans="1:1" outlineLevel="1" x14ac:dyDescent="0.2"/>
    <row r="136" spans="1:1" outlineLevel="1" x14ac:dyDescent="0.2"/>
    <row r="137" spans="1:1" outlineLevel="1" x14ac:dyDescent="0.2"/>
    <row r="138" spans="1:1" outlineLevel="1" x14ac:dyDescent="0.2"/>
    <row r="139" spans="1:1" outlineLevel="1" x14ac:dyDescent="0.2"/>
    <row r="140" spans="1:1" outlineLevel="1" x14ac:dyDescent="0.2"/>
    <row r="141" spans="1:1" outlineLevel="1" x14ac:dyDescent="0.2"/>
    <row r="142" spans="1:1" outlineLevel="1" x14ac:dyDescent="0.2"/>
    <row r="143" spans="1:1" x14ac:dyDescent="0.2">
      <c r="A143" s="56"/>
    </row>
    <row r="144" spans="1:1" hidden="1" x14ac:dyDescent="0.2">
      <c r="A144" s="24" t="s">
        <v>100</v>
      </c>
    </row>
    <row r="145" outlineLevel="1" x14ac:dyDescent="0.2"/>
    <row r="146" outlineLevel="1" x14ac:dyDescent="0.2"/>
    <row r="147" outlineLevel="1" x14ac:dyDescent="0.2"/>
    <row r="148" outlineLevel="1" x14ac:dyDescent="0.2"/>
    <row r="149" outlineLevel="1" x14ac:dyDescent="0.2"/>
    <row r="150" outlineLevel="1" x14ac:dyDescent="0.2"/>
    <row r="151" outlineLevel="1" x14ac:dyDescent="0.2"/>
    <row r="152" outlineLevel="1" x14ac:dyDescent="0.2"/>
    <row r="153" outlineLevel="1" x14ac:dyDescent="0.2"/>
    <row r="154" outlineLevel="1" x14ac:dyDescent="0.2"/>
    <row r="155" outlineLevel="1" x14ac:dyDescent="0.2"/>
    <row r="156" outlineLevel="1" x14ac:dyDescent="0.2"/>
    <row r="157" outlineLevel="1" x14ac:dyDescent="0.2"/>
    <row r="158" outlineLevel="1" x14ac:dyDescent="0.2"/>
    <row r="159" outlineLevel="1" x14ac:dyDescent="0.2"/>
    <row r="160" outlineLevel="1" x14ac:dyDescent="0.2"/>
    <row r="161" spans="1:1" outlineLevel="1" x14ac:dyDescent="0.2"/>
    <row r="162" spans="1:1" outlineLevel="1" x14ac:dyDescent="0.2"/>
    <row r="163" spans="1:1" outlineLevel="1" x14ac:dyDescent="0.2"/>
    <row r="164" spans="1:1" outlineLevel="1" x14ac:dyDescent="0.2"/>
    <row r="165" spans="1:1" x14ac:dyDescent="0.2">
      <c r="A165" s="56"/>
    </row>
    <row r="168" spans="1:1" x14ac:dyDescent="0.2">
      <c r="A168" s="22" t="s">
        <v>27</v>
      </c>
    </row>
  </sheetData>
  <dataValidations count="1">
    <dataValidation type="decimal" allowBlank="1" showInputMessage="1" showErrorMessage="1" error="Please enter a confidence level between 0 and 1." sqref="I10">
      <formula1>0</formula1>
      <formula2>1</formula2>
    </dataValidation>
  </dataValidation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66"/>
  <sheetViews>
    <sheetView showGridLines="0" showRowColHeaders="0" zoomScaleNormal="100" workbookViewId="0">
      <pane xSplit="1" topLeftCell="B1" activePane="topRight" state="frozenSplit"/>
      <selection pane="topRight"/>
    </sheetView>
  </sheetViews>
  <sheetFormatPr defaultRowHeight="11.25" outlineLevelRow="1" x14ac:dyDescent="0.2"/>
  <cols>
    <col min="1" max="1" width="32.5703125" style="45" bestFit="1" customWidth="1"/>
    <col min="2" max="2" width="19.28515625" style="45" customWidth="1"/>
    <col min="3" max="16384" width="9.140625" style="45"/>
  </cols>
  <sheetData>
    <row r="1" spans="1:21" x14ac:dyDescent="0.2">
      <c r="A1" s="46" t="s">
        <v>101</v>
      </c>
      <c r="M1" s="50" t="s">
        <v>122</v>
      </c>
      <c r="N1" s="50" t="s">
        <v>124</v>
      </c>
      <c r="U1" s="50" t="s">
        <v>169</v>
      </c>
    </row>
    <row r="2" spans="1:21" x14ac:dyDescent="0.2">
      <c r="B2" s="50" t="s">
        <v>114</v>
      </c>
    </row>
    <row r="3" spans="1:21" x14ac:dyDescent="0.2">
      <c r="A3" s="48" t="s">
        <v>102</v>
      </c>
      <c r="B3" s="47" t="s">
        <v>46</v>
      </c>
    </row>
    <row r="4" spans="1:21" x14ac:dyDescent="0.2">
      <c r="A4" s="49" t="s">
        <v>103</v>
      </c>
      <c r="B4" s="51">
        <v>43155.431180555555</v>
      </c>
    </row>
    <row r="5" spans="1:21" x14ac:dyDescent="0.2">
      <c r="A5" s="49" t="s">
        <v>11</v>
      </c>
      <c r="B5" s="52">
        <v>59</v>
      </c>
    </row>
    <row r="6" spans="1:21" x14ac:dyDescent="0.2">
      <c r="A6" s="49" t="s">
        <v>12</v>
      </c>
      <c r="B6" s="45">
        <v>9.2491675916534892E-3</v>
      </c>
    </row>
    <row r="7" spans="1:21" x14ac:dyDescent="0.2">
      <c r="A7" s="49" t="s">
        <v>104</v>
      </c>
      <c r="B7" s="45">
        <v>4.1603853025245677E-2</v>
      </c>
    </row>
    <row r="8" spans="1:21" x14ac:dyDescent="0.2">
      <c r="A8" s="49" t="s">
        <v>105</v>
      </c>
      <c r="B8" s="52">
        <v>1</v>
      </c>
      <c r="C8" s="53"/>
    </row>
    <row r="9" spans="1:21" x14ac:dyDescent="0.2">
      <c r="A9" s="49" t="s">
        <v>106</v>
      </c>
      <c r="B9" s="54">
        <v>3.8706200445720602E-2</v>
      </c>
      <c r="C9" s="53"/>
    </row>
    <row r="10" spans="1:21" x14ac:dyDescent="0.2">
      <c r="A10" s="49" t="s">
        <v>107</v>
      </c>
      <c r="B10" s="45">
        <v>0.1493697208470649</v>
      </c>
      <c r="C10" s="53"/>
    </row>
    <row r="11" spans="1:21" x14ac:dyDescent="0.2">
      <c r="A11" s="49" t="s">
        <v>108</v>
      </c>
      <c r="B11" s="54">
        <v>0.13444638261631159</v>
      </c>
      <c r="C11" s="53"/>
    </row>
    <row r="12" spans="1:21" outlineLevel="1" x14ac:dyDescent="0.2">
      <c r="A12" s="49" t="s">
        <v>109</v>
      </c>
      <c r="B12" s="5">
        <v>3.065543347678782E-2</v>
      </c>
      <c r="C12" s="53"/>
    </row>
    <row r="13" spans="1:21" outlineLevel="1" x14ac:dyDescent="0.2">
      <c r="A13" s="49" t="s">
        <v>110</v>
      </c>
      <c r="B13" s="53"/>
      <c r="C13" s="53"/>
    </row>
    <row r="14" spans="1:21" outlineLevel="1" x14ac:dyDescent="0.2">
      <c r="A14" s="49" t="s">
        <v>111</v>
      </c>
      <c r="B14" s="53"/>
      <c r="C14" s="53"/>
    </row>
    <row r="15" spans="1:21" outlineLevel="1" x14ac:dyDescent="0.2">
      <c r="A15" s="49" t="s">
        <v>112</v>
      </c>
      <c r="B15" s="45" t="s">
        <v>115</v>
      </c>
      <c r="C15" s="53"/>
    </row>
    <row r="16" spans="1:21" outlineLevel="1" x14ac:dyDescent="0.2">
      <c r="A16" s="49" t="s">
        <v>117</v>
      </c>
      <c r="B16" s="45" t="s">
        <v>116</v>
      </c>
      <c r="C16" s="53"/>
    </row>
    <row r="17" spans="1:3" outlineLevel="1" x14ac:dyDescent="0.2">
      <c r="A17" s="49" t="s">
        <v>119</v>
      </c>
      <c r="B17" s="45" t="s">
        <v>118</v>
      </c>
      <c r="C17" s="53"/>
    </row>
    <row r="19" spans="1:3" outlineLevel="1" x14ac:dyDescent="0.2">
      <c r="A19" s="49" t="s">
        <v>113</v>
      </c>
      <c r="B19" s="45" t="s">
        <v>46</v>
      </c>
      <c r="C19" s="53"/>
    </row>
    <row r="20" spans="1:3" outlineLevel="1" x14ac:dyDescent="0.2">
      <c r="A20" s="49" t="s">
        <v>68</v>
      </c>
      <c r="B20" s="54" t="s">
        <v>120</v>
      </c>
      <c r="C20" s="53"/>
    </row>
    <row r="21" spans="1:3" outlineLevel="1" x14ac:dyDescent="0.2">
      <c r="A21" s="49" t="s">
        <v>8</v>
      </c>
      <c r="B21" s="54" t="s">
        <v>121</v>
      </c>
      <c r="C21" s="53"/>
    </row>
    <row r="22" spans="1:3" outlineLevel="1" x14ac:dyDescent="0.2"/>
    <row r="24" spans="1:3" x14ac:dyDescent="0.2">
      <c r="B24" s="50" t="s">
        <v>142</v>
      </c>
    </row>
    <row r="25" spans="1:3" x14ac:dyDescent="0.2">
      <c r="A25" s="48" t="s">
        <v>141</v>
      </c>
      <c r="B25" s="47" t="s">
        <v>131</v>
      </c>
      <c r="C25" s="53"/>
    </row>
    <row r="26" spans="1:3" x14ac:dyDescent="0.2">
      <c r="A26" s="49" t="s">
        <v>103</v>
      </c>
      <c r="B26" s="51">
        <v>43155.433356481481</v>
      </c>
      <c r="C26" s="53"/>
    </row>
    <row r="27" spans="1:3" x14ac:dyDescent="0.2">
      <c r="A27" s="49" t="s">
        <v>11</v>
      </c>
      <c r="B27" s="52">
        <v>59</v>
      </c>
      <c r="C27" s="53"/>
    </row>
    <row r="28" spans="1:3" x14ac:dyDescent="0.2">
      <c r="A28" s="49" t="s">
        <v>12</v>
      </c>
      <c r="B28" s="45">
        <v>2.4358392462846601E-2</v>
      </c>
      <c r="C28" s="53"/>
    </row>
    <row r="29" spans="1:3" x14ac:dyDescent="0.2">
      <c r="A29" s="49" t="s">
        <v>104</v>
      </c>
      <c r="B29" s="45">
        <v>7.1178780446755296E-2</v>
      </c>
      <c r="C29" s="53"/>
    </row>
    <row r="30" spans="1:3" x14ac:dyDescent="0.2">
      <c r="A30" s="49" t="s">
        <v>105</v>
      </c>
      <c r="B30" s="52">
        <v>1</v>
      </c>
      <c r="C30" s="53"/>
    </row>
    <row r="31" spans="1:3" x14ac:dyDescent="0.2">
      <c r="A31" s="49" t="s">
        <v>106</v>
      </c>
      <c r="B31" s="54">
        <v>6.4840328051870441E-2</v>
      </c>
      <c r="C31" s="53"/>
    </row>
    <row r="32" spans="1:3" x14ac:dyDescent="0.2">
      <c r="A32" s="49" t="s">
        <v>107</v>
      </c>
      <c r="B32" s="45">
        <v>0.18447705672754922</v>
      </c>
      <c r="C32" s="53"/>
    </row>
    <row r="33" spans="1:3" x14ac:dyDescent="0.2">
      <c r="A33" s="49" t="s">
        <v>108</v>
      </c>
      <c r="B33" s="54">
        <v>0.17016963667013751</v>
      </c>
      <c r="C33" s="53"/>
    </row>
    <row r="34" spans="1:3" outlineLevel="1" x14ac:dyDescent="0.2">
      <c r="A34" s="49" t="s">
        <v>109</v>
      </c>
      <c r="B34" s="5">
        <v>4.9714494482923761E-2</v>
      </c>
      <c r="C34" s="53"/>
    </row>
    <row r="35" spans="1:3" outlineLevel="1" x14ac:dyDescent="0.2">
      <c r="A35" s="49" t="s">
        <v>110</v>
      </c>
      <c r="B35" s="53"/>
      <c r="C35" s="53"/>
    </row>
    <row r="36" spans="1:3" outlineLevel="1" x14ac:dyDescent="0.2">
      <c r="A36" s="49" t="s">
        <v>111</v>
      </c>
      <c r="B36" s="53"/>
      <c r="C36" s="53"/>
    </row>
    <row r="37" spans="1:3" outlineLevel="1" x14ac:dyDescent="0.2">
      <c r="A37" s="49" t="s">
        <v>112</v>
      </c>
      <c r="B37" s="45" t="s">
        <v>115</v>
      </c>
      <c r="C37" s="53"/>
    </row>
    <row r="38" spans="1:3" outlineLevel="1" x14ac:dyDescent="0.2">
      <c r="A38" s="49" t="s">
        <v>117</v>
      </c>
      <c r="B38" s="45" t="s">
        <v>143</v>
      </c>
      <c r="C38" s="53"/>
    </row>
    <row r="39" spans="1:3" outlineLevel="1" x14ac:dyDescent="0.2">
      <c r="A39" s="49" t="s">
        <v>119</v>
      </c>
      <c r="B39" s="45" t="s">
        <v>144</v>
      </c>
      <c r="C39" s="53"/>
    </row>
    <row r="41" spans="1:3" outlineLevel="1" x14ac:dyDescent="0.2">
      <c r="A41" s="49" t="s">
        <v>113</v>
      </c>
      <c r="B41" s="45" t="s">
        <v>131</v>
      </c>
      <c r="C41" s="53"/>
    </row>
    <row r="42" spans="1:3" outlineLevel="1" x14ac:dyDescent="0.2">
      <c r="A42" s="49" t="s">
        <v>68</v>
      </c>
      <c r="B42" s="54" t="s">
        <v>145</v>
      </c>
      <c r="C42" s="53"/>
    </row>
    <row r="43" spans="1:3" outlineLevel="1" x14ac:dyDescent="0.2">
      <c r="A43" s="49" t="s">
        <v>8</v>
      </c>
      <c r="B43" s="54" t="s">
        <v>146</v>
      </c>
      <c r="C43" s="53"/>
    </row>
    <row r="44" spans="1:3" outlineLevel="1" x14ac:dyDescent="0.2"/>
    <row r="46" spans="1:3" x14ac:dyDescent="0.2">
      <c r="B46" s="50" t="s">
        <v>161</v>
      </c>
    </row>
    <row r="47" spans="1:3" x14ac:dyDescent="0.2">
      <c r="A47" s="48" t="s">
        <v>160</v>
      </c>
      <c r="B47" s="47" t="s">
        <v>150</v>
      </c>
      <c r="C47" s="53"/>
    </row>
    <row r="48" spans="1:3" x14ac:dyDescent="0.2">
      <c r="A48" s="49" t="s">
        <v>103</v>
      </c>
      <c r="B48" s="51">
        <v>43155.433807870373</v>
      </c>
      <c r="C48" s="53"/>
    </row>
    <row r="49" spans="1:3" x14ac:dyDescent="0.2">
      <c r="A49" s="49" t="s">
        <v>11</v>
      </c>
      <c r="B49" s="52">
        <v>59</v>
      </c>
      <c r="C49" s="53"/>
    </row>
    <row r="50" spans="1:3" x14ac:dyDescent="0.2">
      <c r="A50" s="49" t="s">
        <v>12</v>
      </c>
      <c r="B50" s="45">
        <v>1.56354573599457E-2</v>
      </c>
      <c r="C50" s="53"/>
    </row>
    <row r="51" spans="1:3" x14ac:dyDescent="0.2">
      <c r="A51" s="49" t="s">
        <v>104</v>
      </c>
      <c r="B51" s="45">
        <v>7.3541730313977302E-2</v>
      </c>
      <c r="C51" s="53"/>
    </row>
    <row r="52" spans="1:3" x14ac:dyDescent="0.2">
      <c r="A52" s="49" t="s">
        <v>105</v>
      </c>
      <c r="B52" s="52">
        <v>1</v>
      </c>
      <c r="C52" s="53"/>
    </row>
    <row r="53" spans="1:3" x14ac:dyDescent="0.2">
      <c r="A53" s="49" t="s">
        <v>106</v>
      </c>
      <c r="B53" s="54">
        <v>5.6696773884741467E-2</v>
      </c>
      <c r="C53" s="53"/>
    </row>
    <row r="54" spans="1:3" x14ac:dyDescent="0.2">
      <c r="A54" s="49" t="s">
        <v>107</v>
      </c>
      <c r="B54" s="45">
        <v>0.41588834793881124</v>
      </c>
      <c r="C54" s="53"/>
    </row>
    <row r="55" spans="1:3" x14ac:dyDescent="0.2">
      <c r="A55" s="49" t="s">
        <v>108</v>
      </c>
      <c r="B55" s="54">
        <v>0.40564077509563246</v>
      </c>
      <c r="C55" s="53"/>
    </row>
    <row r="56" spans="1:3" outlineLevel="1" x14ac:dyDescent="0.2">
      <c r="A56" s="49" t="s">
        <v>109</v>
      </c>
      <c r="B56" s="5">
        <v>4.2902685938933344E-2</v>
      </c>
      <c r="C56" s="53"/>
    </row>
    <row r="57" spans="1:3" outlineLevel="1" x14ac:dyDescent="0.2">
      <c r="A57" s="49" t="s">
        <v>110</v>
      </c>
      <c r="B57" s="53"/>
      <c r="C57" s="53"/>
    </row>
    <row r="58" spans="1:3" outlineLevel="1" x14ac:dyDescent="0.2">
      <c r="A58" s="49" t="s">
        <v>111</v>
      </c>
      <c r="B58" s="53"/>
      <c r="C58" s="53"/>
    </row>
    <row r="59" spans="1:3" outlineLevel="1" x14ac:dyDescent="0.2">
      <c r="A59" s="49" t="s">
        <v>112</v>
      </c>
      <c r="B59" s="45" t="s">
        <v>115</v>
      </c>
      <c r="C59" s="53"/>
    </row>
    <row r="60" spans="1:3" outlineLevel="1" x14ac:dyDescent="0.2">
      <c r="A60" s="49" t="s">
        <v>117</v>
      </c>
      <c r="B60" s="45" t="s">
        <v>162</v>
      </c>
      <c r="C60" s="53"/>
    </row>
    <row r="61" spans="1:3" outlineLevel="1" x14ac:dyDescent="0.2">
      <c r="A61" s="49" t="s">
        <v>119</v>
      </c>
      <c r="B61" s="45" t="s">
        <v>163</v>
      </c>
      <c r="C61" s="53"/>
    </row>
    <row r="63" spans="1:3" outlineLevel="1" x14ac:dyDescent="0.2">
      <c r="A63" s="49" t="s">
        <v>113</v>
      </c>
      <c r="B63" s="45" t="s">
        <v>150</v>
      </c>
      <c r="C63" s="53"/>
    </row>
    <row r="64" spans="1:3" outlineLevel="1" x14ac:dyDescent="0.2">
      <c r="A64" s="49" t="s">
        <v>68</v>
      </c>
      <c r="B64" s="54" t="s">
        <v>164</v>
      </c>
      <c r="C64" s="53"/>
    </row>
    <row r="65" spans="1:3" outlineLevel="1" x14ac:dyDescent="0.2">
      <c r="A65" s="49" t="s">
        <v>8</v>
      </c>
      <c r="B65" s="54" t="s">
        <v>165</v>
      </c>
      <c r="C65" s="53"/>
    </row>
    <row r="66" spans="1:3" outlineLevel="1" x14ac:dyDescent="0.2"/>
  </sheetData>
  <sortState ref="A63:U65">
    <sortCondition ref="A1"/>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StockReturns</vt:lpstr>
      <vt:lpstr>Price stats</vt:lpstr>
      <vt:lpstr>Return stats</vt:lpstr>
      <vt:lpstr>ATT model</vt:lpstr>
      <vt:lpstr>Microsoft model</vt:lpstr>
      <vt:lpstr>Nordstrom model</vt:lpstr>
      <vt:lpstr>Model Summaries</vt:lpstr>
      <vt:lpstr>ATT</vt:lpstr>
      <vt:lpstr>ATT.PctChg.1</vt:lpstr>
      <vt:lpstr>Date</vt:lpstr>
      <vt:lpstr>Microsoft</vt:lpstr>
      <vt:lpstr>Microsoft.PctChg.1</vt:lpstr>
      <vt:lpstr>Nordstrom</vt:lpstr>
      <vt:lpstr>Nordstrom.PctChg.1</vt:lpstr>
      <vt:lpstr>SP_500</vt:lpstr>
      <vt:lpstr>SP_500.PctChg.1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 Nau</dc:creator>
  <cp:lastModifiedBy>FacDS - Bob Nau</cp:lastModifiedBy>
  <dcterms:created xsi:type="dcterms:W3CDTF">2018-02-24T15:05:43Z</dcterms:created>
  <dcterms:modified xsi:type="dcterms:W3CDTF">2019-09-08T15:10:49Z</dcterms:modified>
</cp:coreProperties>
</file>