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/>
  <mc:AlternateContent xmlns:mc="http://schemas.openxmlformats.org/markup-compatibility/2006">
    <mc:Choice Requires="x15">
      <x15ac:absPath xmlns:x15ac="http://schemas.microsoft.com/office/spreadsheetml/2010/11/ac" url="/Users/ramanpantus/Downloads/"/>
    </mc:Choice>
  </mc:AlternateContent>
  <xr:revisionPtr revIDLastSave="0" documentId="13_ncr:1_{CC923024-C7AE-354F-9EF9-9CBA4B40224E}" xr6:coauthVersionLast="47" xr6:coauthVersionMax="47" xr10:uidLastSave="{00000000-0000-0000-0000-000000000000}"/>
  <bookViews>
    <workbookView xWindow="2620" yWindow="22360" windowWidth="28800" windowHeight="20260" activeTab="2" xr2:uid="{00000000-000D-0000-FFFF-FFFF00000000}"/>
  </bookViews>
  <sheets>
    <sheet name="Лист1" sheetId="1" r:id="rId1"/>
    <sheet name="Лист3" sheetId="3" r:id="rId2"/>
    <sheet name="МОДЕЛЬ СЛОЖНОСТИ" sheetId="4" r:id="rId3"/>
    <sheet name="ШИКА-ВОЛЬВЕРТОНА" sheetId="7" r:id="rId4"/>
    <sheet name="ДЖЕЛИНСКИЙ-МОРАНДА" sheetId="5" r:id="rId5"/>
    <sheet name="МУС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5" l="1" a="1"/>
  <c r="F4" i="5" s="1"/>
  <c r="G4" i="5"/>
  <c r="F5" i="5" a="1"/>
  <c r="F5" i="5" s="1"/>
  <c r="G5" i="5"/>
  <c r="F6" i="5" a="1"/>
  <c r="F6" i="5" s="1"/>
  <c r="G6" i="5"/>
  <c r="F7" i="5" a="1"/>
  <c r="F7" i="5" s="1"/>
  <c r="G7" i="5"/>
  <c r="F8" i="5" a="1"/>
  <c r="F8" i="5" s="1"/>
  <c r="G8" i="5"/>
  <c r="F9" i="5" a="1"/>
  <c r="F9" i="5" s="1"/>
  <c r="G9" i="5"/>
  <c r="F10" i="5" a="1"/>
  <c r="F10" i="5" s="1"/>
  <c r="G10" i="5"/>
  <c r="F11" i="5" a="1"/>
  <c r="F11" i="5" s="1"/>
  <c r="G11" i="5"/>
  <c r="F12" i="5" a="1"/>
  <c r="F12" i="5" s="1"/>
  <c r="G12" i="5"/>
  <c r="F13" i="5" a="1"/>
  <c r="F13" i="5" s="1"/>
  <c r="G13" i="5"/>
  <c r="F14" i="5" a="1"/>
  <c r="F14" i="5" s="1"/>
  <c r="G14" i="5"/>
  <c r="F15" i="5" a="1"/>
  <c r="F15" i="5" s="1"/>
  <c r="G15" i="5"/>
  <c r="F16" i="5" a="1"/>
  <c r="F16" i="5" s="1"/>
  <c r="G16" i="5"/>
  <c r="F17" i="5" a="1"/>
  <c r="F17" i="5" s="1"/>
  <c r="G17" i="5"/>
  <c r="F18" i="5" a="1"/>
  <c r="F18" i="5" s="1"/>
  <c r="G18" i="5"/>
  <c r="G3" i="5"/>
  <c r="F3" i="5" a="1"/>
  <c r="F3" i="5" s="1"/>
  <c r="D2" i="6"/>
  <c r="B2" i="6"/>
  <c r="B7" i="6"/>
  <c r="B5" i="6"/>
  <c r="B17" i="7"/>
  <c r="B18" i="7"/>
  <c r="B11" i="7"/>
  <c r="B12" i="7"/>
  <c r="B5" i="7"/>
  <c r="E5" i="7"/>
  <c r="B6" i="7"/>
  <c r="E6" i="7"/>
  <c r="E7" i="7"/>
  <c r="E8" i="7"/>
  <c r="D31" i="4"/>
  <c r="B8" i="6"/>
  <c r="B9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2" i="5"/>
  <c r="B25" i="5"/>
  <c r="G22" i="4"/>
  <c r="I17" i="4"/>
  <c r="M17" i="4" s="1"/>
  <c r="I16" i="4"/>
  <c r="M16" i="4" s="1"/>
  <c r="I15" i="4"/>
  <c r="M15" i="4" s="1"/>
  <c r="I14" i="4"/>
  <c r="M14" i="4" s="1"/>
  <c r="I13" i="4"/>
  <c r="M13" i="4" s="1"/>
  <c r="I12" i="4"/>
  <c r="M12" i="4" s="1"/>
  <c r="L3" i="4"/>
  <c r="L4" i="4"/>
  <c r="L5" i="4"/>
  <c r="L6" i="4"/>
  <c r="L7" i="4"/>
  <c r="L8" i="4"/>
  <c r="L9" i="4"/>
  <c r="L10" i="4"/>
  <c r="L11" i="4"/>
  <c r="L12" i="4"/>
  <c r="N12" i="4" s="1"/>
  <c r="O12" i="4" s="1"/>
  <c r="P12" i="4" s="1"/>
  <c r="L13" i="4"/>
  <c r="N13" i="4" s="1"/>
  <c r="O13" i="4" s="1"/>
  <c r="P13" i="4" s="1"/>
  <c r="L14" i="4"/>
  <c r="N14" i="4" s="1"/>
  <c r="O14" i="4" s="1"/>
  <c r="P14" i="4" s="1"/>
  <c r="L15" i="4"/>
  <c r="N15" i="4" s="1"/>
  <c r="O15" i="4" s="1"/>
  <c r="P15" i="4" s="1"/>
  <c r="L16" i="4"/>
  <c r="N16" i="4" s="1"/>
  <c r="O16" i="4" s="1"/>
  <c r="P16" i="4" s="1"/>
  <c r="L17" i="4"/>
  <c r="N17" i="4" s="1"/>
  <c r="O17" i="4" s="1"/>
  <c r="P17" i="4" s="1"/>
  <c r="L2" i="4"/>
  <c r="I6" i="4"/>
  <c r="M6" i="4" s="1"/>
  <c r="I5" i="4"/>
  <c r="M5" i="4" s="1"/>
  <c r="I4" i="4"/>
  <c r="M4" i="4" s="1"/>
  <c r="D28" i="4"/>
  <c r="I10" i="4" s="1"/>
  <c r="M10" i="4" s="1"/>
  <c r="D22" i="4"/>
  <c r="I8" i="4" s="1"/>
  <c r="M8" i="4" s="1"/>
  <c r="D17" i="4"/>
  <c r="I7" i="4" s="1"/>
  <c r="M7" i="4" s="1"/>
  <c r="D7" i="4"/>
  <c r="D2" i="4"/>
  <c r="B27" i="5" l="1"/>
  <c r="I2" i="4"/>
  <c r="M2" i="4" s="1"/>
  <c r="I11" i="4"/>
  <c r="M11" i="4" s="1"/>
  <c r="I3" i="4"/>
  <c r="M3" i="4" s="1"/>
  <c r="D25" i="4"/>
  <c r="I9" i="4" s="1"/>
  <c r="M9" i="4" s="1"/>
  <c r="N2" i="4"/>
  <c r="O2" i="4" s="1"/>
  <c r="P2" i="4" s="1"/>
  <c r="N11" i="4"/>
  <c r="O11" i="4" s="1"/>
  <c r="P11" i="4" s="1"/>
  <c r="N10" i="4"/>
  <c r="O10" i="4" s="1"/>
  <c r="P10" i="4" s="1"/>
  <c r="N9" i="4"/>
  <c r="O9" i="4" s="1"/>
  <c r="P9" i="4" s="1"/>
  <c r="N8" i="4"/>
  <c r="O8" i="4" s="1"/>
  <c r="P8" i="4" s="1"/>
  <c r="N7" i="4"/>
  <c r="O7" i="4" s="1"/>
  <c r="P7" i="4" s="1"/>
  <c r="N6" i="4"/>
  <c r="O6" i="4" s="1"/>
  <c r="P6" i="4" s="1"/>
  <c r="N5" i="4"/>
  <c r="O5" i="4" s="1"/>
  <c r="P5" i="4" s="1"/>
  <c r="N4" i="4"/>
  <c r="O4" i="4" s="1"/>
  <c r="P4" i="4" s="1"/>
  <c r="N3" i="4"/>
  <c r="O3" i="4" s="1"/>
  <c r="P3" i="4" s="1"/>
  <c r="H4" i="5"/>
  <c r="I4" i="5" s="1"/>
  <c r="H18" i="5"/>
  <c r="I18" i="5" s="1"/>
  <c r="H17" i="5"/>
  <c r="I17" i="5" s="1"/>
  <c r="H16" i="5"/>
  <c r="I16" i="5" s="1"/>
  <c r="H15" i="5"/>
  <c r="I15" i="5" s="1"/>
  <c r="H14" i="5"/>
  <c r="I14" i="5" s="1"/>
  <c r="H13" i="5"/>
  <c r="I13" i="5" s="1"/>
  <c r="H12" i="5"/>
  <c r="I12" i="5" s="1"/>
  <c r="H11" i="5"/>
  <c r="I11" i="5" s="1"/>
  <c r="H10" i="5"/>
  <c r="I10" i="5" s="1"/>
  <c r="H9" i="5"/>
  <c r="I9" i="5" s="1"/>
  <c r="H8" i="5"/>
  <c r="I8" i="5" s="1"/>
  <c r="H7" i="5"/>
  <c r="I7" i="5" s="1"/>
  <c r="H6" i="5"/>
  <c r="I6" i="5" s="1"/>
  <c r="H3" i="5"/>
  <c r="I3" i="5" s="1"/>
  <c r="H5" i="5"/>
  <c r="I5" i="5" s="1"/>
  <c r="M5" i="5" l="1"/>
  <c r="B31" i="5" s="1"/>
  <c r="M4" i="5"/>
  <c r="M3" i="5" a="1"/>
  <c r="M3" i="5" s="1"/>
  <c r="I22" i="4"/>
  <c r="I24" i="4" s="1"/>
  <c r="B33" i="5" l="1"/>
  <c r="B3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<sst xmlns="http://schemas.openxmlformats.org/spreadsheetml/2006/main" count="244" uniqueCount="164">
  <si>
    <t>Тест кейсы</t>
  </si>
  <si>
    <t>Номер тест кейса</t>
  </si>
  <si>
    <t>Приоритет</t>
  </si>
  <si>
    <t>Модуль</t>
  </si>
  <si>
    <t>Подмодуль</t>
  </si>
  <si>
    <t>Описание тест-кейса</t>
  </si>
  <si>
    <t>Ожидаемые результаты</t>
  </si>
  <si>
    <t>Примечание</t>
  </si>
  <si>
    <t>Критический</t>
  </si>
  <si>
    <t>Страница авторизации</t>
  </si>
  <si>
    <t>Форма авторизации</t>
  </si>
  <si>
    <t>Авторизация с помощью валидного логина и валидного пароля. 
1. Ввести в поле "Логин" secured
2. Ввести в поле "Пароль" 12341234
3. Нажать на кнопку "Войти"</t>
  </si>
  <si>
    <t>1. В поле "Логин" отображается "secured".
2. В поле "Пароль" отображается скрытым. 
3. Осуществляется переход на домашнюю страницу пользователя Secured.</t>
  </si>
  <si>
    <t>Кнопка создания нового аккаунта</t>
  </si>
  <si>
    <t>Нажатие на кнопку "New user? Sign Up".</t>
  </si>
  <si>
    <t>Переход на страницу регистрации нового аккаунта.</t>
  </si>
  <si>
    <t>Незначительный</t>
  </si>
  <si>
    <t>Форма ввода пароля</t>
  </si>
  <si>
    <t>Нажатие на иконку просмотра пароля в форме для ввода пароля.</t>
  </si>
  <si>
    <t>1. При первом нажатии начинает отображаться стандартно, а не символами "*".
2. При повторном нажатии пароль снова начинает отображаться символами "*".</t>
  </si>
  <si>
    <t>Страница регистрации</t>
  </si>
  <si>
    <t>Форма создания новой учетной записи</t>
  </si>
  <si>
    <t>Заполнение полей с данными учетной записи.
1.  Ввести в поле "Full Name" валидное полное имя, например "Дмитрий Некинов".
2. Ввести в поле "Username" уникальное валидное значение, например "dmitriy_nekanov_worker".
4. Ввести в поле "Email" валидный адрес электронной почты, например "dnmail@gmail.com".
3. Ввести в поле "Password" валидное значение, например "Qwerty123!".
4. Ввести в поле "Confirm Password" валидное значение — "Qwerty123!".
5. Выбрать роль посредством radio button. "DRIVER" либо "TECHNICIAN".
6. Нажать на кнопку "Register".</t>
  </si>
  <si>
    <t>Создание новой учетной записи, возвращение на страницу авторизации.</t>
  </si>
  <si>
    <t>Высокий</t>
  </si>
  <si>
    <t>Форма ввода полного имени пользователя</t>
  </si>
  <si>
    <t>1. Ввести в форму не валидное полное имя, которое не состоит из двух слов, начинающихся с заглавных букв.
2. Нажать на кнопку "Register".</t>
  </si>
  <si>
    <t>Форма не принимает введенное значение и выводит сообщение об ошибке: "Not a full name".</t>
  </si>
  <si>
    <t>Форма ввода логина пользователя</t>
  </si>
  <si>
    <t>1. Ввести в форму ввода логина логин, который будет содержать в себе более 15 символов.
2. Нажать кнопку "Register".</t>
  </si>
  <si>
    <t>Форма не принимает введенное значение и выводит сообщение об ошибке: "Must be shorter than 15".</t>
  </si>
  <si>
    <t>Любая форма ввода данных</t>
  </si>
  <si>
    <t>1. Оставить любое из полей для ввода данных пустым.
2. Нажать на кнопку "Register"</t>
  </si>
  <si>
    <t>Форма не принимает введенное значение и выводит сообщение об ошибке: "Shouldn't be empty".</t>
  </si>
  <si>
    <t>1. Ввести в форму для ввода пароля создаваемой учетной записи пароль, который не удовлетворяет политике создания паролей.
2. Нажать на кнопку "Register".</t>
  </si>
  <si>
    <t>Форма не принимает введенное значение и выводит сообщение об ошибке: "Weak password".</t>
  </si>
  <si>
    <t>Кнопка возвращения на страницу авторизации</t>
  </si>
  <si>
    <t>Возвращение на страницу авторизации путем нажатия на кнопку "I already have an account".</t>
  </si>
  <si>
    <t>Возвращение на страницу авторизации</t>
  </si>
  <si>
    <t>Обычный</t>
  </si>
  <si>
    <t>Страница профиля пользователя</t>
  </si>
  <si>
    <t>Форма обновления данных пользователя</t>
  </si>
  <si>
    <t>Заполнение полей с новыми данными аккаунта.
1.  Ввести в поле "Full Name" валидное полное имя, например "Дмитрий Некинов".
2. Ввести в поле "Username" уникальное валидное значение, например "dmitriy_nekanov_worker".
4. Ввести в поле "Email" валидный адрес электронной почты, например "dnmail@gmail.com".
3. Ввести в поле "Password" валидное значение, например "Qwerty123!".
4. Нажать на кнопку "Update".</t>
  </si>
  <si>
    <t>Обновление старых данных пользователя на новые введенные.</t>
  </si>
  <si>
    <t>Страница администирования пользователя</t>
  </si>
  <si>
    <t>Форма изменения данных пользователя администратором</t>
  </si>
  <si>
    <t>Изменение учетной записи пользователя.
1. Ввести в поле "Full Name" валидное значение, например "Алексей Иванов".
2. Ввести в поле "Username" уникальное валидное значение, например "alex_ivanov_2024".
3. Ввести в поле "Email" валидное значение, например "alexivan@gmail.com".
4. Нажать кнопку "Update".</t>
  </si>
  <si>
    <t>Форма удаления учетной записи пользователя</t>
  </si>
  <si>
    <t>Удаление учетной записи пользователя.
1. Активация переключателя "Delete Switch".
2. Нажатие на кнопку "Delete Account".</t>
  </si>
  <si>
    <t>Удаление учетной записи пользователя, переход на страницу панели администратора.</t>
  </si>
  <si>
    <t>Форма смены роли аккаунты</t>
  </si>
  <si>
    <t>Обновление ролей аккаунта.
1. Ввод новой роли аккаунта.
2. Нажатие на кнопку "Update".</t>
  </si>
  <si>
    <t>Смена роли учетной записи пользователя.</t>
  </si>
  <si>
    <t>Боковое меню</t>
  </si>
  <si>
    <t>Кнопка "Боковое меню"</t>
  </si>
  <si>
    <t>Переход к боковому меню с помощью кнопки "Боковое меню".
1. Нажать на кнопку с символом меню сверху слева окна приложения.</t>
  </si>
  <si>
    <t>Откроется боковое меню навигации</t>
  </si>
  <si>
    <t>Кнопка "Admin Panel"</t>
  </si>
  <si>
    <t>Переход на страницу администрирования.
1. Нажать на кнопку "Admin Panel".</t>
  </si>
  <si>
    <t>Происходит переход на страницу панели администратора</t>
  </si>
  <si>
    <t>Кнопка "Profile"</t>
  </si>
  <si>
    <t>Переход на страницу профиля пользователя.
1. Нажать на кнопку "Profile".</t>
  </si>
  <si>
    <t>Происходит переход на страницу профиля пользователя</t>
  </si>
  <si>
    <t>Кнопка "Администрирование"</t>
  </si>
  <si>
    <t>Кнопка "Admin Panel" отсутствует если пользователь не имеет роли администратора.</t>
  </si>
  <si>
    <t>При наличии у пользователя роли администратора кнопка "Admin Panel" не отображается в боковом меню</t>
  </si>
  <si>
    <t>Кнопка "Notifications"</t>
  </si>
  <si>
    <t>Переход на страницу уведомлений.
1. Нажать на кнопку "Notifications".</t>
  </si>
  <si>
    <t>Происходит переход на страницу уведомлений</t>
  </si>
  <si>
    <t>Системная кнопка "Назад"</t>
  </si>
  <si>
    <t>Закрытие меню с помощью системной кнопки "Назад".
1. Нажать на кнопку "Назад".</t>
  </si>
  <si>
    <t>Происходит возврат из бокового меню на ранее открытую страницу</t>
  </si>
  <si>
    <t>Навигация бокового меню</t>
  </si>
  <si>
    <t>Закрытие меню с помощью нажатия вне пространства меню.
1. Нажать на пространство вне бокового меню.</t>
  </si>
  <si>
    <t>Название проверки</t>
  </si>
  <si>
    <t>Описание проверки</t>
  </si>
  <si>
    <t>Правописание</t>
  </si>
  <si>
    <t>ОБЬЕМ ПО</t>
  </si>
  <si>
    <t>Метрики ПС</t>
  </si>
  <si>
    <r>
      <t>a</t>
    </r>
    <r>
      <rPr>
        <b/>
        <vertAlign val="subscript"/>
        <sz val="14"/>
        <color theme="1"/>
        <rFont val="Times New Roman"/>
        <family val="1"/>
        <charset val="1"/>
      </rPr>
      <t>min</t>
    </r>
  </si>
  <si>
    <r>
      <t>a</t>
    </r>
    <r>
      <rPr>
        <b/>
        <vertAlign val="subscript"/>
        <sz val="14"/>
        <color theme="1"/>
        <rFont val="Times New Roman"/>
        <family val="1"/>
        <charset val="1"/>
      </rPr>
      <t>max</t>
    </r>
  </si>
  <si>
    <r>
      <t>a</t>
    </r>
    <r>
      <rPr>
        <b/>
        <vertAlign val="subscript"/>
        <sz val="14"/>
        <color theme="1"/>
        <rFont val="Times New Roman"/>
        <family val="1"/>
        <charset val="1"/>
      </rPr>
      <t>i</t>
    </r>
  </si>
  <si>
    <r>
      <t>x</t>
    </r>
    <r>
      <rPr>
        <b/>
        <vertAlign val="subscript"/>
        <sz val="14"/>
        <color theme="1"/>
        <rFont val="Times New Roman"/>
        <family val="1"/>
        <charset val="1"/>
      </rPr>
      <t>min</t>
    </r>
  </si>
  <si>
    <r>
      <t>x</t>
    </r>
    <r>
      <rPr>
        <b/>
        <vertAlign val="subscript"/>
        <sz val="14"/>
        <color theme="1"/>
        <rFont val="Times New Roman"/>
        <family val="1"/>
        <charset val="1"/>
      </rPr>
      <t>фi</t>
    </r>
  </si>
  <si>
    <r>
      <t>d</t>
    </r>
    <r>
      <rPr>
        <b/>
        <vertAlign val="subscript"/>
        <sz val="14"/>
        <color theme="1"/>
        <rFont val="Times New Roman"/>
        <family val="1"/>
        <charset val="1"/>
      </rPr>
      <t>i</t>
    </r>
  </si>
  <si>
    <t>1-di</t>
  </si>
  <si>
    <t>(1-di)^лямбды</t>
  </si>
  <si>
    <t>n1</t>
  </si>
  <si>
    <t>V</t>
  </si>
  <si>
    <t>n2</t>
  </si>
  <si>
    <t>V*</t>
  </si>
  <si>
    <t>N1</t>
  </si>
  <si>
    <t>CL</t>
  </si>
  <si>
    <t>N2</t>
  </si>
  <si>
    <t>Cl</t>
  </si>
  <si>
    <t>ПОТЕНЦИАЛЬНЫЙ ОБЬЕМ ПО</t>
  </si>
  <si>
    <t>CLI</t>
  </si>
  <si>
    <t>n*</t>
  </si>
  <si>
    <t>Q</t>
  </si>
  <si>
    <t>N^</t>
  </si>
  <si>
    <t>L</t>
  </si>
  <si>
    <t>L^</t>
  </si>
  <si>
    <t>МЕТРИКИ СЛОЖНОСТИ ПОТОКА УПРАВЛЕНИЯ</t>
  </si>
  <si>
    <t>E</t>
  </si>
  <si>
    <t>WMC</t>
  </si>
  <si>
    <t>DIT</t>
  </si>
  <si>
    <t>cl</t>
  </si>
  <si>
    <t>NOC</t>
  </si>
  <si>
    <t>CBO</t>
  </si>
  <si>
    <t>МЕТРИКИ ЧЕПИНА</t>
  </si>
  <si>
    <t>RFC</t>
  </si>
  <si>
    <t>P</t>
  </si>
  <si>
    <t>LCOM</t>
  </si>
  <si>
    <t>M</t>
  </si>
  <si>
    <t>C</t>
  </si>
  <si>
    <t>T</t>
  </si>
  <si>
    <t>ТЕОРЕТИЧЕСКАЯ ДЛИНА ПРОГРАММЫ</t>
  </si>
  <si>
    <t>РИСК СНИЖЕНИЯ НАДЕЖНОСТИ</t>
  </si>
  <si>
    <t>N*</t>
  </si>
  <si>
    <t>лямбда</t>
  </si>
  <si>
    <t>R</t>
  </si>
  <si>
    <t>УРОВЕНЬ КАЧЕСТВА ПРОГРАММИРОВАНИЯ</t>
  </si>
  <si>
    <t>НАДЕЖНОСТЬ</t>
  </si>
  <si>
    <t>L*</t>
  </si>
  <si>
    <t>АПРРОКСИМИРОВАННЫЙ УРОВЕНЬ КАЧЕСТВА ПРОГРАММИРОВАНИЯ</t>
  </si>
  <si>
    <t>ИНТЕЛЛЕКТУАЛЬНЫЕ УСИЛИЯ НА РАЗРАБОТКУ</t>
  </si>
  <si>
    <t>ЧИДАМБЕР И КЕМЕРЕР</t>
  </si>
  <si>
    <t>Шика-Вольвертона</t>
  </si>
  <si>
    <t>t1</t>
  </si>
  <si>
    <t>t2</t>
  </si>
  <si>
    <t>t3</t>
  </si>
  <si>
    <t>левая</t>
  </si>
  <si>
    <t>Cd</t>
  </si>
  <si>
    <t>правая</t>
  </si>
  <si>
    <t>лямбда3</t>
  </si>
  <si>
    <t>Номер ошибки (i)</t>
  </si>
  <si>
    <t>Время между ошибками (Xi)</t>
  </si>
  <si>
    <t>i*Xi</t>
  </si>
  <si>
    <t>m</t>
  </si>
  <si>
    <t>f(m)</t>
  </si>
  <si>
    <t>g(m, A)</t>
  </si>
  <si>
    <t>f -g</t>
  </si>
  <si>
    <t>ОБЩЕЕ ЧИСЛО ОШИБОК</t>
  </si>
  <si>
    <t>МИНИМУМ</t>
  </si>
  <si>
    <t xml:space="preserve">n </t>
  </si>
  <si>
    <t xml:space="preserve">delMin </t>
  </si>
  <si>
    <t>ПОЛНОЕ ВРЕМЯ ТЕСТИРОВАНИЯ</t>
  </si>
  <si>
    <t>Xi</t>
  </si>
  <si>
    <t>B</t>
  </si>
  <si>
    <t>СУММА i*Xi</t>
  </si>
  <si>
    <t>А</t>
  </si>
  <si>
    <t>K</t>
  </si>
  <si>
    <t>ВРЕМЯ ТЕСТИРОВАНИЯ</t>
  </si>
  <si>
    <t xml:space="preserve">t </t>
  </si>
  <si>
    <t>СРЕДНЯЯ НАРАБОТКА ДО ОТКАЗА</t>
  </si>
  <si>
    <t>P(t)</t>
  </si>
  <si>
    <t>t</t>
  </si>
  <si>
    <t>N</t>
  </si>
  <si>
    <t>f</t>
  </si>
  <si>
    <t>A</t>
  </si>
  <si>
    <t>Ttest</t>
  </si>
  <si>
    <t>abs(f-g)</t>
  </si>
  <si>
    <t>min(abs)</t>
  </si>
  <si>
    <t>min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</si>
</sst>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000000"/>
      <name val="Aptos Narrow"/>
    </font>
    <font>
      <b/>
      <sz val="11"/>
      <color theme="1"/>
      <name val="Aptos Narrow"/>
      <family val="2"/>
      <scheme val="minor"/>
    </font>
    <font>
      <b/>
      <vertAlign val="subscript"/>
      <sz val="14"/>
      <color theme="1"/>
      <name val="Times New Roman"/>
      <family val="1"/>
      <charset val="1"/>
    </font>
    <font>
      <b/>
      <sz val="11"/>
      <color rgb="FF000000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17</xdr:col>
      <xdr:colOff>295275</xdr:colOff>
      <xdr:row>4</xdr:row>
      <xdr:rowOff>409575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B5F2F8D-D9D6-7745-20D7-55D6EC524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5350" y="381000"/>
          <a:ext cx="4562475" cy="2800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20</xdr:col>
      <xdr:colOff>304800</xdr:colOff>
      <xdr:row>22</xdr:row>
      <xdr:rowOff>123825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D37E082-FA4C-255C-5625-3C0E94D37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381000"/>
          <a:ext cx="4572000" cy="3933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16.5" bestFit="1" customWidth="1"/>
    <col min="2" max="2" width="17" customWidth="1"/>
    <col min="3" max="3" width="21.5" bestFit="1" customWidth="1"/>
    <col min="4" max="4" width="22.5" customWidth="1"/>
    <col min="5" max="5" width="65.33203125" customWidth="1"/>
    <col min="6" max="6" width="21.83203125" bestFit="1" customWidth="1"/>
    <col min="7" max="7" width="12.1640625" bestFit="1" customWidth="1"/>
  </cols>
  <sheetData>
    <row r="1" spans="1:7" ht="16" x14ac:dyDescent="0.2">
      <c r="A1" s="1" t="s">
        <v>0</v>
      </c>
      <c r="B1" s="1"/>
      <c r="C1" s="1"/>
      <c r="D1" s="1"/>
      <c r="E1" s="1"/>
      <c r="F1" s="1"/>
      <c r="G1" s="1"/>
    </row>
    <row r="2" spans="1:7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28" x14ac:dyDescent="0.2">
      <c r="A3" s="1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/>
    </row>
    <row r="4" spans="1:7" ht="48" x14ac:dyDescent="0.2">
      <c r="A4" s="1">
        <v>2</v>
      </c>
      <c r="B4" s="1" t="s">
        <v>8</v>
      </c>
      <c r="C4" s="1" t="s">
        <v>9</v>
      </c>
      <c r="D4" s="1" t="s">
        <v>13</v>
      </c>
      <c r="E4" s="1" t="s">
        <v>14</v>
      </c>
      <c r="F4" s="1" t="s">
        <v>15</v>
      </c>
      <c r="G4" s="1"/>
    </row>
    <row r="5" spans="1:7" ht="203.25" customHeight="1" x14ac:dyDescent="0.2">
      <c r="A5" s="1">
        <v>3</v>
      </c>
      <c r="B5" s="1" t="s">
        <v>16</v>
      </c>
      <c r="C5" s="1" t="s">
        <v>9</v>
      </c>
      <c r="D5" s="1" t="s">
        <v>17</v>
      </c>
      <c r="E5" s="1" t="s">
        <v>18</v>
      </c>
      <c r="F5" s="1" t="s">
        <v>19</v>
      </c>
      <c r="G5" s="1"/>
    </row>
    <row r="6" spans="1:7" ht="271.5" customHeight="1" x14ac:dyDescent="0.2">
      <c r="A6" s="1">
        <v>4</v>
      </c>
      <c r="B6" s="1" t="s">
        <v>8</v>
      </c>
      <c r="C6" s="1" t="s">
        <v>20</v>
      </c>
      <c r="D6" s="1" t="s">
        <v>21</v>
      </c>
      <c r="E6" s="1" t="s">
        <v>22</v>
      </c>
      <c r="F6" s="1" t="s">
        <v>23</v>
      </c>
      <c r="G6" s="1"/>
    </row>
    <row r="7" spans="1:7" ht="210" customHeight="1" x14ac:dyDescent="0.2">
      <c r="A7" s="1">
        <v>5</v>
      </c>
      <c r="B7" s="1" t="s">
        <v>24</v>
      </c>
      <c r="C7" s="1" t="s">
        <v>20</v>
      </c>
      <c r="D7" s="1" t="s">
        <v>25</v>
      </c>
      <c r="E7" s="1" t="s">
        <v>26</v>
      </c>
      <c r="F7" s="1" t="s">
        <v>27</v>
      </c>
      <c r="G7" s="1"/>
    </row>
    <row r="8" spans="1:7" ht="104.25" customHeight="1" x14ac:dyDescent="0.2">
      <c r="A8" s="1">
        <v>6</v>
      </c>
      <c r="B8" s="1" t="s">
        <v>24</v>
      </c>
      <c r="C8" s="1" t="s">
        <v>20</v>
      </c>
      <c r="D8" s="1" t="s">
        <v>28</v>
      </c>
      <c r="E8" s="1" t="s">
        <v>29</v>
      </c>
      <c r="F8" s="1" t="s">
        <v>30</v>
      </c>
      <c r="G8" s="1"/>
    </row>
    <row r="9" spans="1:7" ht="80" x14ac:dyDescent="0.2">
      <c r="A9" s="1">
        <v>7</v>
      </c>
      <c r="B9" s="1" t="s">
        <v>24</v>
      </c>
      <c r="C9" s="1" t="s">
        <v>20</v>
      </c>
      <c r="D9" s="1" t="s">
        <v>31</v>
      </c>
      <c r="E9" s="1" t="s">
        <v>32</v>
      </c>
      <c r="F9" s="1" t="s">
        <v>33</v>
      </c>
      <c r="G9" s="1"/>
    </row>
    <row r="10" spans="1:7" ht="64" x14ac:dyDescent="0.2">
      <c r="A10" s="1">
        <v>8</v>
      </c>
      <c r="B10" s="1" t="s">
        <v>24</v>
      </c>
      <c r="C10" s="1" t="s">
        <v>20</v>
      </c>
      <c r="D10" s="1" t="s">
        <v>17</v>
      </c>
      <c r="E10" s="1" t="s">
        <v>34</v>
      </c>
      <c r="F10" s="1" t="s">
        <v>35</v>
      </c>
      <c r="G10" s="1"/>
    </row>
    <row r="11" spans="1:7" ht="32" x14ac:dyDescent="0.2">
      <c r="A11" s="1">
        <v>9</v>
      </c>
      <c r="B11" s="1" t="s">
        <v>24</v>
      </c>
      <c r="C11" s="1" t="s">
        <v>20</v>
      </c>
      <c r="D11" s="1" t="s">
        <v>36</v>
      </c>
      <c r="E11" s="1" t="s">
        <v>37</v>
      </c>
      <c r="F11" s="1" t="s">
        <v>38</v>
      </c>
      <c r="G11" s="1"/>
    </row>
    <row r="12" spans="1:7" ht="144" x14ac:dyDescent="0.2">
      <c r="A12" s="1">
        <v>10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  <c r="G12" s="1"/>
    </row>
    <row r="13" spans="1:7" ht="96" x14ac:dyDescent="0.2">
      <c r="A13" s="1">
        <v>11</v>
      </c>
      <c r="B13" s="1" t="s">
        <v>39</v>
      </c>
      <c r="C13" s="1" t="s">
        <v>44</v>
      </c>
      <c r="D13" s="1" t="s">
        <v>45</v>
      </c>
      <c r="E13" s="1" t="s">
        <v>46</v>
      </c>
      <c r="F13" s="1" t="s">
        <v>43</v>
      </c>
      <c r="G13" s="1"/>
    </row>
    <row r="14" spans="1:7" ht="64" x14ac:dyDescent="0.2">
      <c r="A14" s="1">
        <v>12</v>
      </c>
      <c r="B14" s="1" t="s">
        <v>24</v>
      </c>
      <c r="C14" s="1" t="s">
        <v>44</v>
      </c>
      <c r="D14" s="1" t="s">
        <v>47</v>
      </c>
      <c r="E14" s="1" t="s">
        <v>48</v>
      </c>
      <c r="F14" s="1" t="s">
        <v>49</v>
      </c>
      <c r="G14" s="1"/>
    </row>
    <row r="15" spans="1:7" ht="48" x14ac:dyDescent="0.2">
      <c r="A15" s="1">
        <v>13</v>
      </c>
      <c r="B15" s="1" t="s">
        <v>39</v>
      </c>
      <c r="C15" s="1" t="s">
        <v>44</v>
      </c>
      <c r="D15" s="1" t="s">
        <v>50</v>
      </c>
      <c r="E15" s="1" t="s">
        <v>51</v>
      </c>
      <c r="F15" s="1" t="s">
        <v>52</v>
      </c>
      <c r="G15" s="1"/>
    </row>
    <row r="16" spans="1:7" ht="32" x14ac:dyDescent="0.2">
      <c r="A16" s="1">
        <v>14</v>
      </c>
      <c r="B16" s="1" t="s">
        <v>8</v>
      </c>
      <c r="C16" s="1" t="s">
        <v>53</v>
      </c>
      <c r="D16" s="1" t="s">
        <v>54</v>
      </c>
      <c r="E16" s="1" t="s">
        <v>55</v>
      </c>
      <c r="F16" s="1" t="s">
        <v>56</v>
      </c>
      <c r="G16" s="1"/>
    </row>
    <row r="17" spans="1:7" ht="48" x14ac:dyDescent="0.2">
      <c r="A17" s="1">
        <v>15</v>
      </c>
      <c r="B17" s="1" t="s">
        <v>8</v>
      </c>
      <c r="C17" s="1" t="s">
        <v>53</v>
      </c>
      <c r="D17" s="1" t="s">
        <v>57</v>
      </c>
      <c r="E17" s="1" t="s">
        <v>58</v>
      </c>
      <c r="F17" s="1" t="s">
        <v>59</v>
      </c>
      <c r="G17" s="1"/>
    </row>
    <row r="18" spans="1:7" ht="48" x14ac:dyDescent="0.2">
      <c r="A18" s="1">
        <v>16</v>
      </c>
      <c r="B18" s="1" t="s">
        <v>8</v>
      </c>
      <c r="C18" s="1" t="s">
        <v>53</v>
      </c>
      <c r="D18" s="1" t="s">
        <v>60</v>
      </c>
      <c r="E18" s="1" t="s">
        <v>61</v>
      </c>
      <c r="F18" s="1" t="s">
        <v>62</v>
      </c>
      <c r="G18" s="1"/>
    </row>
    <row r="19" spans="1:7" ht="96" x14ac:dyDescent="0.2">
      <c r="A19" s="1">
        <v>17</v>
      </c>
      <c r="B19" s="1" t="s">
        <v>8</v>
      </c>
      <c r="C19" s="1" t="s">
        <v>53</v>
      </c>
      <c r="D19" s="1" t="s">
        <v>63</v>
      </c>
      <c r="E19" s="1" t="s">
        <v>64</v>
      </c>
      <c r="F19" s="1" t="s">
        <v>65</v>
      </c>
      <c r="G19" s="1"/>
    </row>
    <row r="20" spans="1:7" ht="32" x14ac:dyDescent="0.2">
      <c r="A20" s="1">
        <v>18</v>
      </c>
      <c r="B20" s="1" t="s">
        <v>8</v>
      </c>
      <c r="C20" s="1" t="s">
        <v>53</v>
      </c>
      <c r="D20" s="1" t="s">
        <v>66</v>
      </c>
      <c r="E20" s="1" t="s">
        <v>67</v>
      </c>
      <c r="F20" s="1" t="s">
        <v>68</v>
      </c>
      <c r="G20" s="1"/>
    </row>
    <row r="21" spans="1:7" ht="48" x14ac:dyDescent="0.2">
      <c r="A21" s="1">
        <v>19</v>
      </c>
      <c r="B21" s="1" t="s">
        <v>8</v>
      </c>
      <c r="C21" s="1" t="s">
        <v>53</v>
      </c>
      <c r="D21" s="1" t="s">
        <v>69</v>
      </c>
      <c r="E21" s="1" t="s">
        <v>70</v>
      </c>
      <c r="F21" s="1" t="s">
        <v>71</v>
      </c>
      <c r="G21" s="1"/>
    </row>
    <row r="22" spans="1:7" ht="48" x14ac:dyDescent="0.2">
      <c r="A22" s="1">
        <v>20</v>
      </c>
      <c r="B22" s="1" t="s">
        <v>8</v>
      </c>
      <c r="C22" s="1" t="s">
        <v>53</v>
      </c>
      <c r="D22" s="1" t="s">
        <v>72</v>
      </c>
      <c r="E22" s="1" t="s">
        <v>73</v>
      </c>
      <c r="F22" s="1" t="s">
        <v>71</v>
      </c>
      <c r="G22" s="1"/>
    </row>
    <row r="23" spans="1:7" x14ac:dyDescent="0.2">
      <c r="A23" s="1"/>
      <c r="B23" s="1"/>
      <c r="C23" s="1"/>
      <c r="D23" s="1"/>
      <c r="E23" s="2"/>
      <c r="F23" s="1"/>
      <c r="G23" s="1"/>
    </row>
    <row r="24" spans="1:7" x14ac:dyDescent="0.2">
      <c r="A24" s="1"/>
      <c r="B24" s="1"/>
      <c r="C24" s="1"/>
      <c r="D24" s="1"/>
      <c r="E24" s="1"/>
      <c r="F24" s="1"/>
    </row>
    <row r="25" spans="1:7" x14ac:dyDescent="0.2">
      <c r="A25" s="1"/>
      <c r="B25" s="1"/>
      <c r="C25" s="1"/>
      <c r="D25" s="1"/>
      <c r="E25" s="1"/>
      <c r="F25" s="1"/>
    </row>
    <row r="26" spans="1:7" x14ac:dyDescent="0.2">
      <c r="A26" s="1"/>
      <c r="B26" s="1"/>
      <c r="C26" s="1"/>
      <c r="D26" s="1"/>
      <c r="E26" s="1"/>
      <c r="F26" s="1"/>
    </row>
    <row r="27" spans="1:7" x14ac:dyDescent="0.2">
      <c r="A27" s="1"/>
      <c r="B27" s="1"/>
      <c r="C27" s="1"/>
      <c r="D27" s="1"/>
      <c r="E27" s="1"/>
      <c r="F27" s="1"/>
    </row>
    <row r="28" spans="1:7" x14ac:dyDescent="0.2">
      <c r="A28" s="1"/>
      <c r="B28" s="1"/>
      <c r="C28" s="1"/>
      <c r="D28" s="1"/>
      <c r="E28" s="1"/>
      <c r="F28" s="1"/>
    </row>
    <row r="29" spans="1:7" x14ac:dyDescent="0.2">
      <c r="A29" s="1"/>
      <c r="B29" s="1"/>
      <c r="C29" s="1"/>
      <c r="D29" s="1"/>
      <c r="E29" s="1"/>
      <c r="F29" s="1"/>
    </row>
    <row r="30" spans="1:7" x14ac:dyDescent="0.2">
      <c r="A30" s="1"/>
      <c r="B30" s="1"/>
      <c r="C30" s="1"/>
      <c r="D30" s="1"/>
      <c r="E30" s="1"/>
      <c r="F30" s="1"/>
    </row>
    <row r="31" spans="1:7" x14ac:dyDescent="0.2">
      <c r="A31" s="1"/>
      <c r="B31" s="1"/>
      <c r="C31" s="1"/>
      <c r="D31" s="1"/>
      <c r="E31" s="1"/>
      <c r="F31" s="1"/>
    </row>
    <row r="32" spans="1:7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1"/>
      <c r="B62" s="1"/>
      <c r="C62" s="1"/>
      <c r="D62" s="1"/>
      <c r="E62" s="1"/>
      <c r="F62" s="1"/>
    </row>
    <row r="63" spans="1:6" x14ac:dyDescent="0.2">
      <c r="A63" s="1"/>
      <c r="B63" s="1"/>
      <c r="C63" s="1"/>
      <c r="D63" s="1"/>
      <c r="E63" s="1"/>
      <c r="F63" s="1"/>
    </row>
    <row r="64" spans="1:6" x14ac:dyDescent="0.2">
      <c r="A64" s="1"/>
      <c r="B64" s="1"/>
      <c r="C64" s="1"/>
      <c r="D64" s="1"/>
      <c r="E64" s="1"/>
      <c r="F64" s="1"/>
    </row>
    <row r="65" spans="1:6" x14ac:dyDescent="0.2">
      <c r="A65" s="1"/>
      <c r="B65" s="1"/>
      <c r="C65" s="1"/>
      <c r="D65" s="1"/>
      <c r="E65" s="1"/>
      <c r="F65" s="1"/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/>
      <c r="B67" s="1"/>
      <c r="C67" s="1"/>
      <c r="D67" s="1"/>
      <c r="E67" s="1"/>
      <c r="F67" s="1"/>
    </row>
    <row r="68" spans="1:6" x14ac:dyDescent="0.2">
      <c r="A68" s="1"/>
      <c r="B68" s="1"/>
      <c r="C68" s="1"/>
      <c r="D68" s="1"/>
      <c r="E68" s="1"/>
      <c r="F6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3FEE-4C19-41D2-9B01-75B9C3BFC99B}">
  <dimension ref="A1:B2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2" customWidth="1"/>
    <col min="2" max="2" width="24.5" customWidth="1"/>
  </cols>
  <sheetData>
    <row r="1" spans="1:2" x14ac:dyDescent="0.2">
      <c r="A1" t="s">
        <v>74</v>
      </c>
      <c r="B1" t="s">
        <v>75</v>
      </c>
    </row>
    <row r="2" spans="1:2" x14ac:dyDescent="0.2">
      <c r="A2" t="s">
        <v>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F278-C97F-417B-B6AE-1C845F55D43E}">
  <sheetPr>
    <tabColor rgb="FF0070C0"/>
  </sheetPr>
  <dimension ref="A1:P39"/>
  <sheetViews>
    <sheetView tabSelected="1" topLeftCell="A6" workbookViewId="0">
      <selection activeCell="D28" sqref="D28"/>
    </sheetView>
  </sheetViews>
  <sheetFormatPr baseColWidth="10" defaultColWidth="9.1640625" defaultRowHeight="15" x14ac:dyDescent="0.2"/>
  <cols>
    <col min="1" max="5" width="9.1640625" style="1"/>
    <col min="6" max="6" width="16" style="1" bestFit="1" customWidth="1"/>
    <col min="7" max="7" width="9.1640625" style="1"/>
    <col min="8" max="8" width="11.5" style="1" bestFit="1" customWidth="1"/>
    <col min="9" max="10" width="9.1640625" style="1"/>
    <col min="11" max="11" width="16" style="1" bestFit="1" customWidth="1"/>
    <col min="12" max="14" width="11.5" style="1" bestFit="1" customWidth="1"/>
    <col min="15" max="15" width="9.1640625" style="1"/>
    <col min="16" max="16" width="16" style="1" customWidth="1"/>
    <col min="17" max="16384" width="9.1640625" style="1"/>
  </cols>
  <sheetData>
    <row r="1" spans="1:16" ht="16.5" customHeight="1" x14ac:dyDescent="0.2">
      <c r="A1" s="13" t="s">
        <v>77</v>
      </c>
      <c r="B1" s="13"/>
      <c r="C1" s="13"/>
      <c r="D1" s="13"/>
      <c r="F1" s="3" t="s">
        <v>78</v>
      </c>
      <c r="G1" s="3" t="s">
        <v>79</v>
      </c>
      <c r="H1" s="3" t="s">
        <v>80</v>
      </c>
      <c r="I1" s="3" t="s">
        <v>81</v>
      </c>
      <c r="K1" s="3" t="s">
        <v>78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</row>
    <row r="2" spans="1:16" ht="15.75" customHeight="1" x14ac:dyDescent="0.2">
      <c r="A2" s="1" t="s">
        <v>87</v>
      </c>
      <c r="B2" s="1">
        <v>8</v>
      </c>
      <c r="C2" s="15" t="s">
        <v>88</v>
      </c>
      <c r="D2" s="15">
        <f>(B4+B5)*LOG((B2+B3), 2)</f>
        <v>1031.6165626622603</v>
      </c>
      <c r="F2" s="1" t="s">
        <v>88</v>
      </c>
      <c r="G2" s="1">
        <v>108</v>
      </c>
      <c r="H2" s="1">
        <v>1364</v>
      </c>
      <c r="I2" s="1">
        <f>D2</f>
        <v>1031.6165626622603</v>
      </c>
      <c r="K2" s="1" t="s">
        <v>88</v>
      </c>
      <c r="L2" s="1">
        <f>G2/H2</f>
        <v>7.9178885630498533E-2</v>
      </c>
      <c r="M2" s="1">
        <f>I2/H2</f>
        <v>0.75631712805151052</v>
      </c>
      <c r="N2" s="1">
        <f>(L2*(1-M2))/(M2*(1-L2))</f>
        <v>2.7704810548381524E-2</v>
      </c>
      <c r="O2" s="1">
        <f>1-N2</f>
        <v>0.97229518945161852</v>
      </c>
      <c r="P2" s="1">
        <f>POWER(O2,$G$22)</f>
        <v>0.99824555161108919</v>
      </c>
    </row>
    <row r="3" spans="1:16" ht="16" x14ac:dyDescent="0.2">
      <c r="A3" s="1" t="s">
        <v>89</v>
      </c>
      <c r="B3" s="1">
        <v>16</v>
      </c>
      <c r="C3" s="15"/>
      <c r="D3" s="15"/>
      <c r="F3" s="1" t="s">
        <v>90</v>
      </c>
      <c r="G3" s="1">
        <v>540</v>
      </c>
      <c r="H3" s="1">
        <v>83362.41</v>
      </c>
      <c r="I3" s="1">
        <f>D7</f>
        <v>896</v>
      </c>
      <c r="K3" s="1" t="s">
        <v>90</v>
      </c>
      <c r="L3" s="1">
        <f t="shared" ref="L3:L10" si="0">G3/H3</f>
        <v>6.4777397870335084E-3</v>
      </c>
      <c r="M3" s="1">
        <f t="shared" ref="M3:M10" si="1">I3/H3</f>
        <v>1.074824972070745E-2</v>
      </c>
      <c r="N3" s="1">
        <f t="shared" ref="N3:N10" si="2">(L3*(1-M3))/(M3*(1-L3))</f>
        <v>0.60008804585187592</v>
      </c>
      <c r="O3" s="1">
        <f t="shared" ref="O3:O17" si="3">1-N3</f>
        <v>0.39991195414812408</v>
      </c>
      <c r="P3" s="1">
        <f t="shared" ref="P3:P17" si="4">POWER(O3,$G$22)</f>
        <v>0.94432779804428957</v>
      </c>
    </row>
    <row r="4" spans="1:16" ht="16" x14ac:dyDescent="0.2">
      <c r="A4" s="1" t="s">
        <v>91</v>
      </c>
      <c r="B4" s="1">
        <v>150</v>
      </c>
      <c r="C4" s="15"/>
      <c r="D4" s="15"/>
      <c r="F4" s="1" t="s">
        <v>92</v>
      </c>
      <c r="G4" s="1">
        <v>7</v>
      </c>
      <c r="H4" s="1">
        <v>368</v>
      </c>
      <c r="I4" s="1">
        <f>B13</f>
        <v>230</v>
      </c>
      <c r="K4" s="1" t="s">
        <v>92</v>
      </c>
      <c r="L4" s="1">
        <f t="shared" si="0"/>
        <v>1.9021739130434784E-2</v>
      </c>
      <c r="M4" s="1">
        <f t="shared" si="1"/>
        <v>0.625</v>
      </c>
      <c r="N4" s="1">
        <f t="shared" si="2"/>
        <v>1.1634349030470914E-2</v>
      </c>
      <c r="O4" s="1">
        <f t="shared" si="3"/>
        <v>0.98836565096952911</v>
      </c>
      <c r="P4" s="1">
        <f t="shared" si="4"/>
        <v>0.99926885756329575</v>
      </c>
    </row>
    <row r="5" spans="1:16" ht="16" x14ac:dyDescent="0.2">
      <c r="A5" s="1" t="s">
        <v>93</v>
      </c>
      <c r="B5" s="1">
        <v>75</v>
      </c>
      <c r="C5" s="15"/>
      <c r="D5" s="15"/>
      <c r="F5" s="1" t="s">
        <v>94</v>
      </c>
      <c r="G5" s="1">
        <v>25</v>
      </c>
      <c r="H5" s="1">
        <v>1278</v>
      </c>
      <c r="I5" s="1">
        <f>B14</f>
        <v>100</v>
      </c>
      <c r="K5" s="1" t="s">
        <v>94</v>
      </c>
      <c r="L5" s="1">
        <f t="shared" si="0"/>
        <v>1.9561815336463225E-2</v>
      </c>
      <c r="M5" s="1">
        <f t="shared" si="1"/>
        <v>7.82472613458529E-2</v>
      </c>
      <c r="N5" s="1">
        <f t="shared" si="2"/>
        <v>0.23503591380686351</v>
      </c>
      <c r="O5" s="1">
        <f t="shared" si="3"/>
        <v>0.76496408619313649</v>
      </c>
      <c r="P5" s="1">
        <f t="shared" si="4"/>
        <v>0.98339402535045395</v>
      </c>
    </row>
    <row r="6" spans="1:16" ht="16" x14ac:dyDescent="0.2">
      <c r="A6" s="13" t="s">
        <v>95</v>
      </c>
      <c r="B6" s="13"/>
      <c r="C6" s="13"/>
      <c r="D6" s="13"/>
      <c r="F6" s="1" t="s">
        <v>96</v>
      </c>
      <c r="G6" s="1">
        <v>41</v>
      </c>
      <c r="H6" s="1">
        <v>4213</v>
      </c>
      <c r="I6" s="1">
        <f>B15</f>
        <v>80</v>
      </c>
      <c r="K6" s="1" t="s">
        <v>96</v>
      </c>
      <c r="L6" s="1">
        <f t="shared" si="0"/>
        <v>9.7317825777355812E-3</v>
      </c>
      <c r="M6" s="1">
        <f t="shared" si="1"/>
        <v>1.8988844054118204E-2</v>
      </c>
      <c r="N6" s="1">
        <f t="shared" si="2"/>
        <v>0.50770913231064252</v>
      </c>
      <c r="O6" s="1">
        <f t="shared" si="3"/>
        <v>0.49229086768935748</v>
      </c>
      <c r="P6" s="1">
        <f t="shared" si="4"/>
        <v>0.95667375796425014</v>
      </c>
    </row>
    <row r="7" spans="1:16" ht="16" x14ac:dyDescent="0.2">
      <c r="A7" s="15" t="s">
        <v>97</v>
      </c>
      <c r="B7" s="15">
        <v>128</v>
      </c>
      <c r="C7" s="15" t="s">
        <v>90</v>
      </c>
      <c r="D7" s="15">
        <f>B7*LOG(B7, 2)</f>
        <v>896</v>
      </c>
      <c r="F7" s="1" t="s">
        <v>98</v>
      </c>
      <c r="G7" s="1">
        <v>67</v>
      </c>
      <c r="H7" s="1">
        <v>3589</v>
      </c>
      <c r="I7" s="1">
        <f>D17</f>
        <v>112.5</v>
      </c>
      <c r="K7" s="1" t="s">
        <v>98</v>
      </c>
      <c r="L7" s="1">
        <f t="shared" si="0"/>
        <v>1.8668152688771245E-2</v>
      </c>
      <c r="M7" s="1">
        <f t="shared" si="1"/>
        <v>3.1345778768459183E-2</v>
      </c>
      <c r="N7" s="1">
        <f t="shared" si="2"/>
        <v>0.58786169474414773</v>
      </c>
      <c r="O7" s="1">
        <f t="shared" si="3"/>
        <v>0.41213830525585227</v>
      </c>
      <c r="P7" s="1">
        <f t="shared" si="4"/>
        <v>0.94610684876887541</v>
      </c>
    </row>
    <row r="8" spans="1:16" ht="16" x14ac:dyDescent="0.2">
      <c r="A8" s="15"/>
      <c r="B8" s="15"/>
      <c r="C8" s="15"/>
      <c r="D8" s="15"/>
      <c r="F8" s="1" t="s">
        <v>99</v>
      </c>
      <c r="G8" s="1">
        <v>6</v>
      </c>
      <c r="H8" s="1">
        <v>186</v>
      </c>
      <c r="I8" s="1">
        <f>D22</f>
        <v>80</v>
      </c>
      <c r="K8" s="1" t="s">
        <v>99</v>
      </c>
      <c r="L8" s="1">
        <f t="shared" si="0"/>
        <v>3.2258064516129031E-2</v>
      </c>
      <c r="M8" s="1">
        <f t="shared" si="1"/>
        <v>0.43010752688172044</v>
      </c>
      <c r="N8" s="1">
        <f t="shared" si="2"/>
        <v>4.4166666666666653E-2</v>
      </c>
      <c r="O8" s="1">
        <f t="shared" si="3"/>
        <v>0.95583333333333331</v>
      </c>
      <c r="P8" s="1">
        <f t="shared" si="4"/>
        <v>0.99718074915736588</v>
      </c>
    </row>
    <row r="9" spans="1:16" ht="16" x14ac:dyDescent="0.2">
      <c r="A9" s="15"/>
      <c r="B9" s="15"/>
      <c r="C9" s="15"/>
      <c r="D9" s="15"/>
      <c r="F9" s="1" t="s">
        <v>100</v>
      </c>
      <c r="G9" s="1">
        <v>5.4000000000000003E-3</v>
      </c>
      <c r="H9" s="1">
        <v>2</v>
      </c>
      <c r="I9" s="1">
        <f>D25</f>
        <v>0.86853975830682772</v>
      </c>
      <c r="K9" s="1" t="s">
        <v>100</v>
      </c>
      <c r="L9" s="1">
        <f t="shared" si="0"/>
        <v>2.7000000000000001E-3</v>
      </c>
      <c r="M9" s="1">
        <f t="shared" si="1"/>
        <v>0.43426987915341386</v>
      </c>
      <c r="N9" s="1">
        <f t="shared" si="2"/>
        <v>3.5268544695412057E-3</v>
      </c>
      <c r="O9" s="1">
        <f t="shared" si="3"/>
        <v>0.99647314553045885</v>
      </c>
      <c r="P9" s="1">
        <f t="shared" si="4"/>
        <v>0.99977920634833684</v>
      </c>
    </row>
    <row r="10" spans="1:16" ht="16" x14ac:dyDescent="0.2">
      <c r="A10" s="15"/>
      <c r="B10" s="15"/>
      <c r="C10" s="15"/>
      <c r="D10" s="15"/>
      <c r="F10" s="1" t="s">
        <v>101</v>
      </c>
      <c r="G10" s="1">
        <v>0</v>
      </c>
      <c r="H10" s="1">
        <v>3</v>
      </c>
      <c r="I10" s="1">
        <f>D28</f>
        <v>5.3333333333333337E-2</v>
      </c>
      <c r="K10" s="1" t="s">
        <v>101</v>
      </c>
      <c r="L10" s="1">
        <f t="shared" si="0"/>
        <v>0</v>
      </c>
      <c r="M10" s="1">
        <f t="shared" si="1"/>
        <v>1.7777777777777778E-2</v>
      </c>
      <c r="N10" s="1">
        <f t="shared" si="2"/>
        <v>0</v>
      </c>
      <c r="O10" s="1">
        <f t="shared" si="3"/>
        <v>1</v>
      </c>
      <c r="P10" s="1">
        <f t="shared" si="4"/>
        <v>1</v>
      </c>
    </row>
    <row r="11" spans="1:16" ht="16" x14ac:dyDescent="0.2">
      <c r="A11" s="13" t="s">
        <v>102</v>
      </c>
      <c r="B11" s="13"/>
      <c r="C11" s="13"/>
      <c r="D11" s="13"/>
      <c r="F11" s="1" t="s">
        <v>103</v>
      </c>
      <c r="G11" s="1">
        <v>29</v>
      </c>
      <c r="H11" s="1">
        <v>967</v>
      </c>
      <c r="I11" s="1">
        <f>D31</f>
        <v>1187.7597459364924</v>
      </c>
      <c r="K11" s="1" t="s">
        <v>103</v>
      </c>
      <c r="L11" s="1">
        <f t="shared" ref="L11:L17" si="5">G11/H11</f>
        <v>2.9989658738366079E-2</v>
      </c>
      <c r="M11" s="1">
        <f t="shared" ref="M11:M17" si="6">I11/H11</f>
        <v>1.2282934290966829</v>
      </c>
      <c r="N11" s="1">
        <f t="shared" ref="N11:N17" si="7">(L11*(1-M11))/(M11*(1-L11))</f>
        <v>-5.7462754796527744E-3</v>
      </c>
      <c r="O11" s="1">
        <f t="shared" si="3"/>
        <v>1.0057462754796527</v>
      </c>
      <c r="P11" s="1">
        <f t="shared" si="4"/>
        <v>1.0003581784189588</v>
      </c>
    </row>
    <row r="12" spans="1:16" ht="14.25" customHeight="1" x14ac:dyDescent="0.2">
      <c r="A12" s="13"/>
      <c r="B12" s="13"/>
      <c r="C12" s="13"/>
      <c r="D12" s="13"/>
      <c r="F12" s="1" t="s">
        <v>104</v>
      </c>
      <c r="G12" s="1">
        <v>13</v>
      </c>
      <c r="H12" s="1">
        <v>299</v>
      </c>
      <c r="I12" s="1">
        <f t="shared" ref="I12:I17" si="8">B34</f>
        <v>201</v>
      </c>
      <c r="K12" s="1" t="s">
        <v>104</v>
      </c>
      <c r="L12" s="1">
        <f t="shared" si="5"/>
        <v>4.3478260869565216E-2</v>
      </c>
      <c r="M12" s="1">
        <f t="shared" si="6"/>
        <v>0.67224080267558528</v>
      </c>
      <c r="N12" s="1">
        <f t="shared" si="7"/>
        <v>2.2161917684305744E-2</v>
      </c>
      <c r="O12" s="1">
        <f t="shared" si="3"/>
        <v>0.97783808231569425</v>
      </c>
      <c r="P12" s="1">
        <f t="shared" si="4"/>
        <v>0.99860028160472525</v>
      </c>
    </row>
    <row r="13" spans="1:16" ht="16" x14ac:dyDescent="0.2">
      <c r="A13" s="1" t="s">
        <v>92</v>
      </c>
      <c r="B13" s="1">
        <v>230</v>
      </c>
      <c r="F13" s="1" t="s">
        <v>105</v>
      </c>
      <c r="G13" s="1">
        <v>1</v>
      </c>
      <c r="H13" s="1">
        <v>8</v>
      </c>
      <c r="I13" s="1">
        <f t="shared" si="8"/>
        <v>5</v>
      </c>
      <c r="K13" s="1" t="s">
        <v>105</v>
      </c>
      <c r="L13" s="1">
        <f t="shared" si="5"/>
        <v>0.125</v>
      </c>
      <c r="M13" s="1">
        <f t="shared" si="6"/>
        <v>0.625</v>
      </c>
      <c r="N13" s="1">
        <f t="shared" si="7"/>
        <v>8.5714285714285715E-2</v>
      </c>
      <c r="O13" s="1">
        <f t="shared" si="3"/>
        <v>0.91428571428571426</v>
      </c>
      <c r="P13" s="1">
        <f t="shared" si="4"/>
        <v>0.99441489509742764</v>
      </c>
    </row>
    <row r="14" spans="1:16" ht="16" x14ac:dyDescent="0.2">
      <c r="A14" s="1" t="s">
        <v>106</v>
      </c>
      <c r="B14" s="1">
        <v>100</v>
      </c>
      <c r="F14" s="1" t="s">
        <v>107</v>
      </c>
      <c r="G14" s="1">
        <v>1</v>
      </c>
      <c r="H14" s="1">
        <v>32</v>
      </c>
      <c r="I14" s="1">
        <f t="shared" si="8"/>
        <v>15</v>
      </c>
      <c r="K14" s="1" t="s">
        <v>107</v>
      </c>
      <c r="L14" s="1">
        <f t="shared" si="5"/>
        <v>3.125E-2</v>
      </c>
      <c r="M14" s="1">
        <f t="shared" si="6"/>
        <v>0.46875</v>
      </c>
      <c r="N14" s="1">
        <f t="shared" si="7"/>
        <v>3.6559139784946237E-2</v>
      </c>
      <c r="O14" s="1">
        <f t="shared" si="3"/>
        <v>0.96344086021505371</v>
      </c>
      <c r="P14" s="1">
        <f t="shared" si="4"/>
        <v>0.99767494631102416</v>
      </c>
    </row>
    <row r="15" spans="1:16" ht="16" x14ac:dyDescent="0.2">
      <c r="A15" s="1" t="s">
        <v>96</v>
      </c>
      <c r="B15" s="1">
        <v>80</v>
      </c>
      <c r="F15" s="1" t="s">
        <v>108</v>
      </c>
      <c r="G15" s="1">
        <v>1</v>
      </c>
      <c r="H15" s="1">
        <v>27</v>
      </c>
      <c r="I15" s="1">
        <f t="shared" si="8"/>
        <v>9</v>
      </c>
      <c r="K15" s="1" t="s">
        <v>108</v>
      </c>
      <c r="L15" s="1">
        <f t="shared" si="5"/>
        <v>3.7037037037037035E-2</v>
      </c>
      <c r="M15" s="1">
        <f t="shared" si="6"/>
        <v>0.33333333333333331</v>
      </c>
      <c r="N15" s="1">
        <f t="shared" si="7"/>
        <v>7.6923076923076927E-2</v>
      </c>
      <c r="O15" s="1">
        <f t="shared" si="3"/>
        <v>0.92307692307692313</v>
      </c>
      <c r="P15" s="1">
        <f t="shared" si="4"/>
        <v>0.99500982327946907</v>
      </c>
    </row>
    <row r="16" spans="1:16" ht="16" x14ac:dyDescent="0.2">
      <c r="A16" s="13" t="s">
        <v>109</v>
      </c>
      <c r="B16" s="13"/>
      <c r="C16" s="13"/>
      <c r="D16" s="13"/>
      <c r="F16" s="1" t="s">
        <v>110</v>
      </c>
      <c r="G16" s="1">
        <v>1</v>
      </c>
      <c r="H16" s="1">
        <v>163</v>
      </c>
      <c r="I16" s="1">
        <f t="shared" si="8"/>
        <v>125</v>
      </c>
      <c r="K16" s="1" t="s">
        <v>110</v>
      </c>
      <c r="L16" s="1">
        <f t="shared" si="5"/>
        <v>6.1349693251533744E-3</v>
      </c>
      <c r="M16" s="1">
        <f t="shared" si="6"/>
        <v>0.76687116564417179</v>
      </c>
      <c r="N16" s="1">
        <f t="shared" si="7"/>
        <v>1.8765432098765431E-3</v>
      </c>
      <c r="O16" s="1">
        <f t="shared" si="3"/>
        <v>0.99812345679012349</v>
      </c>
      <c r="P16" s="1">
        <f t="shared" si="4"/>
        <v>0.99988261275774115</v>
      </c>
    </row>
    <row r="17" spans="1:16" ht="16" x14ac:dyDescent="0.2">
      <c r="A17" s="1" t="s">
        <v>111</v>
      </c>
      <c r="B17" s="1">
        <v>30</v>
      </c>
      <c r="C17" s="15" t="s">
        <v>98</v>
      </c>
      <c r="D17" s="15">
        <f>B17+(2*B18)+(3*B19)+(B20/2)</f>
        <v>112.5</v>
      </c>
      <c r="F17" s="1" t="s">
        <v>112</v>
      </c>
      <c r="G17" s="1">
        <v>-39</v>
      </c>
      <c r="H17" s="1">
        <v>387</v>
      </c>
      <c r="I17" s="1">
        <f t="shared" si="8"/>
        <v>20</v>
      </c>
      <c r="K17" s="1" t="s">
        <v>112</v>
      </c>
      <c r="L17" s="1">
        <f t="shared" si="5"/>
        <v>-0.10077519379844961</v>
      </c>
      <c r="M17" s="1">
        <f t="shared" si="6"/>
        <v>5.1679586563307491E-2</v>
      </c>
      <c r="N17" s="1">
        <f t="shared" si="7"/>
        <v>-1.6799295774647889</v>
      </c>
      <c r="O17" s="1">
        <f t="shared" si="3"/>
        <v>2.6799295774647889</v>
      </c>
      <c r="P17" s="1">
        <f t="shared" si="4"/>
        <v>1.0635495088442004</v>
      </c>
    </row>
    <row r="18" spans="1:16" ht="16" x14ac:dyDescent="0.2">
      <c r="A18" s="1" t="s">
        <v>113</v>
      </c>
      <c r="B18" s="1">
        <v>40</v>
      </c>
      <c r="C18" s="15"/>
      <c r="D18" s="15"/>
    </row>
    <row r="19" spans="1:16" ht="16" x14ac:dyDescent="0.2">
      <c r="A19" s="1" t="s">
        <v>114</v>
      </c>
      <c r="B19" s="1">
        <v>0</v>
      </c>
      <c r="C19" s="15"/>
      <c r="D19" s="15"/>
    </row>
    <row r="20" spans="1:16" ht="16" x14ac:dyDescent="0.2">
      <c r="A20" s="1" t="s">
        <v>115</v>
      </c>
      <c r="B20" s="1">
        <v>5</v>
      </c>
      <c r="C20" s="15"/>
      <c r="D20" s="15"/>
    </row>
    <row r="21" spans="1:16" ht="15.75" customHeight="1" x14ac:dyDescent="0.2">
      <c r="A21" s="13" t="s">
        <v>116</v>
      </c>
      <c r="B21" s="13"/>
      <c r="C21" s="13"/>
      <c r="D21" s="13"/>
      <c r="F21" s="13" t="s">
        <v>117</v>
      </c>
      <c r="G21" s="13"/>
      <c r="H21" s="13"/>
      <c r="I21" s="13"/>
      <c r="M21" s="14"/>
      <c r="N21" s="15"/>
    </row>
    <row r="22" spans="1:16" ht="16" x14ac:dyDescent="0.2">
      <c r="C22" s="1" t="s">
        <v>118</v>
      </c>
      <c r="D22" s="1">
        <f>B2*LOG(B3, 2) + B3*LOG(B2, 2)</f>
        <v>80</v>
      </c>
      <c r="F22" s="1" t="s">
        <v>119</v>
      </c>
      <c r="G22" s="1">
        <f>1/16</f>
        <v>6.25E-2</v>
      </c>
      <c r="H22" s="1" t="s">
        <v>120</v>
      </c>
      <c r="I22" s="1">
        <f>1-PRODUCT(P2:P17)</f>
        <v>0.12342293476589861</v>
      </c>
    </row>
    <row r="23" spans="1:16" x14ac:dyDescent="0.2">
      <c r="A23" s="13" t="s">
        <v>121</v>
      </c>
      <c r="B23" s="13"/>
      <c r="C23" s="13"/>
      <c r="D23" s="13"/>
      <c r="F23" s="13" t="s">
        <v>122</v>
      </c>
      <c r="G23" s="13"/>
      <c r="H23" s="13"/>
      <c r="I23" s="13"/>
    </row>
    <row r="24" spans="1:16" ht="15" customHeight="1" x14ac:dyDescent="0.2">
      <c r="A24" s="13"/>
      <c r="B24" s="13"/>
      <c r="C24" s="13"/>
      <c r="D24" s="13"/>
      <c r="H24" s="1" t="s">
        <v>111</v>
      </c>
      <c r="I24" s="1">
        <f>1-I22</f>
        <v>0.87657706523410139</v>
      </c>
    </row>
    <row r="25" spans="1:16" ht="16" x14ac:dyDescent="0.2">
      <c r="C25" s="1" t="s">
        <v>123</v>
      </c>
      <c r="D25" s="1">
        <f>D7/D2</f>
        <v>0.86853975830682772</v>
      </c>
    </row>
    <row r="26" spans="1:16" x14ac:dyDescent="0.2">
      <c r="A26" s="13" t="s">
        <v>124</v>
      </c>
      <c r="B26" s="13"/>
      <c r="C26" s="13"/>
      <c r="D26" s="13"/>
    </row>
    <row r="27" spans="1:16" ht="12.75" customHeight="1" x14ac:dyDescent="0.2">
      <c r="A27" s="13"/>
      <c r="B27" s="13"/>
      <c r="C27" s="13"/>
      <c r="D27" s="13"/>
    </row>
    <row r="28" spans="1:16" ht="16" x14ac:dyDescent="0.2">
      <c r="C28" s="1" t="s">
        <v>101</v>
      </c>
      <c r="D28" s="1">
        <f>(2*B3)/(B2*B5)</f>
        <v>5.3333333333333337E-2</v>
      </c>
    </row>
    <row r="29" spans="1:16" x14ac:dyDescent="0.2">
      <c r="A29" s="13" t="s">
        <v>125</v>
      </c>
      <c r="B29" s="13"/>
      <c r="C29" s="13"/>
      <c r="D29" s="13"/>
    </row>
    <row r="30" spans="1:16" ht="15.75" customHeight="1" x14ac:dyDescent="0.2">
      <c r="A30" s="13"/>
      <c r="B30" s="13"/>
      <c r="C30" s="13"/>
      <c r="D30" s="13"/>
    </row>
    <row r="31" spans="1:16" ht="16" x14ac:dyDescent="0.2">
      <c r="C31" s="1" t="s">
        <v>103</v>
      </c>
      <c r="D31" s="1">
        <f>D2*(D2/D7)</f>
        <v>1187.7597459364924</v>
      </c>
    </row>
    <row r="32" spans="1:16" x14ac:dyDescent="0.2">
      <c r="A32" s="13" t="s">
        <v>126</v>
      </c>
      <c r="B32" s="13"/>
      <c r="C32" s="13"/>
      <c r="D32" s="13"/>
    </row>
    <row r="33" spans="1:4" ht="12.75" customHeight="1" x14ac:dyDescent="0.2">
      <c r="A33" s="13"/>
      <c r="B33" s="13"/>
      <c r="C33" s="13"/>
      <c r="D33" s="13"/>
    </row>
    <row r="34" spans="1:4" ht="16" x14ac:dyDescent="0.2">
      <c r="A34" s="1" t="s">
        <v>104</v>
      </c>
      <c r="B34" s="1">
        <v>201</v>
      </c>
    </row>
    <row r="35" spans="1:4" ht="16" x14ac:dyDescent="0.2">
      <c r="A35" s="1" t="s">
        <v>105</v>
      </c>
      <c r="B35" s="1">
        <v>5</v>
      </c>
    </row>
    <row r="36" spans="1:4" ht="16" x14ac:dyDescent="0.2">
      <c r="A36" s="1" t="s">
        <v>107</v>
      </c>
      <c r="B36" s="1">
        <v>15</v>
      </c>
    </row>
    <row r="37" spans="1:4" ht="16" x14ac:dyDescent="0.2">
      <c r="A37" s="1" t="s">
        <v>108</v>
      </c>
      <c r="B37" s="1">
        <v>9</v>
      </c>
    </row>
    <row r="38" spans="1:4" ht="16" x14ac:dyDescent="0.2">
      <c r="A38" s="1" t="s">
        <v>110</v>
      </c>
      <c r="B38" s="1">
        <v>125</v>
      </c>
    </row>
    <row r="39" spans="1:4" ht="16" x14ac:dyDescent="0.2">
      <c r="A39" s="1" t="s">
        <v>112</v>
      </c>
      <c r="B39" s="1">
        <v>20</v>
      </c>
    </row>
  </sheetData>
  <mergeCells count="20">
    <mergeCell ref="A32:D33"/>
    <mergeCell ref="A11:D12"/>
    <mergeCell ref="A21:D21"/>
    <mergeCell ref="A1:D1"/>
    <mergeCell ref="A6:D6"/>
    <mergeCell ref="A16:D16"/>
    <mergeCell ref="C17:C20"/>
    <mergeCell ref="D17:D20"/>
    <mergeCell ref="A7:A10"/>
    <mergeCell ref="B7:B10"/>
    <mergeCell ref="C2:C5"/>
    <mergeCell ref="D2:D5"/>
    <mergeCell ref="C7:C10"/>
    <mergeCell ref="D7:D10"/>
    <mergeCell ref="F23:I23"/>
    <mergeCell ref="A23:D24"/>
    <mergeCell ref="A26:D27"/>
    <mergeCell ref="A29:D30"/>
    <mergeCell ref="M21:N21"/>
    <mergeCell ref="F21:I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9842-36FB-411F-A1A9-E5FF0A1CC68F}">
  <sheetPr>
    <tabColor rgb="FFFFFD82"/>
  </sheetPr>
  <dimension ref="A1:E18"/>
  <sheetViews>
    <sheetView workbookViewId="0">
      <selection sqref="A1:B1"/>
    </sheetView>
  </sheetViews>
  <sheetFormatPr baseColWidth="10" defaultColWidth="8.83203125" defaultRowHeight="15" x14ac:dyDescent="0.2"/>
  <sheetData>
    <row r="1" spans="1:5" x14ac:dyDescent="0.2">
      <c r="A1" s="14" t="s">
        <v>127</v>
      </c>
      <c r="B1" s="15"/>
      <c r="C1" s="1"/>
      <c r="D1" s="1"/>
      <c r="E1" s="1"/>
    </row>
    <row r="2" spans="1:5" ht="16" x14ac:dyDescent="0.2">
      <c r="A2" s="1" t="s">
        <v>128</v>
      </c>
      <c r="B2" s="1">
        <v>10</v>
      </c>
      <c r="C2" s="1"/>
      <c r="D2" s="1"/>
      <c r="E2" s="1"/>
    </row>
    <row r="3" spans="1:5" ht="16" x14ac:dyDescent="0.2">
      <c r="A3" s="1" t="s">
        <v>129</v>
      </c>
      <c r="B3" s="1">
        <v>23</v>
      </c>
      <c r="C3" s="1"/>
      <c r="D3" s="1"/>
      <c r="E3" s="1"/>
    </row>
    <row r="4" spans="1:5" ht="16" x14ac:dyDescent="0.2">
      <c r="A4" s="1" t="s">
        <v>130</v>
      </c>
      <c r="B4" s="1">
        <v>30</v>
      </c>
      <c r="C4" s="1"/>
      <c r="D4" s="1"/>
      <c r="E4" s="1"/>
    </row>
    <row r="5" spans="1:5" ht="16" x14ac:dyDescent="0.2">
      <c r="A5" s="1" t="s">
        <v>131</v>
      </c>
      <c r="B5" s="1">
        <f>(3*(B2+B3+B4))/((1/3)+(1/2)+1)</f>
        <v>103.09090909090909</v>
      </c>
      <c r="C5" s="1"/>
      <c r="D5" s="1" t="s">
        <v>132</v>
      </c>
      <c r="E5" s="1">
        <f>((1/3)+(1/2)+1)/(B2+B3+B4)</f>
        <v>2.9100529100529099E-2</v>
      </c>
    </row>
    <row r="6" spans="1:5" ht="16" x14ac:dyDescent="0.2">
      <c r="A6" s="1" t="s">
        <v>133</v>
      </c>
      <c r="B6" s="1">
        <f>(3*B2+2*B3+B4)</f>
        <v>106</v>
      </c>
      <c r="C6" s="1"/>
      <c r="D6" s="1" t="s">
        <v>134</v>
      </c>
      <c r="E6" s="1">
        <f>E5*(3-2)*((B2+B3+B4)+(B4/2))</f>
        <v>2.2698412698412698</v>
      </c>
    </row>
    <row r="7" spans="1:5" ht="16" x14ac:dyDescent="0.2">
      <c r="A7" s="1"/>
      <c r="B7" s="1"/>
      <c r="C7" s="1"/>
      <c r="D7" s="1" t="s">
        <v>130</v>
      </c>
      <c r="E7" s="1">
        <f>1/E6</f>
        <v>0.44055944055944057</v>
      </c>
    </row>
    <row r="8" spans="1:5" ht="16" x14ac:dyDescent="0.2">
      <c r="A8" s="1"/>
      <c r="B8" s="1"/>
      <c r="C8" s="1"/>
      <c r="D8" s="1" t="s">
        <v>111</v>
      </c>
      <c r="E8" s="1">
        <f>EXP(-E5*E6)</f>
        <v>0.93608070594016501</v>
      </c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ht="16" x14ac:dyDescent="0.2">
      <c r="A11" s="1" t="s">
        <v>131</v>
      </c>
      <c r="B11" s="1">
        <f>(3*(B2+B3+B4))/((1/4)+(1/3)+(1/2))</f>
        <v>174.46153846153848</v>
      </c>
      <c r="C11" s="1"/>
      <c r="D11" s="1"/>
      <c r="E11" s="1"/>
    </row>
    <row r="12" spans="1:5" ht="16" x14ac:dyDescent="0.2">
      <c r="A12" s="1" t="s">
        <v>133</v>
      </c>
      <c r="B12" s="1">
        <f>(4*B2+3*B3+2*B4)</f>
        <v>169</v>
      </c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ht="16" x14ac:dyDescent="0.2">
      <c r="A17" s="1" t="s">
        <v>131</v>
      </c>
      <c r="B17" s="1">
        <f>(3*(B2+B3+B4))/((1/5)+(1/4)+(1/3))</f>
        <v>241.27659574468086</v>
      </c>
      <c r="C17" s="1"/>
      <c r="D17" s="1"/>
      <c r="E17" s="1"/>
    </row>
    <row r="18" spans="1:5" ht="16" x14ac:dyDescent="0.2">
      <c r="A18" s="1" t="s">
        <v>133</v>
      </c>
      <c r="B18" s="1">
        <f>(5*B2+4*B3+3*B4)</f>
        <v>232</v>
      </c>
      <c r="C18" s="1"/>
      <c r="D18" s="1"/>
      <c r="E18" s="1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BFA4-3798-414F-B0FB-8C2B7064CB09}">
  <sheetPr>
    <tabColor rgb="FF00B050"/>
  </sheetPr>
  <dimension ref="A1:M35"/>
  <sheetViews>
    <sheetView workbookViewId="0">
      <selection activeCell="J34" sqref="J34"/>
    </sheetView>
  </sheetViews>
  <sheetFormatPr baseColWidth="10" defaultColWidth="9.1640625" defaultRowHeight="19" x14ac:dyDescent="0.2"/>
  <cols>
    <col min="1" max="1" width="12.5" style="9" customWidth="1"/>
    <col min="2" max="2" width="27.83203125" style="9" customWidth="1"/>
    <col min="3" max="3" width="9.5" style="9" bestFit="1" customWidth="1"/>
    <col min="4" max="4" width="11.6640625" style="9" bestFit="1" customWidth="1"/>
    <col min="5" max="5" width="16.1640625" style="9" bestFit="1" customWidth="1"/>
    <col min="6" max="6" width="15.5" style="9" bestFit="1" customWidth="1"/>
    <col min="7" max="7" width="9.1640625" style="9"/>
    <col min="8" max="8" width="12.83203125" style="9" bestFit="1" customWidth="1"/>
    <col min="9" max="9" width="16.33203125" style="9" bestFit="1" customWidth="1"/>
    <col min="10" max="12" width="9.1640625" style="9"/>
    <col min="13" max="13" width="14" style="9" bestFit="1" customWidth="1"/>
    <col min="14" max="16384" width="9.1640625" style="9"/>
  </cols>
  <sheetData>
    <row r="1" spans="1:13" ht="41" thickBot="1" x14ac:dyDescent="0.25">
      <c r="A1" s="8" t="s">
        <v>135</v>
      </c>
      <c r="B1" s="8" t="s">
        <v>136</v>
      </c>
      <c r="C1" s="8" t="s">
        <v>137</v>
      </c>
    </row>
    <row r="2" spans="1:13" ht="20" thickBot="1" x14ac:dyDescent="0.25">
      <c r="A2" s="4">
        <v>1</v>
      </c>
      <c r="B2" s="5">
        <v>5</v>
      </c>
      <c r="C2" s="9">
        <f>A2*B2</f>
        <v>5</v>
      </c>
      <c r="E2" s="11" t="s">
        <v>138</v>
      </c>
      <c r="F2" s="12" t="s">
        <v>139</v>
      </c>
      <c r="G2" s="12" t="s">
        <v>140</v>
      </c>
      <c r="H2" s="11" t="s">
        <v>141</v>
      </c>
      <c r="I2" s="11" t="s">
        <v>161</v>
      </c>
      <c r="L2" s="16" t="s">
        <v>143</v>
      </c>
      <c r="M2" s="16"/>
    </row>
    <row r="3" spans="1:13" ht="20" thickBot="1" x14ac:dyDescent="0.25">
      <c r="A3" s="6">
        <v>2</v>
      </c>
      <c r="B3" s="7">
        <v>8</v>
      </c>
      <c r="C3" s="9">
        <f t="shared" ref="C3:C17" si="0">A3*B3</f>
        <v>16</v>
      </c>
      <c r="E3" s="11">
        <v>45</v>
      </c>
      <c r="F3" s="11" cm="1">
        <f t="array" ref="F3">SUM(1/(E3 - _xlfn.SEQUENCE($B$23)))</f>
        <v>0.44555485436273184</v>
      </c>
      <c r="G3" s="11">
        <f t="shared" ref="G3:G18" si="1">B$23/(E3-B$29)</f>
        <v>0.44444444444444442</v>
      </c>
      <c r="H3" s="11">
        <f t="shared" ref="H3:H18" si="2" xml:space="preserve"> F3 - G3</f>
        <v>1.110409918287425E-3</v>
      </c>
      <c r="I3" s="11">
        <f>ABS(H3)</f>
        <v>1.110409918287425E-3</v>
      </c>
      <c r="L3" s="9" t="s">
        <v>145</v>
      </c>
      <c r="M3" s="9" cm="1">
        <f t="array" ref="M3" xml:space="preserve"> MIN(ABS(I3:I21))</f>
        <v>0</v>
      </c>
    </row>
    <row r="4" spans="1:13" ht="20" thickBot="1" x14ac:dyDescent="0.25">
      <c r="A4" s="6">
        <v>3</v>
      </c>
      <c r="B4" s="7">
        <v>10</v>
      </c>
      <c r="C4" s="9">
        <f t="shared" si="0"/>
        <v>30</v>
      </c>
      <c r="E4" s="11">
        <v>46</v>
      </c>
      <c r="F4" s="11" cm="1">
        <f t="array" ref="F4">SUM(1/(E4 - _xlfn.SEQUENCE($B$23)))</f>
        <v>0.43329431796426432</v>
      </c>
      <c r="G4" s="11">
        <f t="shared" si="1"/>
        <v>0.43243243243243246</v>
      </c>
      <c r="H4" s="11">
        <f t="shared" si="2"/>
        <v>8.6188553183186301E-4</v>
      </c>
      <c r="I4" s="11">
        <f t="shared" ref="I4:I18" si="3">ABS(H4)</f>
        <v>8.6188553183186301E-4</v>
      </c>
      <c r="L4" s="9" t="s">
        <v>162</v>
      </c>
      <c r="M4" s="9">
        <f>MIN(I3:I18)</f>
        <v>4.2966931611376769E-5</v>
      </c>
    </row>
    <row r="5" spans="1:13" ht="20" thickBot="1" x14ac:dyDescent="0.25">
      <c r="A5" s="6">
        <v>4</v>
      </c>
      <c r="B5" s="7">
        <v>12</v>
      </c>
      <c r="C5" s="9">
        <f t="shared" si="0"/>
        <v>48</v>
      </c>
      <c r="E5" s="11">
        <v>47</v>
      </c>
      <c r="F5" s="11" cm="1">
        <f t="array" ref="F5">SUM(1/(E5 - _xlfn.SEQUENCE($B$23)))</f>
        <v>0.4217001150657137</v>
      </c>
      <c r="G5" s="11">
        <f t="shared" si="1"/>
        <v>0.42105263157894735</v>
      </c>
      <c r="H5" s="11">
        <f t="shared" si="2"/>
        <v>6.474834867663537E-4</v>
      </c>
      <c r="I5" s="11">
        <f t="shared" si="3"/>
        <v>6.474834867663537E-4</v>
      </c>
      <c r="L5" s="9" t="s">
        <v>163</v>
      </c>
      <c r="M5" s="9">
        <f>INDEX(E3:E18, MATCH(MIN(I3:I18), I3:I18, 0))</f>
        <v>51</v>
      </c>
    </row>
    <row r="6" spans="1:13" ht="20" thickBot="1" x14ac:dyDescent="0.25">
      <c r="A6" s="6">
        <v>5</v>
      </c>
      <c r="B6" s="7">
        <v>14</v>
      </c>
      <c r="C6" s="9">
        <f t="shared" si="0"/>
        <v>70</v>
      </c>
      <c r="E6" s="11">
        <v>48</v>
      </c>
      <c r="F6" s="11" cm="1">
        <f t="array" ref="F6">SUM(1/(E6 - _xlfn.SEQUENCE($B$23)))</f>
        <v>0.41071864629426547</v>
      </c>
      <c r="G6" s="11">
        <f t="shared" si="1"/>
        <v>0.41025641025641024</v>
      </c>
      <c r="H6" s="11">
        <f t="shared" si="2"/>
        <v>4.6223603785522371E-4</v>
      </c>
      <c r="I6" s="11">
        <f t="shared" si="3"/>
        <v>4.6223603785522371E-4</v>
      </c>
    </row>
    <row r="7" spans="1:13" ht="20" thickBot="1" x14ac:dyDescent="0.25">
      <c r="A7" s="6">
        <v>6</v>
      </c>
      <c r="B7" s="7">
        <v>7</v>
      </c>
      <c r="C7" s="9">
        <f t="shared" si="0"/>
        <v>42</v>
      </c>
      <c r="E7" s="11">
        <v>49</v>
      </c>
      <c r="F7" s="11" cm="1">
        <f t="array" ref="F7">SUM(1/(E7 - _xlfn.SEQUENCE($B$23)))</f>
        <v>0.40030197962759884</v>
      </c>
      <c r="G7" s="11">
        <f t="shared" si="1"/>
        <v>0.4</v>
      </c>
      <c r="H7" s="11">
        <f t="shared" si="2"/>
        <v>3.0197962759881403E-4</v>
      </c>
      <c r="I7" s="11">
        <f t="shared" si="3"/>
        <v>3.0197962759881403E-4</v>
      </c>
    </row>
    <row r="8" spans="1:13" ht="20" thickBot="1" x14ac:dyDescent="0.25">
      <c r="A8" s="6">
        <v>7</v>
      </c>
      <c r="B8" s="7">
        <v>9</v>
      </c>
      <c r="C8" s="9">
        <f t="shared" si="0"/>
        <v>63</v>
      </c>
      <c r="E8" s="11">
        <v>50</v>
      </c>
      <c r="F8" s="11" cm="1">
        <f t="array" ref="F8">SUM(1/(E8 - _xlfn.SEQUENCE($B$23)))</f>
        <v>0.39040711258987465</v>
      </c>
      <c r="G8" s="11">
        <f t="shared" si="1"/>
        <v>0.3902439024390244</v>
      </c>
      <c r="H8" s="11">
        <f t="shared" si="2"/>
        <v>1.6321015085024593E-4</v>
      </c>
      <c r="I8" s="11">
        <f t="shared" si="3"/>
        <v>1.6321015085024593E-4</v>
      </c>
    </row>
    <row r="9" spans="1:13" ht="20" thickBot="1" x14ac:dyDescent="0.25">
      <c r="A9" s="6">
        <v>8</v>
      </c>
      <c r="B9" s="7">
        <v>16</v>
      </c>
      <c r="C9" s="9">
        <f t="shared" si="0"/>
        <v>128</v>
      </c>
      <c r="E9" s="11">
        <v>51</v>
      </c>
      <c r="F9" s="11" cm="1">
        <f t="array" ref="F9">SUM(1/(E9 - _xlfn.SEQUENCE($B$23)))</f>
        <v>0.38099534788399231</v>
      </c>
      <c r="G9" s="11">
        <f t="shared" si="1"/>
        <v>0.38095238095238093</v>
      </c>
      <c r="H9" s="11">
        <f t="shared" si="2"/>
        <v>4.2966931611376769E-5</v>
      </c>
      <c r="I9" s="11">
        <f t="shared" si="3"/>
        <v>4.2966931611376769E-5</v>
      </c>
    </row>
    <row r="10" spans="1:13" ht="20" thickBot="1" x14ac:dyDescent="0.25">
      <c r="A10" s="6">
        <v>9</v>
      </c>
      <c r="B10" s="7">
        <v>17</v>
      </c>
      <c r="C10" s="9">
        <f t="shared" si="0"/>
        <v>153</v>
      </c>
      <c r="E10" s="11">
        <v>52</v>
      </c>
      <c r="F10" s="11" cm="1">
        <f t="array" ref="F10">SUM(1/(E10 - _xlfn.SEQUENCE($B$23)))</f>
        <v>0.37203176244981867</v>
      </c>
      <c r="G10" s="11">
        <f t="shared" si="1"/>
        <v>0.37209302325581395</v>
      </c>
      <c r="H10" s="11">
        <f t="shared" si="2"/>
        <v>-6.1260805995277945E-5</v>
      </c>
      <c r="I10" s="11">
        <f t="shared" si="3"/>
        <v>6.1260805995277945E-5</v>
      </c>
    </row>
    <row r="11" spans="1:13" ht="20" thickBot="1" x14ac:dyDescent="0.25">
      <c r="A11" s="6">
        <v>10</v>
      </c>
      <c r="B11" s="7">
        <v>18</v>
      </c>
      <c r="C11" s="9">
        <f t="shared" si="0"/>
        <v>180</v>
      </c>
      <c r="E11" s="11">
        <v>53</v>
      </c>
      <c r="F11" s="11" cm="1">
        <f t="array" ref="F11">SUM(1/(E11 - _xlfn.SEQUENCE($B$23)))</f>
        <v>0.36348475390281015</v>
      </c>
      <c r="G11" s="11">
        <f t="shared" si="1"/>
        <v>0.36363636363636365</v>
      </c>
      <c r="H11" s="11">
        <f t="shared" si="2"/>
        <v>-1.5160973355349272E-4</v>
      </c>
      <c r="I11" s="11">
        <f t="shared" si="3"/>
        <v>1.5160973355349272E-4</v>
      </c>
    </row>
    <row r="12" spans="1:13" ht="20" thickBot="1" x14ac:dyDescent="0.25">
      <c r="A12" s="6">
        <v>11</v>
      </c>
      <c r="B12" s="7">
        <v>19</v>
      </c>
      <c r="C12" s="9">
        <f t="shared" si="0"/>
        <v>209</v>
      </c>
      <c r="E12" s="11">
        <v>54</v>
      </c>
      <c r="F12" s="11" cm="1">
        <f t="array" ref="F12">SUM(1/(E12 - _xlfn.SEQUENCE($B$23)))</f>
        <v>0.35532565140408501</v>
      </c>
      <c r="G12" s="11">
        <f t="shared" si="1"/>
        <v>0.35555555555555557</v>
      </c>
      <c r="H12" s="11">
        <f t="shared" si="2"/>
        <v>-2.2990415147056131E-4</v>
      </c>
      <c r="I12" s="11">
        <f t="shared" si="3"/>
        <v>2.2990415147056131E-4</v>
      </c>
    </row>
    <row r="13" spans="1:13" ht="20" thickBot="1" x14ac:dyDescent="0.25">
      <c r="A13" s="6">
        <v>12</v>
      </c>
      <c r="B13" s="7">
        <v>20</v>
      </c>
      <c r="C13" s="9">
        <f t="shared" si="0"/>
        <v>240</v>
      </c>
      <c r="E13" s="11">
        <v>55</v>
      </c>
      <c r="F13" s="11" cm="1">
        <f t="array" ref="F13">SUM(1/(E13 - _xlfn.SEQUENCE($B$23)))</f>
        <v>0.34752838044891932</v>
      </c>
      <c r="G13" s="11">
        <f t="shared" si="1"/>
        <v>0.34782608695652173</v>
      </c>
      <c r="H13" s="11">
        <f t="shared" si="2"/>
        <v>-2.9770650760241324E-4</v>
      </c>
      <c r="I13" s="11">
        <f t="shared" si="3"/>
        <v>2.9770650760241324E-4</v>
      </c>
    </row>
    <row r="14" spans="1:13" ht="20" thickBot="1" x14ac:dyDescent="0.25">
      <c r="A14" s="6">
        <v>13</v>
      </c>
      <c r="B14" s="7">
        <v>21</v>
      </c>
      <c r="C14" s="9">
        <f t="shared" si="0"/>
        <v>273</v>
      </c>
      <c r="E14" s="11">
        <v>56</v>
      </c>
      <c r="F14" s="11" cm="1">
        <f t="array" ref="F14">SUM(1/(E14 - _xlfn.SEQUENCE($B$23)))</f>
        <v>0.34006917298971184</v>
      </c>
      <c r="G14" s="11">
        <f t="shared" si="1"/>
        <v>0.34042553191489361</v>
      </c>
      <c r="H14" s="11">
        <f t="shared" si="2"/>
        <v>-3.563589251817656E-4</v>
      </c>
      <c r="I14" s="11">
        <f t="shared" si="3"/>
        <v>3.563589251817656E-4</v>
      </c>
    </row>
    <row r="15" spans="1:13" ht="20" thickBot="1" x14ac:dyDescent="0.25">
      <c r="A15" s="6">
        <v>14</v>
      </c>
      <c r="B15" s="7">
        <v>22</v>
      </c>
      <c r="C15" s="9">
        <f t="shared" si="0"/>
        <v>308</v>
      </c>
      <c r="E15" s="11">
        <v>57</v>
      </c>
      <c r="F15" s="11" cm="1">
        <f t="array" ref="F15">SUM(1/(E15 - _xlfn.SEQUENCE($B$23)))</f>
        <v>0.33292631584685461</v>
      </c>
      <c r="G15" s="11">
        <f t="shared" si="1"/>
        <v>0.33333333333333331</v>
      </c>
      <c r="H15" s="11">
        <f t="shared" si="2"/>
        <v>-4.0701748647870017E-4</v>
      </c>
      <c r="I15" s="11">
        <f t="shared" si="3"/>
        <v>4.0701748647870017E-4</v>
      </c>
    </row>
    <row r="16" spans="1:13" ht="20" thickBot="1" x14ac:dyDescent="0.25">
      <c r="A16" s="6">
        <v>15</v>
      </c>
      <c r="B16" s="7">
        <v>23</v>
      </c>
      <c r="C16" s="9">
        <f t="shared" si="0"/>
        <v>345</v>
      </c>
      <c r="E16" s="11">
        <v>58</v>
      </c>
      <c r="F16" s="11" cm="1">
        <f t="array" ref="F16">SUM(1/(E16 - _xlfn.SEQUENCE($B$23)))</f>
        <v>0.32607993159353832</v>
      </c>
      <c r="G16" s="11">
        <f t="shared" si="1"/>
        <v>0.32653061224489793</v>
      </c>
      <c r="H16" s="11">
        <f t="shared" si="2"/>
        <v>-4.5068065135961399E-4</v>
      </c>
      <c r="I16" s="11">
        <f t="shared" si="3"/>
        <v>4.5068065135961399E-4</v>
      </c>
    </row>
    <row r="17" spans="1:9" ht="20" thickBot="1" x14ac:dyDescent="0.25">
      <c r="A17" s="6">
        <v>16</v>
      </c>
      <c r="B17" s="7">
        <v>25</v>
      </c>
      <c r="C17" s="9">
        <f t="shared" si="0"/>
        <v>400</v>
      </c>
      <c r="E17" s="11">
        <v>59</v>
      </c>
      <c r="F17" s="11" cm="1">
        <f t="array" ref="F17">SUM(1/(E17 - _xlfn.SEQUENCE($B$23)))</f>
        <v>0.31951178709435935</v>
      </c>
      <c r="G17" s="11">
        <f t="shared" si="1"/>
        <v>0.32</v>
      </c>
      <c r="H17" s="11">
        <f t="shared" si="2"/>
        <v>-4.8821290564066144E-4</v>
      </c>
      <c r="I17" s="11">
        <f t="shared" si="3"/>
        <v>4.8821290564066144E-4</v>
      </c>
    </row>
    <row r="18" spans="1:9" x14ac:dyDescent="0.2">
      <c r="A18" s="10"/>
      <c r="B18" s="10"/>
      <c r="E18" s="11">
        <v>60</v>
      </c>
      <c r="F18" s="11" cm="1">
        <f t="array" ref="F18">SUM(1/(E18 - _xlfn.SEQUENCE($B$23)))</f>
        <v>0.31320512568324388</v>
      </c>
      <c r="G18" s="11">
        <f t="shared" si="1"/>
        <v>0.31372549019607843</v>
      </c>
      <c r="H18" s="11">
        <f t="shared" si="2"/>
        <v>-5.2036451283454799E-4</v>
      </c>
      <c r="I18" s="11">
        <f t="shared" si="3"/>
        <v>5.2036451283454799E-4</v>
      </c>
    </row>
    <row r="19" spans="1:9" x14ac:dyDescent="0.2">
      <c r="A19" s="10"/>
      <c r="B19" s="10"/>
    </row>
    <row r="20" spans="1:9" x14ac:dyDescent="0.2">
      <c r="A20" s="10"/>
      <c r="B20" s="10"/>
    </row>
    <row r="21" spans="1:9" x14ac:dyDescent="0.2">
      <c r="A21" s="10"/>
      <c r="B21" s="10"/>
    </row>
    <row r="22" spans="1:9" ht="15.75" customHeight="1" x14ac:dyDescent="0.2">
      <c r="A22" s="18" t="s">
        <v>142</v>
      </c>
      <c r="B22" s="18"/>
    </row>
    <row r="23" spans="1:9" ht="20" x14ac:dyDescent="0.2">
      <c r="A23" s="10" t="s">
        <v>144</v>
      </c>
      <c r="B23" s="10">
        <v>16</v>
      </c>
    </row>
    <row r="24" spans="1:9" x14ac:dyDescent="0.2">
      <c r="A24" s="18" t="s">
        <v>146</v>
      </c>
      <c r="B24" s="18"/>
    </row>
    <row r="25" spans="1:9" x14ac:dyDescent="0.2">
      <c r="A25" s="9" t="s">
        <v>147</v>
      </c>
      <c r="B25" s="9">
        <f>SUM(B2:B21)</f>
        <v>246</v>
      </c>
    </row>
    <row r="26" spans="1:9" x14ac:dyDescent="0.2">
      <c r="A26" s="18" t="s">
        <v>149</v>
      </c>
      <c r="B26" s="18"/>
    </row>
    <row r="27" spans="1:9" x14ac:dyDescent="0.2">
      <c r="A27" s="9" t="s">
        <v>149</v>
      </c>
      <c r="B27" s="9">
        <f>SUM(C2:C21)</f>
        <v>2510</v>
      </c>
    </row>
    <row r="28" spans="1:9" x14ac:dyDescent="0.2">
      <c r="A28" s="18" t="s">
        <v>150</v>
      </c>
      <c r="B28" s="18"/>
    </row>
    <row r="29" spans="1:9" x14ac:dyDescent="0.2">
      <c r="A29" s="9" t="s">
        <v>150</v>
      </c>
      <c r="B29" s="9">
        <v>9</v>
      </c>
    </row>
    <row r="30" spans="1:9" x14ac:dyDescent="0.2">
      <c r="A30" s="18" t="s">
        <v>151</v>
      </c>
      <c r="B30" s="18"/>
    </row>
    <row r="31" spans="1:9" x14ac:dyDescent="0.2">
      <c r="A31" s="9" t="s">
        <v>151</v>
      </c>
      <c r="B31" s="9">
        <f>B23/((M5*B25)-B27)</f>
        <v>1.5942606616181746E-3</v>
      </c>
    </row>
    <row r="32" spans="1:9" x14ac:dyDescent="0.2">
      <c r="A32" s="16" t="s">
        <v>152</v>
      </c>
      <c r="B32" s="16"/>
    </row>
    <row r="33" spans="1:2" x14ac:dyDescent="0.2">
      <c r="A33" s="9" t="s">
        <v>153</v>
      </c>
      <c r="B33" s="9">
        <f>(1/B31)*SUM(J2:J21)</f>
        <v>0</v>
      </c>
    </row>
    <row r="34" spans="1:2" x14ac:dyDescent="0.2">
      <c r="A34" s="17" t="s">
        <v>122</v>
      </c>
      <c r="B34" s="17"/>
    </row>
    <row r="35" spans="1:2" x14ac:dyDescent="0.2">
      <c r="A35" s="9" t="s">
        <v>111</v>
      </c>
      <c r="B35" s="9">
        <f>EXP(-B31*(M5-(B23-1)))</f>
        <v>0.94422255442359004</v>
      </c>
    </row>
  </sheetData>
  <mergeCells count="8">
    <mergeCell ref="L2:M2"/>
    <mergeCell ref="A32:B32"/>
    <mergeCell ref="A34:B34"/>
    <mergeCell ref="A22:B22"/>
    <mergeCell ref="A24:B24"/>
    <mergeCell ref="A26:B26"/>
    <mergeCell ref="A28:B28"/>
    <mergeCell ref="A30:B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BFB3-D0EA-4C94-8687-CB2C62815A75}">
  <sheetPr>
    <tabColor rgb="FFFF0000"/>
  </sheetPr>
  <dimension ref="A1:D11"/>
  <sheetViews>
    <sheetView workbookViewId="0">
      <selection activeCell="D2" sqref="D2:D11"/>
    </sheetView>
  </sheetViews>
  <sheetFormatPr baseColWidth="10" defaultColWidth="9.1640625" defaultRowHeight="15" x14ac:dyDescent="0.2"/>
  <cols>
    <col min="1" max="1" width="9.1640625" style="1" customWidth="1"/>
    <col min="2" max="16384" width="9.1640625" style="1"/>
  </cols>
  <sheetData>
    <row r="1" spans="1:4" x14ac:dyDescent="0.2">
      <c r="A1" s="15" t="s">
        <v>154</v>
      </c>
      <c r="B1" s="15"/>
      <c r="C1" s="15"/>
      <c r="D1" s="15"/>
    </row>
    <row r="2" spans="1:4" ht="16" x14ac:dyDescent="0.2">
      <c r="A2" s="1" t="s">
        <v>115</v>
      </c>
      <c r="B2" s="1">
        <f>B5*EXP((B4*B11)/(B3*B5))</f>
        <v>682.93902094076623</v>
      </c>
      <c r="C2" s="15" t="s">
        <v>155</v>
      </c>
      <c r="D2" s="15">
        <f>EXP(-(90/B2))</f>
        <v>0.87653086468866348</v>
      </c>
    </row>
    <row r="3" spans="1:4" ht="16" x14ac:dyDescent="0.2">
      <c r="A3" s="1" t="s">
        <v>113</v>
      </c>
      <c r="B3" s="1">
        <v>20</v>
      </c>
      <c r="C3" s="15"/>
      <c r="D3" s="15"/>
    </row>
    <row r="4" spans="1:4" ht="16" x14ac:dyDescent="0.2">
      <c r="A4" s="1" t="s">
        <v>114</v>
      </c>
      <c r="B4" s="1">
        <v>12</v>
      </c>
      <c r="C4" s="15"/>
      <c r="D4" s="15"/>
    </row>
    <row r="5" spans="1:4" ht="16" x14ac:dyDescent="0.2">
      <c r="A5" s="1" t="s">
        <v>156</v>
      </c>
      <c r="B5" s="1">
        <f>1/(B6*B7*B8)</f>
        <v>17.303889255108771</v>
      </c>
      <c r="C5" s="15"/>
      <c r="D5" s="15"/>
    </row>
    <row r="6" spans="1:4" ht="16" x14ac:dyDescent="0.2">
      <c r="A6" s="1" t="s">
        <v>157</v>
      </c>
      <c r="B6" s="1">
        <v>20</v>
      </c>
      <c r="C6" s="15"/>
      <c r="D6" s="15"/>
    </row>
    <row r="7" spans="1:4" ht="16" x14ac:dyDescent="0.2">
      <c r="A7" s="1" t="s">
        <v>151</v>
      </c>
      <c r="B7" s="1">
        <f>3.034*10^-7</f>
        <v>3.0339999999999998E-7</v>
      </c>
      <c r="C7" s="15"/>
      <c r="D7" s="15"/>
    </row>
    <row r="8" spans="1:4" ht="16" x14ac:dyDescent="0.2">
      <c r="A8" s="1" t="s">
        <v>158</v>
      </c>
      <c r="B8" s="1">
        <f>B9/B10</f>
        <v>9523.8095238095229</v>
      </c>
      <c r="C8" s="15"/>
      <c r="D8" s="15"/>
    </row>
    <row r="9" spans="1:4" ht="16" x14ac:dyDescent="0.2">
      <c r="A9" s="1" t="s">
        <v>159</v>
      </c>
      <c r="B9" s="1">
        <f>10^7</f>
        <v>10000000</v>
      </c>
      <c r="C9" s="15"/>
      <c r="D9" s="15"/>
    </row>
    <row r="10" spans="1:4" ht="16" x14ac:dyDescent="0.2">
      <c r="A10" s="1" t="s">
        <v>148</v>
      </c>
      <c r="B10" s="1">
        <v>1050</v>
      </c>
      <c r="C10" s="15"/>
      <c r="D10" s="15"/>
    </row>
    <row r="11" spans="1:4" ht="16" x14ac:dyDescent="0.2">
      <c r="A11" s="1" t="s">
        <v>160</v>
      </c>
      <c r="B11" s="1">
        <v>106</v>
      </c>
      <c r="C11" s="15"/>
      <c r="D11" s="15"/>
    </row>
  </sheetData>
  <mergeCells count="3">
    <mergeCell ref="A1:D1"/>
    <mergeCell ref="C2:C11"/>
    <mergeCell ref="D2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Лист1</vt:lpstr>
      <vt:lpstr>Лист3</vt:lpstr>
      <vt:lpstr>МОДЕЛЬ СЛОЖНОСТИ</vt:lpstr>
      <vt:lpstr>ШИКА-ВОЛЬВЕРТОНА</vt:lpstr>
      <vt:lpstr>ДЖЕЛИНСКИЙ-МОРАНДА</vt:lpstr>
      <vt:lpstr>МУС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Raman Pantus</cp:lastModifiedBy>
  <cp:revision/>
  <dcterms:created xsi:type="dcterms:W3CDTF">2025-05-08T17:04:53Z</dcterms:created>
  <dcterms:modified xsi:type="dcterms:W3CDTF">2025-05-12T05:08:33Z</dcterms:modified>
  <cp:category/>
  <cp:contentStatus/>
</cp:coreProperties>
</file>