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esktop\"/>
    </mc:Choice>
  </mc:AlternateContent>
  <xr:revisionPtr revIDLastSave="0" documentId="8_{DE432E3D-B03A-4E56-AE1A-88D3F49136FF}" xr6:coauthVersionLast="45" xr6:coauthVersionMax="45" xr10:uidLastSave="{00000000-0000-0000-0000-000000000000}"/>
  <bookViews>
    <workbookView xWindow="-108" yWindow="-108" windowWidth="23256" windowHeight="12576" xr2:uid="{B425FA74-8BDC-4695-B70C-1DD272E0A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1" l="1"/>
  <c r="C64" i="1"/>
  <c r="C63" i="1"/>
  <c r="C81" i="1"/>
  <c r="D81" i="1" s="1"/>
  <c r="L48" i="1"/>
  <c r="K48" i="1"/>
  <c r="L47" i="1"/>
  <c r="K47" i="1"/>
  <c r="L46" i="1"/>
  <c r="K46" i="1"/>
  <c r="L45" i="1"/>
  <c r="K45" i="1"/>
  <c r="F48" i="1"/>
  <c r="F47" i="1"/>
  <c r="F46" i="1"/>
  <c r="F45" i="1"/>
  <c r="E48" i="1"/>
  <c r="E47" i="1"/>
  <c r="E46" i="1"/>
  <c r="E45" i="1"/>
  <c r="D57" i="1"/>
  <c r="D56" i="1"/>
  <c r="D55" i="1"/>
  <c r="D54" i="1"/>
  <c r="F7" i="1"/>
  <c r="H28" i="1" s="1"/>
  <c r="F6" i="1"/>
  <c r="H23" i="1" s="1"/>
  <c r="F5" i="1"/>
  <c r="H17" i="1" s="1"/>
  <c r="H24" i="1" l="1"/>
  <c r="D63" i="1"/>
  <c r="D64" i="1"/>
  <c r="H30" i="1"/>
  <c r="K39" i="1" s="1"/>
  <c r="C39" i="1" s="1"/>
  <c r="H19" i="1"/>
  <c r="K35" i="1" s="1"/>
  <c r="C35" i="1" s="1"/>
  <c r="H26" i="1"/>
  <c r="E54" i="1"/>
  <c r="F63" i="1" s="1"/>
  <c r="E57" i="1"/>
  <c r="F64" i="1" s="1"/>
  <c r="E55" i="1"/>
  <c r="E56" i="1"/>
  <c r="L38" i="1" l="1"/>
  <c r="L37" i="1"/>
  <c r="L26" i="1"/>
  <c r="K38" i="1" s="1"/>
  <c r="C38" i="1" s="1"/>
  <c r="F80" i="1" s="1"/>
  <c r="F82" i="1" s="1"/>
  <c r="K26" i="1"/>
  <c r="E63" i="1"/>
  <c r="G63" i="1" s="1"/>
  <c r="C78" i="1" s="1"/>
  <c r="G80" i="1"/>
  <c r="C80" i="1"/>
  <c r="C82" i="1" s="1"/>
  <c r="K40" i="1"/>
  <c r="C40" i="1" s="1"/>
  <c r="H80" i="1" s="1"/>
  <c r="H81" i="1" s="1"/>
  <c r="G81" i="1" s="1"/>
  <c r="K36" i="1"/>
  <c r="C36" i="1" s="1"/>
  <c r="D80" i="1" s="1"/>
  <c r="D82" i="1" s="1"/>
  <c r="F54" i="1"/>
  <c r="G55" i="1" s="1"/>
  <c r="H55" i="1" s="1"/>
  <c r="F56" i="1"/>
  <c r="G57" i="1" s="1"/>
  <c r="H57" i="1" s="1"/>
  <c r="K37" i="1" l="1"/>
  <c r="C37" i="1" s="1"/>
  <c r="E80" i="1" s="1"/>
  <c r="E82" i="1" s="1"/>
  <c r="D84" i="1" s="1"/>
  <c r="G82" i="1"/>
  <c r="F84" i="1" s="1"/>
  <c r="M36" i="1"/>
  <c r="M35" i="1"/>
  <c r="I63" i="1"/>
  <c r="H63" i="1"/>
  <c r="G64" i="1"/>
  <c r="H64" i="1" s="1"/>
  <c r="H82" i="1"/>
  <c r="E76" i="1"/>
  <c r="E85" i="1"/>
  <c r="G76" i="1"/>
  <c r="G85" i="1"/>
  <c r="G54" i="1"/>
  <c r="H54" i="1" s="1"/>
  <c r="G56" i="1"/>
  <c r="H56" i="1" s="1"/>
  <c r="M37" i="1" l="1"/>
  <c r="C69" i="1" s="1"/>
  <c r="C70" i="1" s="1"/>
  <c r="C79" i="1" s="1"/>
  <c r="I64" i="1"/>
  <c r="I65" i="1" s="1"/>
  <c r="J64" i="1" s="1"/>
  <c r="H77" i="1" s="1"/>
  <c r="H78" i="1"/>
  <c r="E87" i="1"/>
  <c r="G87" i="1" s="1"/>
  <c r="D76" i="1"/>
  <c r="D85" i="1"/>
  <c r="D87" i="1" s="1"/>
  <c r="F76" i="1"/>
  <c r="F85" i="1"/>
  <c r="J63" i="1" l="1"/>
  <c r="C77" i="1" s="1"/>
  <c r="H88" i="1"/>
  <c r="F87" i="1"/>
  <c r="C88" i="1" l="1"/>
  <c r="E89" i="1" s="1"/>
  <c r="D89" i="1" l="1"/>
  <c r="G89" i="1"/>
  <c r="F89" i="1"/>
  <c r="C90" i="1" l="1"/>
  <c r="D91" i="1" s="1"/>
  <c r="H90" i="1"/>
  <c r="E91" i="1" l="1"/>
  <c r="G91" i="1" s="1"/>
  <c r="F91" i="1" l="1"/>
  <c r="C92" i="1"/>
  <c r="H92" i="1"/>
  <c r="E93" i="1" l="1"/>
  <c r="G93" i="1" s="1"/>
  <c r="D93" i="1"/>
  <c r="F93" i="1" l="1"/>
  <c r="H94" i="1"/>
  <c r="C94" i="1"/>
  <c r="D95" i="1" l="1"/>
  <c r="E95" i="1"/>
  <c r="G95" i="1" s="1"/>
  <c r="C96" i="1" l="1"/>
  <c r="H96" i="1"/>
  <c r="F95" i="1"/>
  <c r="E97" i="1" l="1"/>
  <c r="F97" i="1" s="1"/>
  <c r="D97" i="1"/>
  <c r="G97" i="1" l="1"/>
  <c r="H98" i="1" s="1"/>
  <c r="C98" i="1" l="1"/>
  <c r="E99" i="1" s="1"/>
  <c r="G99" i="1" s="1"/>
  <c r="D99" i="1" l="1"/>
  <c r="H100" i="1" s="1"/>
  <c r="F99" i="1"/>
  <c r="C100" i="1" l="1"/>
  <c r="D101" i="1" s="1"/>
  <c r="E101" i="1" l="1"/>
  <c r="G101" i="1" s="1"/>
  <c r="H102" i="1" s="1"/>
  <c r="F101" i="1" l="1"/>
  <c r="C102" i="1"/>
  <c r="E103" i="1" l="1"/>
  <c r="F103" i="1" s="1"/>
  <c r="D103" i="1"/>
  <c r="G103" i="1" l="1"/>
  <c r="C104" i="1" s="1"/>
  <c r="E105" i="1" s="1"/>
  <c r="H104" i="1" l="1"/>
  <c r="G105" i="1" s="1"/>
  <c r="D105" i="1"/>
  <c r="C106" i="1" l="1"/>
  <c r="F105" i="1"/>
  <c r="H106" i="1"/>
  <c r="E107" i="1" l="1"/>
  <c r="G107" i="1" s="1"/>
  <c r="D107" i="1"/>
  <c r="F107" i="1" l="1"/>
  <c r="H108" i="1"/>
  <c r="C108" i="1"/>
  <c r="E109" i="1" l="1"/>
  <c r="G109" i="1" s="1"/>
  <c r="D109" i="1"/>
  <c r="F109" i="1" l="1"/>
  <c r="D115" i="1" s="1"/>
  <c r="E123" i="1" s="1"/>
  <c r="H110" i="1"/>
  <c r="D116" i="1" s="1"/>
  <c r="E124" i="1" s="1"/>
  <c r="C110" i="1"/>
  <c r="D113" i="1" s="1"/>
  <c r="E121" i="1" s="1"/>
  <c r="D112" i="1" l="1"/>
  <c r="E120" i="1" s="1"/>
  <c r="D117" i="1"/>
  <c r="E125" i="1" s="1"/>
  <c r="D114" i="1"/>
  <c r="E122" i="1" s="1"/>
</calcChain>
</file>

<file path=xl/sharedStrings.xml><?xml version="1.0" encoding="utf-8"?>
<sst xmlns="http://schemas.openxmlformats.org/spreadsheetml/2006/main" count="144" uniqueCount="97">
  <si>
    <t>INPUT</t>
  </si>
  <si>
    <t>CORDINATES</t>
  </si>
  <si>
    <t>x1</t>
  </si>
  <si>
    <t>y1</t>
  </si>
  <si>
    <t>x2</t>
  </si>
  <si>
    <t>y2</t>
  </si>
  <si>
    <t>x3</t>
  </si>
  <si>
    <t>y3</t>
  </si>
  <si>
    <t>x4</t>
  </si>
  <si>
    <t>y4</t>
  </si>
  <si>
    <t>Point load</t>
  </si>
  <si>
    <t>UDL</t>
  </si>
  <si>
    <t>LOADS</t>
  </si>
  <si>
    <t>At AB</t>
  </si>
  <si>
    <t>Distance from A</t>
  </si>
  <si>
    <t xml:space="preserve">Distance of start from A </t>
  </si>
  <si>
    <t>span</t>
  </si>
  <si>
    <t>Distance from B</t>
  </si>
  <si>
    <t>length of AB</t>
  </si>
  <si>
    <t>length of BC</t>
  </si>
  <si>
    <t>length of CD</t>
  </si>
  <si>
    <t>At BC</t>
  </si>
  <si>
    <t>Distance of start from B</t>
  </si>
  <si>
    <t>Distance from C</t>
  </si>
  <si>
    <t>At CD</t>
  </si>
  <si>
    <t>Distance of start from C</t>
  </si>
  <si>
    <t>Distance from D</t>
  </si>
  <si>
    <t>FEM</t>
  </si>
  <si>
    <t>M AB</t>
  </si>
  <si>
    <t>FEM Calculations</t>
  </si>
  <si>
    <t>M BA</t>
  </si>
  <si>
    <t>M BC</t>
  </si>
  <si>
    <t>M CB</t>
  </si>
  <si>
    <t>M CD</t>
  </si>
  <si>
    <t>M DC</t>
  </si>
  <si>
    <t>Supports</t>
  </si>
  <si>
    <t>Hinge</t>
  </si>
  <si>
    <t>Fixed</t>
  </si>
  <si>
    <t>No. of reactions</t>
  </si>
  <si>
    <t>Joint A</t>
  </si>
  <si>
    <t>Roller</t>
  </si>
  <si>
    <t>Free</t>
  </si>
  <si>
    <t xml:space="preserve">input " Y " </t>
  </si>
  <si>
    <t>Distribution factor</t>
  </si>
  <si>
    <t>Joints</t>
  </si>
  <si>
    <t>Members</t>
  </si>
  <si>
    <t>Relative stiffness</t>
  </si>
  <si>
    <t>Total stiffness</t>
  </si>
  <si>
    <t>DF</t>
  </si>
  <si>
    <t>B</t>
  </si>
  <si>
    <t>C</t>
  </si>
  <si>
    <t>BA</t>
  </si>
  <si>
    <t>BC</t>
  </si>
  <si>
    <t>CB</t>
  </si>
  <si>
    <t>CD</t>
  </si>
  <si>
    <t>I coefficient</t>
  </si>
  <si>
    <t>AB</t>
  </si>
  <si>
    <t>Y</t>
  </si>
  <si>
    <t>Joint D</t>
  </si>
  <si>
    <t>y</t>
  </si>
  <si>
    <t>R.S. Coefficient</t>
  </si>
  <si>
    <t>R.S. Coefficients</t>
  </si>
  <si>
    <t>RF</t>
  </si>
  <si>
    <t>DC</t>
  </si>
  <si>
    <t>BAL</t>
  </si>
  <si>
    <t>SUM</t>
  </si>
  <si>
    <t>1st iteration</t>
  </si>
  <si>
    <t>2nd iteration</t>
  </si>
  <si>
    <t>3rd iteration</t>
  </si>
  <si>
    <t>4th iteration</t>
  </si>
  <si>
    <t>5th iteration</t>
  </si>
  <si>
    <t>6th iteration</t>
  </si>
  <si>
    <t>7th iteration</t>
  </si>
  <si>
    <t>8th iteration</t>
  </si>
  <si>
    <t>9th iteration</t>
  </si>
  <si>
    <t>10th iteration</t>
  </si>
  <si>
    <t>Displacement factor</t>
  </si>
  <si>
    <t>member</t>
  </si>
  <si>
    <t>KC</t>
  </si>
  <si>
    <t>m</t>
  </si>
  <si>
    <t>point moment</t>
  </si>
  <si>
    <t xml:space="preserve">Distance from A </t>
  </si>
  <si>
    <t>free end load</t>
  </si>
  <si>
    <t>K</t>
  </si>
  <si>
    <t>mKC*C</t>
  </si>
  <si>
    <t>Le</t>
  </si>
  <si>
    <t>Ler</t>
  </si>
  <si>
    <t>C= Ler/Le</t>
  </si>
  <si>
    <t>DCF</t>
  </si>
  <si>
    <t>Story Moment</t>
  </si>
  <si>
    <t>End Reactions</t>
  </si>
  <si>
    <t>P*Ler/3</t>
  </si>
  <si>
    <t>Story moment</t>
  </si>
  <si>
    <t>11th iteration</t>
  </si>
  <si>
    <t>12th iteration</t>
  </si>
  <si>
    <t xml:space="preserve">Table </t>
  </si>
  <si>
    <r>
      <rPr>
        <sz val="14"/>
        <color theme="9" tint="-0.499984740745262"/>
        <rFont val="Times New Roman"/>
        <family val="1"/>
      </rPr>
      <t>KANI METHOD PROGRAM (for 3 member sway and non sway)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</si>
</sst>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9" tint="-0.499984740745262"/>
      <name val="Times New Roman"/>
      <family val="1"/>
    </font>
    <font>
      <sz val="11"/>
      <color theme="1"/>
      <name val="Calibri"/>
      <family val="1"/>
      <scheme val="minor"/>
    </font>
    <font>
      <b/>
      <sz val="11"/>
      <color rgb="FF3F3F76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3" borderId="3" applyNumberFormat="0" applyAlignment="0" applyProtection="0"/>
    <xf numFmtId="0" fontId="5" fillId="4" borderId="4" applyNumberFormat="0" applyAlignment="0" applyProtection="0"/>
    <xf numFmtId="0" fontId="6" fillId="4" borderId="3" applyNumberFormat="0" applyAlignment="0" applyProtection="0"/>
    <xf numFmtId="0" fontId="7" fillId="0" borderId="5" applyNumberFormat="0" applyFill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>
      <alignment horizont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4" borderId="4" xfId="5"/>
    <xf numFmtId="0" fontId="7" fillId="0" borderId="5" xfId="7"/>
    <xf numFmtId="0" fontId="1" fillId="10" borderId="0" xfId="11" applyAlignment="1">
      <alignment horizontal="center"/>
    </xf>
    <xf numFmtId="0" fontId="6" fillId="4" borderId="3" xfId="6"/>
    <xf numFmtId="0" fontId="1" fillId="7" borderId="0" xfId="8"/>
    <xf numFmtId="0" fontId="1" fillId="7" borderId="0" xfId="8" applyAlignment="1">
      <alignment horizontal="right"/>
    </xf>
    <xf numFmtId="0" fontId="3" fillId="0" borderId="2" xfId="2" applyAlignment="1">
      <alignment horizontal="center"/>
    </xf>
    <xf numFmtId="0" fontId="3" fillId="0" borderId="2" xfId="2" applyAlignment="1">
      <alignment horizontal="center" vertical="center"/>
    </xf>
    <xf numFmtId="0" fontId="3" fillId="6" borderId="2" xfId="2" applyFill="1" applyAlignment="1">
      <alignment horizontal="center"/>
    </xf>
    <xf numFmtId="0" fontId="2" fillId="2" borderId="1" xfId="1" applyFill="1" applyAlignment="1">
      <alignment horizontal="center"/>
    </xf>
    <xf numFmtId="0" fontId="2" fillId="5" borderId="1" xfId="1" applyFill="1" applyAlignment="1">
      <alignment horizontal="center"/>
    </xf>
    <xf numFmtId="0" fontId="3" fillId="2" borderId="2" xfId="2" applyFill="1"/>
    <xf numFmtId="0" fontId="2" fillId="11" borderId="1" xfId="1" applyFill="1" applyAlignment="1">
      <alignment horizontal="center"/>
    </xf>
    <xf numFmtId="0" fontId="3" fillId="0" borderId="2" xfId="2" applyAlignment="1">
      <alignment horizontal="center"/>
    </xf>
    <xf numFmtId="0" fontId="10" fillId="0" borderId="0" xfId="3" applyFont="1" applyAlignment="1">
      <alignment horizontal="center"/>
    </xf>
    <xf numFmtId="0" fontId="2" fillId="0" borderId="1" xfId="1" applyAlignment="1">
      <alignment horizontal="center"/>
    </xf>
    <xf numFmtId="0" fontId="0" fillId="0" borderId="0" xfId="0" applyFont="1"/>
    <xf numFmtId="0" fontId="9" fillId="8" borderId="0" xfId="9"/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4" fillId="3" borderId="3" xfId="4" applyAlignment="1">
      <alignment horizontal="center"/>
    </xf>
    <xf numFmtId="0" fontId="4" fillId="3" borderId="3" xfId="4"/>
    <xf numFmtId="0" fontId="1" fillId="9" borderId="0" xfId="10"/>
    <xf numFmtId="0" fontId="0" fillId="0" borderId="0" xfId="0" applyFont="1" applyAlignment="1"/>
    <xf numFmtId="0" fontId="9" fillId="0" borderId="0" xfId="0" applyFont="1" applyAlignment="1"/>
    <xf numFmtId="0" fontId="14" fillId="0" borderId="0" xfId="0" applyFont="1" applyAlignment="1">
      <alignment horizontal="center" vertical="center"/>
    </xf>
    <xf numFmtId="0" fontId="15" fillId="3" borderId="3" xfId="4" applyFont="1" applyAlignment="1">
      <alignment horizontal="center"/>
    </xf>
    <xf numFmtId="0" fontId="5" fillId="4" borderId="4" xfId="5" applyAlignment="1">
      <alignment horizontal="center"/>
    </xf>
    <xf numFmtId="0" fontId="16" fillId="0" borderId="0" xfId="0" applyFont="1"/>
  </cellXfs>
  <cellStyles count="13">
    <cellStyle name="20% - Accent4" xfId="11" builtinId="42"/>
    <cellStyle name="40% - Accent2" xfId="8" builtinId="35"/>
    <cellStyle name="60% - Accent3" xfId="10" builtinId="40"/>
    <cellStyle name="Accent3" xfId="9" builtinId="37"/>
    <cellStyle name="Calculation" xfId="6" builtinId="22"/>
    <cellStyle name="Heading 2" xfId="1" builtinId="17"/>
    <cellStyle name="Heading 3" xfId="2" builtinId="18"/>
    <cellStyle name="Heading 4" xfId="3" builtinId="19"/>
    <cellStyle name="Input" xfId="4" builtinId="20"/>
    <cellStyle name="Linked Cell" xfId="7" builtinId="24"/>
    <cellStyle name="Normal" xfId="0" builtinId="0"/>
    <cellStyle name="Output" xfId="5" builtinId="21"/>
    <cellStyle name="Style 1" xfId="12" xr:uid="{322708F2-5032-470C-B9AA-8E7F5838D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Sheet1!$D$120:$D$125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Sheet1!$E$120:$E$125</c:f>
              <c:numCache>
                <c:formatCode>General</c:formatCode>
                <c:ptCount val="6"/>
                <c:pt idx="0">
                  <c:v>-558.21333333095515</c:v>
                </c:pt>
                <c:pt idx="1">
                  <c:v>1261.6266666619103</c:v>
                </c:pt>
                <c:pt idx="2">
                  <c:v>1261.6266666690444</c:v>
                </c:pt>
                <c:pt idx="3">
                  <c:v>96.799999999999955</c:v>
                </c:pt>
                <c:pt idx="4">
                  <c:v>96.799999999999969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C3-444D-9AE7-61BDD9770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588896"/>
        <c:axId val="430592640"/>
      </c:scatterChart>
      <c:valAx>
        <c:axId val="43058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92640"/>
        <c:crosses val="autoZero"/>
        <c:crossBetween val="midCat"/>
      </c:valAx>
      <c:valAx>
        <c:axId val="4305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8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112</xdr:row>
      <xdr:rowOff>181336</xdr:rowOff>
    </xdr:from>
    <xdr:to>
      <xdr:col>10</xdr:col>
      <xdr:colOff>877747</xdr:colOff>
      <xdr:row>130</xdr:row>
      <xdr:rowOff>9645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9A671B-3E40-42F5-AD9A-8B67C5523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278408</xdr:colOff>
      <xdr:row>121</xdr:row>
      <xdr:rowOff>71336</xdr:rowOff>
    </xdr:from>
    <xdr:ext cx="272703" cy="256737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7524F32-F3AC-4BBB-B43C-889711126551}"/>
            </a:ext>
          </a:extLst>
        </xdr:cNvPr>
        <xdr:cNvSpPr/>
      </xdr:nvSpPr>
      <xdr:spPr>
        <a:xfrm>
          <a:off x="7445066" y="22940982"/>
          <a:ext cx="272703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A</a:t>
          </a:r>
        </a:p>
      </xdr:txBody>
    </xdr:sp>
    <xdr:clientData/>
  </xdr:oneCellAnchor>
  <xdr:oneCellAnchor>
    <xdr:from>
      <xdr:col>8</xdr:col>
      <xdr:colOff>1190251</xdr:colOff>
      <xdr:row>121</xdr:row>
      <xdr:rowOff>100273</xdr:rowOff>
    </xdr:from>
    <xdr:ext cx="262381" cy="256737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FE6342E-F02D-4693-9F2C-7BC652A88EC7}"/>
            </a:ext>
          </a:extLst>
        </xdr:cNvPr>
        <xdr:cNvSpPr/>
      </xdr:nvSpPr>
      <xdr:spPr>
        <a:xfrm>
          <a:off x="9466150" y="22969919"/>
          <a:ext cx="262381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C</a:t>
          </a:r>
        </a:p>
      </xdr:txBody>
    </xdr:sp>
    <xdr:clientData/>
  </xdr:oneCellAnchor>
  <xdr:oneCellAnchor>
    <xdr:from>
      <xdr:col>8</xdr:col>
      <xdr:colOff>175383</xdr:colOff>
      <xdr:row>121</xdr:row>
      <xdr:rowOff>80982</xdr:rowOff>
    </xdr:from>
    <xdr:ext cx="266548" cy="256737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55D2E6D-2BC7-47CD-9E25-C8741FE06217}"/>
            </a:ext>
          </a:extLst>
        </xdr:cNvPr>
        <xdr:cNvSpPr/>
      </xdr:nvSpPr>
      <xdr:spPr>
        <a:xfrm>
          <a:off x="8451282" y="22950628"/>
          <a:ext cx="266548" cy="25673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B</a:t>
          </a:r>
        </a:p>
      </xdr:txBody>
    </xdr:sp>
    <xdr:clientData/>
  </xdr:oneCellAnchor>
  <xdr:oneCellAnchor>
    <xdr:from>
      <xdr:col>10</xdr:col>
      <xdr:colOff>168650</xdr:colOff>
      <xdr:row>121</xdr:row>
      <xdr:rowOff>109919</xdr:rowOff>
    </xdr:from>
    <xdr:ext cx="280013" cy="264560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15CD717-336F-41D2-8D7D-D13BDB396046}"/>
            </a:ext>
          </a:extLst>
        </xdr:cNvPr>
        <xdr:cNvSpPr/>
      </xdr:nvSpPr>
      <xdr:spPr>
        <a:xfrm>
          <a:off x="10614802" y="22979565"/>
          <a:ext cx="280013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1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8D7E-0232-4B5A-A1F0-B611717C10C6}">
  <dimension ref="A2:S126"/>
  <sheetViews>
    <sheetView tabSelected="1" zoomScale="79" workbookViewId="0">
      <selection activeCell="E10" sqref="E10"/>
    </sheetView>
  </sheetViews>
  <sheetFormatPr defaultRowHeight="14.4" x14ac:dyDescent="0.3"/>
  <cols>
    <col min="1" max="1" width="2.5546875" customWidth="1"/>
    <col min="2" max="2" width="13" customWidth="1"/>
    <col min="3" max="3" width="15.33203125" customWidth="1"/>
    <col min="4" max="4" width="18.6640625" customWidth="1"/>
    <col min="5" max="5" width="22.5546875" customWidth="1"/>
    <col min="6" max="6" width="17.109375" customWidth="1"/>
    <col min="7" max="7" width="15.33203125" customWidth="1"/>
    <col min="8" max="8" width="16.21875" customWidth="1"/>
    <col min="9" max="9" width="18.88671875" bestFit="1" customWidth="1"/>
    <col min="10" max="10" width="12.77734375" customWidth="1"/>
    <col min="11" max="11" width="21" customWidth="1"/>
    <col min="12" max="12" width="16.77734375" customWidth="1"/>
    <col min="13" max="13" width="19.6640625" customWidth="1"/>
  </cols>
  <sheetData>
    <row r="2" spans="1:17" ht="18" thickBot="1" x14ac:dyDescent="0.4">
      <c r="A2" s="33"/>
      <c r="B2" s="19" t="s">
        <v>0</v>
      </c>
      <c r="C2" s="19"/>
      <c r="D2" s="19"/>
      <c r="E2" s="19"/>
      <c r="F2" s="19"/>
      <c r="G2" s="19"/>
      <c r="H2" s="19"/>
      <c r="I2" s="19"/>
      <c r="J2" s="2"/>
      <c r="K2" s="37" t="s">
        <v>0</v>
      </c>
      <c r="L2" s="2"/>
      <c r="M2" s="2"/>
      <c r="N2" s="2"/>
      <c r="O2" s="2"/>
      <c r="P2" s="2"/>
      <c r="Q2" s="2"/>
    </row>
    <row r="3" spans="1:17" ht="18.600000000000001" thickTop="1" thickBot="1" x14ac:dyDescent="0.4">
      <c r="A3" s="33"/>
      <c r="B3" s="20" t="s">
        <v>1</v>
      </c>
      <c r="C3" s="20"/>
      <c r="D3" s="2"/>
      <c r="E3" s="2"/>
      <c r="H3" s="22" t="s">
        <v>55</v>
      </c>
      <c r="I3" s="22"/>
    </row>
    <row r="4" spans="1:17" x14ac:dyDescent="0.3">
      <c r="A4" s="33"/>
      <c r="B4" s="26" t="s">
        <v>2</v>
      </c>
      <c r="C4" s="31">
        <v>0</v>
      </c>
      <c r="H4" s="26" t="s">
        <v>56</v>
      </c>
      <c r="I4" s="31">
        <v>1</v>
      </c>
    </row>
    <row r="5" spans="1:17" x14ac:dyDescent="0.3">
      <c r="A5" s="33"/>
      <c r="B5" s="26" t="s">
        <v>3</v>
      </c>
      <c r="C5" s="31">
        <v>0</v>
      </c>
      <c r="E5" s="21" t="s">
        <v>18</v>
      </c>
      <c r="F5" s="21">
        <f>SQRT((C6-C4)*(C6-C4)+(C7-C5)*(C7-C5))</f>
        <v>8.8000000000000007</v>
      </c>
      <c r="H5" s="26" t="s">
        <v>52</v>
      </c>
      <c r="I5" s="31">
        <v>1</v>
      </c>
    </row>
    <row r="6" spans="1:17" x14ac:dyDescent="0.3">
      <c r="A6" s="33"/>
      <c r="B6" s="26" t="s">
        <v>4</v>
      </c>
      <c r="C6" s="31">
        <v>8.8000000000000007</v>
      </c>
      <c r="E6" s="21" t="s">
        <v>19</v>
      </c>
      <c r="F6" s="21">
        <f>SQRT((C8-C6)*(C8-C6)+(C9-C7)*(C9-C7))</f>
        <v>13.2</v>
      </c>
      <c r="H6" s="26" t="s">
        <v>54</v>
      </c>
      <c r="I6" s="31">
        <v>1</v>
      </c>
    </row>
    <row r="7" spans="1:17" x14ac:dyDescent="0.3">
      <c r="A7" s="33"/>
      <c r="B7" s="26" t="s">
        <v>5</v>
      </c>
      <c r="C7" s="31">
        <v>0</v>
      </c>
      <c r="E7" s="21" t="s">
        <v>20</v>
      </c>
      <c r="F7" s="21">
        <f>SQRT((C10-C8)*(C10-C8)+(C11-C9)*(C11-C9))</f>
        <v>4.3999999999999986</v>
      </c>
    </row>
    <row r="8" spans="1:17" x14ac:dyDescent="0.3">
      <c r="A8" s="33"/>
      <c r="B8" s="26" t="s">
        <v>6</v>
      </c>
      <c r="C8" s="31">
        <v>22</v>
      </c>
    </row>
    <row r="9" spans="1:17" x14ac:dyDescent="0.3">
      <c r="A9" s="33"/>
      <c r="B9" s="26" t="s">
        <v>7</v>
      </c>
      <c r="C9" s="31">
        <v>0</v>
      </c>
    </row>
    <row r="10" spans="1:17" x14ac:dyDescent="0.3">
      <c r="A10" s="33"/>
      <c r="B10" s="26" t="s">
        <v>8</v>
      </c>
      <c r="C10" s="31">
        <v>26.4</v>
      </c>
    </row>
    <row r="11" spans="1:17" ht="14.4" customHeight="1" x14ac:dyDescent="0.3">
      <c r="A11" s="33"/>
      <c r="B11" s="26" t="s">
        <v>9</v>
      </c>
      <c r="C11" s="31">
        <v>0</v>
      </c>
      <c r="J11" s="36" t="s">
        <v>96</v>
      </c>
      <c r="K11" s="36"/>
      <c r="L11" s="36"/>
      <c r="M11" s="36"/>
    </row>
    <row r="12" spans="1:17" ht="14.4" customHeight="1" x14ac:dyDescent="0.3">
      <c r="A12" s="33"/>
      <c r="J12" s="36"/>
      <c r="K12" s="36"/>
      <c r="L12" s="36"/>
      <c r="M12" s="36"/>
    </row>
    <row r="13" spans="1:17" x14ac:dyDescent="0.3">
      <c r="A13" s="33"/>
      <c r="J13" s="36"/>
      <c r="K13" s="36"/>
      <c r="L13" s="36"/>
      <c r="M13" s="36"/>
    </row>
    <row r="14" spans="1:17" ht="18" thickBot="1" x14ac:dyDescent="0.4">
      <c r="A14" s="33"/>
      <c r="B14" s="17" t="s">
        <v>12</v>
      </c>
      <c r="C14" s="17"/>
      <c r="D14" s="17"/>
      <c r="E14" s="17"/>
      <c r="F14" s="17"/>
      <c r="G14" s="17"/>
      <c r="H14" s="17"/>
      <c r="J14" s="3"/>
      <c r="K14" s="3"/>
      <c r="L14" s="3"/>
      <c r="M14" s="3"/>
    </row>
    <row r="15" spans="1:17" ht="15" thickTop="1" x14ac:dyDescent="0.3">
      <c r="A15" s="33"/>
      <c r="J15" s="3"/>
      <c r="K15" s="3"/>
      <c r="L15" s="3"/>
      <c r="M15" s="3"/>
    </row>
    <row r="16" spans="1:17" ht="15" thickBot="1" x14ac:dyDescent="0.35">
      <c r="A16" s="33"/>
      <c r="B16" s="18" t="s">
        <v>13</v>
      </c>
      <c r="J16" s="3"/>
      <c r="K16" s="3"/>
      <c r="L16" s="3"/>
      <c r="M16" s="3"/>
    </row>
    <row r="17" spans="1:19" x14ac:dyDescent="0.3">
      <c r="A17" s="33"/>
      <c r="C17" s="27" t="s">
        <v>10</v>
      </c>
      <c r="D17" s="31">
        <v>44</v>
      </c>
      <c r="E17" s="27" t="s">
        <v>14</v>
      </c>
      <c r="F17" s="31">
        <v>4.4000000000000004</v>
      </c>
      <c r="G17" s="27" t="s">
        <v>17</v>
      </c>
      <c r="H17" s="1">
        <f>F5-F17</f>
        <v>4.4000000000000004</v>
      </c>
    </row>
    <row r="18" spans="1:19" x14ac:dyDescent="0.3">
      <c r="A18" s="33"/>
      <c r="C18" s="27" t="s">
        <v>11</v>
      </c>
      <c r="D18" s="31"/>
      <c r="E18" s="27" t="s">
        <v>15</v>
      </c>
      <c r="F18" s="31"/>
      <c r="G18" s="27" t="s">
        <v>16</v>
      </c>
      <c r="H18" s="31"/>
    </row>
    <row r="19" spans="1:19" x14ac:dyDescent="0.3">
      <c r="A19" s="33"/>
      <c r="C19" s="27" t="s">
        <v>80</v>
      </c>
      <c r="D19" s="32"/>
      <c r="E19" s="27" t="s">
        <v>81</v>
      </c>
      <c r="F19" s="32"/>
      <c r="G19" s="27" t="s">
        <v>17</v>
      </c>
      <c r="H19" s="1">
        <f>F5-F19</f>
        <v>8.8000000000000007</v>
      </c>
    </row>
    <row r="20" spans="1:19" x14ac:dyDescent="0.3">
      <c r="A20" s="33"/>
      <c r="C20" s="27" t="s">
        <v>82</v>
      </c>
      <c r="D20" s="31"/>
      <c r="E20" s="28"/>
      <c r="G20" s="28"/>
    </row>
    <row r="21" spans="1:19" x14ac:dyDescent="0.3">
      <c r="A21" s="33"/>
      <c r="C21" s="28"/>
      <c r="E21" s="28"/>
      <c r="G21" s="28"/>
    </row>
    <row r="22" spans="1:19" ht="15" thickBot="1" x14ac:dyDescent="0.35">
      <c r="A22" s="33"/>
      <c r="B22" s="18" t="s">
        <v>21</v>
      </c>
      <c r="C22" s="28"/>
      <c r="E22" s="28"/>
      <c r="G22" s="28"/>
    </row>
    <row r="23" spans="1:19" x14ac:dyDescent="0.3">
      <c r="A23" s="33"/>
      <c r="C23" s="27" t="s">
        <v>10</v>
      </c>
      <c r="D23" s="31"/>
      <c r="E23" s="27" t="s">
        <v>17</v>
      </c>
      <c r="F23" s="31"/>
      <c r="G23" s="27" t="s">
        <v>23</v>
      </c>
      <c r="H23" s="1">
        <f>F6-F23</f>
        <v>13.2</v>
      </c>
    </row>
    <row r="24" spans="1:19" x14ac:dyDescent="0.3">
      <c r="A24" s="33"/>
      <c r="C24" s="27" t="s">
        <v>10</v>
      </c>
      <c r="D24" s="31"/>
      <c r="E24" s="27" t="s">
        <v>17</v>
      </c>
      <c r="F24" s="31"/>
      <c r="G24" s="27" t="s">
        <v>23</v>
      </c>
      <c r="H24" s="1">
        <f>F6-F24</f>
        <v>13.2</v>
      </c>
    </row>
    <row r="25" spans="1:19" x14ac:dyDescent="0.3">
      <c r="A25" s="33"/>
      <c r="C25" s="27" t="s">
        <v>11</v>
      </c>
      <c r="D25" s="31">
        <v>88</v>
      </c>
      <c r="E25" s="27" t="s">
        <v>22</v>
      </c>
      <c r="F25" s="31">
        <v>0</v>
      </c>
      <c r="G25" s="27" t="s">
        <v>16</v>
      </c>
      <c r="H25" s="31">
        <v>13.2</v>
      </c>
    </row>
    <row r="26" spans="1:19" x14ac:dyDescent="0.3">
      <c r="A26" s="33"/>
      <c r="C26" s="27" t="s">
        <v>80</v>
      </c>
      <c r="D26" s="31"/>
      <c r="E26" s="27" t="s">
        <v>17</v>
      </c>
      <c r="F26" s="31"/>
      <c r="G26" s="27" t="s">
        <v>23</v>
      </c>
      <c r="H26" s="1">
        <f>F6-F26</f>
        <v>13.2</v>
      </c>
      <c r="J26" s="30"/>
      <c r="K26" s="30">
        <f>IF(H23=F6/2, (((-1)*D23*F6/8)+((-1)*D24*F6/8)+(((-1)*D25*H25*H25*H25)*(4*F6-3*H25)/(12*F6*F6))+(D26/4)), (((-1)*D23*F23*H23*H23/(F6*F6)+(-1)*D24*F24*H24*H24/(F6*F6)+(((-1)*D25*H25*H25*H25)*(4*F6-3*H25)/(12*F6*F6))+(D26*H26*(3*F26-F6)/(F6*F6)))))</f>
        <v>-1277.7600000000002</v>
      </c>
      <c r="L26" s="30">
        <f>IF(H23=F6/2,(((1)*D23*F6/8)+D24*F6/8+((D25*H25*H25)*(6*F6*F6-8*F6*H25+3*H25*H25)/(12*F6*F6))+D26/4),(((1)*D23*F23*F23*H23/(F6*F6)+(1)*D24*F24*F24*H24/(F6*F6)+((D25*H25*H25)*(6*F6*F6-8*F6*H25+3*H25*H25)/(12*F6*F6))+D26*F26*(3*H26-F6)/(F6*F6))))</f>
        <v>1277.7599999999993</v>
      </c>
      <c r="M26" s="30"/>
      <c r="N26" s="23"/>
      <c r="O26" s="23"/>
      <c r="P26" s="23"/>
      <c r="Q26" s="23"/>
      <c r="R26" s="23"/>
      <c r="S26" s="23"/>
    </row>
    <row r="27" spans="1:19" ht="15" thickBot="1" x14ac:dyDescent="0.35">
      <c r="A27" s="33"/>
      <c r="B27" s="18" t="s">
        <v>24</v>
      </c>
      <c r="C27" s="28"/>
      <c r="E27" s="28"/>
      <c r="G27" s="28"/>
      <c r="J27" s="30"/>
      <c r="K27" s="30"/>
      <c r="L27" s="30"/>
      <c r="M27" s="30"/>
      <c r="N27" s="23"/>
      <c r="O27" s="23"/>
      <c r="P27" s="23"/>
      <c r="Q27" s="23"/>
      <c r="R27" s="23"/>
      <c r="S27" s="23"/>
    </row>
    <row r="28" spans="1:19" x14ac:dyDescent="0.3">
      <c r="A28" s="33"/>
      <c r="C28" s="27" t="s">
        <v>10</v>
      </c>
      <c r="D28" s="31"/>
      <c r="E28" s="27" t="s">
        <v>23</v>
      </c>
      <c r="F28" s="31"/>
      <c r="G28" s="27" t="s">
        <v>26</v>
      </c>
      <c r="H28" s="1">
        <f>F7-F28</f>
        <v>4.3999999999999986</v>
      </c>
      <c r="J28" s="30"/>
      <c r="K28" s="30"/>
      <c r="L28" s="30"/>
      <c r="M28" s="30"/>
      <c r="N28" s="23"/>
      <c r="O28" s="23"/>
      <c r="P28" s="23"/>
      <c r="Q28" s="23"/>
      <c r="R28" s="23"/>
      <c r="S28" s="23"/>
    </row>
    <row r="29" spans="1:19" x14ac:dyDescent="0.3">
      <c r="A29" s="33"/>
      <c r="C29" s="27" t="s">
        <v>11</v>
      </c>
      <c r="D29" s="31"/>
      <c r="E29" s="27" t="s">
        <v>25</v>
      </c>
      <c r="F29" s="31"/>
      <c r="G29" s="27" t="s">
        <v>16</v>
      </c>
      <c r="H29" s="31">
        <v>6.6</v>
      </c>
      <c r="J29" s="30"/>
      <c r="K29" s="30"/>
      <c r="L29" s="30"/>
      <c r="M29" s="30"/>
      <c r="N29" s="23"/>
      <c r="O29" s="23"/>
      <c r="P29" s="23"/>
      <c r="Q29" s="23"/>
      <c r="R29" s="23"/>
      <c r="S29" s="23"/>
    </row>
    <row r="30" spans="1:19" x14ac:dyDescent="0.3">
      <c r="A30" s="33"/>
      <c r="C30" s="27" t="s">
        <v>80</v>
      </c>
      <c r="D30" s="31"/>
      <c r="E30" s="27" t="s">
        <v>23</v>
      </c>
      <c r="F30" s="31"/>
      <c r="G30" s="27" t="s">
        <v>26</v>
      </c>
      <c r="H30" s="1">
        <f>F7-F30</f>
        <v>4.3999999999999986</v>
      </c>
      <c r="J30" s="30"/>
      <c r="K30" s="30"/>
      <c r="L30" s="30"/>
      <c r="M30" s="30"/>
      <c r="N30" s="23"/>
      <c r="O30" s="23"/>
      <c r="P30" s="23"/>
      <c r="Q30" s="23"/>
      <c r="R30" s="23"/>
      <c r="S30" s="23"/>
    </row>
    <row r="31" spans="1:19" x14ac:dyDescent="0.3">
      <c r="A31" s="33"/>
      <c r="C31" s="27" t="s">
        <v>82</v>
      </c>
      <c r="D31" s="31">
        <v>22</v>
      </c>
      <c r="J31" s="30"/>
      <c r="K31" s="30"/>
      <c r="L31" s="30"/>
      <c r="M31" s="30"/>
      <c r="N31" s="23"/>
      <c r="O31" s="23"/>
      <c r="P31" s="23"/>
      <c r="Q31" s="23"/>
      <c r="R31" s="23"/>
      <c r="S31" s="23"/>
    </row>
    <row r="32" spans="1:19" x14ac:dyDescent="0.3">
      <c r="A32" s="33"/>
      <c r="J32" s="30"/>
      <c r="K32" s="30"/>
      <c r="L32" s="30"/>
      <c r="M32" s="30" t="b">
        <f>IF(AND(C5=0,C7=0,C9=0,C11=0),TRUE,FALSE)</f>
        <v>1</v>
      </c>
      <c r="N32" s="23"/>
      <c r="O32" s="23"/>
      <c r="P32" s="23"/>
      <c r="Q32" s="23"/>
      <c r="R32" s="23"/>
      <c r="S32" s="23"/>
    </row>
    <row r="33" spans="1:19" ht="18" thickBot="1" x14ac:dyDescent="0.4">
      <c r="A33" s="33"/>
      <c r="B33" s="17" t="s">
        <v>27</v>
      </c>
      <c r="C33" s="17"/>
      <c r="J33" s="30"/>
      <c r="K33" s="29" t="s">
        <v>29</v>
      </c>
      <c r="L33" s="35"/>
      <c r="M33" s="29" t="s">
        <v>90</v>
      </c>
      <c r="N33" s="34"/>
      <c r="O33" s="23"/>
      <c r="P33" s="23"/>
      <c r="Q33" s="23"/>
      <c r="R33" s="23"/>
      <c r="S33" s="23"/>
    </row>
    <row r="34" spans="1:19" ht="15" thickTop="1" x14ac:dyDescent="0.3">
      <c r="A34" s="33"/>
      <c r="J34" s="30"/>
      <c r="K34" s="29"/>
      <c r="L34" s="30"/>
      <c r="M34" s="29"/>
      <c r="N34" s="23"/>
      <c r="O34" s="23"/>
      <c r="P34" s="23"/>
      <c r="Q34" s="23"/>
      <c r="R34" s="23"/>
      <c r="S34" s="23"/>
    </row>
    <row r="35" spans="1:19" x14ac:dyDescent="0.3">
      <c r="A35" s="33"/>
      <c r="B35" s="25" t="s">
        <v>28</v>
      </c>
      <c r="C35" s="1">
        <f>K35</f>
        <v>-48.400000000000006</v>
      </c>
      <c r="J35" s="30"/>
      <c r="K35" s="29">
        <f>(IF(H17=F5/2,(((-1)*D17*F5/8)+(D18*(-1)*H18*H18/12)+(D19/4)),(((-1)*D17*F17*H17*H17/(F5*F5))+(D18*(-1)*H18*H18/12)+(D19*H19*(3*F19-F5)/(F5*F5)))))</f>
        <v>-48.400000000000006</v>
      </c>
      <c r="L35" s="30"/>
      <c r="M35" s="29">
        <f>IF(M32=TRUE,0,(C35+C36+(D17*F17+D18*H18*((H18/2)+F18)))/F5)</f>
        <v>0</v>
      </c>
      <c r="N35" s="23"/>
      <c r="O35" s="23"/>
      <c r="P35" s="23"/>
      <c r="Q35" s="23"/>
      <c r="R35" s="23"/>
      <c r="S35" s="23"/>
    </row>
    <row r="36" spans="1:19" x14ac:dyDescent="0.3">
      <c r="A36" s="33"/>
      <c r="B36" s="25" t="s">
        <v>30</v>
      </c>
      <c r="C36" s="1">
        <f>K36</f>
        <v>48.400000000000006</v>
      </c>
      <c r="J36" s="30"/>
      <c r="K36" s="29">
        <f>(IF(H17=F5/2,(((1)*D17*F5/8)+(D18*(1)*H18*H18/12)+(D19/4)+(D20*F5)),(((1)*D17*F17*H17*F17/(F5*F5))+(D18*(1)*H18*H18/12)+(D20*F5)+(D19*F19*(3*H19-F5)/(F5*F5)))))</f>
        <v>48.400000000000006</v>
      </c>
      <c r="L36" s="30"/>
      <c r="M36" s="29">
        <f>IF(M32=TRUE,0,(C39+C40+(D29*H29*((H29/2)+F29))+D28*H28)/F7)</f>
        <v>0</v>
      </c>
      <c r="N36" s="23"/>
      <c r="O36" s="23"/>
      <c r="P36" s="23"/>
      <c r="Q36" s="23"/>
      <c r="R36" s="23"/>
      <c r="S36" s="23"/>
    </row>
    <row r="37" spans="1:19" x14ac:dyDescent="0.3">
      <c r="A37" s="33"/>
      <c r="B37" s="25" t="s">
        <v>31</v>
      </c>
      <c r="C37" s="1">
        <f>K37</f>
        <v>-1277.7599999999998</v>
      </c>
      <c r="J37" s="30"/>
      <c r="K37" s="29">
        <f>IF(F25=0,L37,K26)</f>
        <v>-1277.7599999999998</v>
      </c>
      <c r="L37" s="30">
        <f>IF(H23=F6/2, (((-1)*D23*F6/8)+((-1)*D24*F6/8)+((-1)*D25*H25*H25/12)+(D26/4)), (((-1)*D23*F23*H23*H23/(F6*F6)+(-1)*D24*F24*H24*H24/(F6*F6)+((-1)*D25*H25*H25/12)+(D26*H26*(3*F26-F6)/(F6*F6)))))</f>
        <v>-1277.7599999999998</v>
      </c>
      <c r="M37" s="29">
        <f>M35-M36</f>
        <v>0</v>
      </c>
      <c r="N37" s="23"/>
      <c r="O37" s="23"/>
      <c r="P37" s="23"/>
      <c r="Q37" s="23"/>
      <c r="R37" s="23"/>
      <c r="S37" s="23"/>
    </row>
    <row r="38" spans="1:19" x14ac:dyDescent="0.3">
      <c r="A38" s="33"/>
      <c r="B38" s="25" t="s">
        <v>32</v>
      </c>
      <c r="C38" s="1">
        <f>K38</f>
        <v>1277.7599999999998</v>
      </c>
      <c r="J38" s="30"/>
      <c r="K38" s="29">
        <f>IF(F25=0,L38,L26)</f>
        <v>1277.7599999999998</v>
      </c>
      <c r="L38" s="30">
        <f>IF(H23=F6/2,(((1)*D23*F6/8)+D24*F6/8+((1)*D25*H25*H25/12)+D26/4),(((1)*D23*F23*F23*H23/(F6*F6)+(1)*D24*F24*F24*H24/(F6*F6)+((1)*D25*H25*H25/12)+D26*F26*(3*H26-F6)/(F6*F6))))</f>
        <v>1277.7599999999998</v>
      </c>
      <c r="M38" s="30"/>
      <c r="N38" s="23"/>
      <c r="O38" s="23"/>
      <c r="P38" s="23"/>
      <c r="Q38" s="23"/>
      <c r="R38" s="23"/>
      <c r="S38" s="23"/>
    </row>
    <row r="39" spans="1:19" x14ac:dyDescent="0.3">
      <c r="A39" s="33"/>
      <c r="B39" s="25" t="s">
        <v>33</v>
      </c>
      <c r="C39" s="1">
        <f>K39</f>
        <v>-96.799999999999969</v>
      </c>
      <c r="J39" s="30"/>
      <c r="K39" s="29">
        <f>IF(H28=F7/2,(((-1)*D28*F7/8)+((-1)*D29*H29*H29/12)+D30/4+D31*(-1)*F7),(((-1)*D28*F28*H28*H28/(F7*F7)+((-1)*D29*H29*H29/12)+(D30*H30*(3*F30-F7)/(F7*F7))+(-1)*D31*F7)))</f>
        <v>-96.799999999999969</v>
      </c>
      <c r="L39" s="30"/>
      <c r="M39" s="30"/>
      <c r="N39" s="23"/>
      <c r="O39" s="23"/>
      <c r="P39" s="23"/>
      <c r="Q39" s="23"/>
      <c r="R39" s="23"/>
      <c r="S39" s="23"/>
    </row>
    <row r="40" spans="1:19" x14ac:dyDescent="0.3">
      <c r="A40" s="33"/>
      <c r="B40" s="25" t="s">
        <v>34</v>
      </c>
      <c r="C40" s="1">
        <f>K40</f>
        <v>0</v>
      </c>
      <c r="J40" s="30"/>
      <c r="K40" s="29">
        <f>IF(H28=F7/2,(((1)*D28*F7/8)+((1)*D29*H29*H29/12)+D30/4),(((1)*D28*F28*F28*H28/(F7*F7)+((1)*D29*H29*H29/12)+(D30*F30*(3*H30-F7)/(F7*F7)))))</f>
        <v>0</v>
      </c>
      <c r="L40" s="30"/>
      <c r="M40" s="30"/>
      <c r="N40" s="23"/>
      <c r="O40" s="23"/>
      <c r="P40" s="23"/>
      <c r="Q40" s="23"/>
      <c r="R40" s="23"/>
      <c r="S40" s="23"/>
    </row>
    <row r="41" spans="1:19" x14ac:dyDescent="0.3">
      <c r="A41" s="33"/>
      <c r="J41" s="30"/>
      <c r="K41" s="30"/>
      <c r="L41" s="30"/>
      <c r="M41" s="30"/>
      <c r="N41" s="23"/>
      <c r="O41" s="23"/>
      <c r="P41" s="23"/>
      <c r="Q41" s="23"/>
      <c r="R41" s="23"/>
      <c r="S41" s="23"/>
    </row>
    <row r="42" spans="1:19" ht="18" thickBot="1" x14ac:dyDescent="0.4">
      <c r="A42" s="33"/>
      <c r="B42" s="17" t="s">
        <v>35</v>
      </c>
      <c r="C42" s="17"/>
      <c r="K42" s="39"/>
      <c r="L42" s="39"/>
      <c r="M42" s="39"/>
      <c r="N42" s="23"/>
      <c r="O42" s="23"/>
      <c r="P42" s="23"/>
      <c r="Q42" s="23"/>
      <c r="R42" s="23"/>
      <c r="S42" s="23"/>
    </row>
    <row r="43" spans="1:19" ht="15" thickTop="1" x14ac:dyDescent="0.3">
      <c r="A43" s="33"/>
      <c r="B43" s="1"/>
      <c r="C43" s="1"/>
      <c r="K43" s="23"/>
      <c r="L43" s="23"/>
      <c r="M43" s="23"/>
      <c r="N43" s="23"/>
      <c r="O43" s="23"/>
      <c r="P43" s="23"/>
      <c r="Q43" s="23"/>
      <c r="R43" s="23"/>
      <c r="S43" s="23"/>
    </row>
    <row r="44" spans="1:19" ht="18" thickBot="1" x14ac:dyDescent="0.4">
      <c r="A44" s="33"/>
      <c r="B44" s="16" t="s">
        <v>39</v>
      </c>
      <c r="C44" s="2"/>
      <c r="D44" s="15" t="s">
        <v>42</v>
      </c>
      <c r="E44" s="13" t="s">
        <v>38</v>
      </c>
      <c r="F44" s="13" t="s">
        <v>60</v>
      </c>
      <c r="G44" s="8"/>
      <c r="H44" s="16" t="s">
        <v>58</v>
      </c>
      <c r="I44" s="2"/>
      <c r="J44" s="15" t="s">
        <v>42</v>
      </c>
      <c r="K44" s="13" t="s">
        <v>38</v>
      </c>
      <c r="L44" s="13" t="s">
        <v>61</v>
      </c>
    </row>
    <row r="45" spans="1:19" ht="15.6" thickTop="1" thickBot="1" x14ac:dyDescent="0.35">
      <c r="A45" s="33"/>
      <c r="B45" s="1"/>
      <c r="C45" s="13" t="s">
        <v>36</v>
      </c>
      <c r="D45" s="31"/>
      <c r="E45" s="1">
        <f>IF(D45="Y",2,0)</f>
        <v>0</v>
      </c>
      <c r="F45" s="1">
        <f>IF(D45="Y",3/4,0)</f>
        <v>0</v>
      </c>
      <c r="G45" s="8"/>
      <c r="H45" s="1"/>
      <c r="I45" s="13" t="s">
        <v>36</v>
      </c>
      <c r="J45" s="31"/>
      <c r="K45" s="1">
        <f>IF(J45="Y",2,0)</f>
        <v>0</v>
      </c>
      <c r="L45" s="1">
        <f>IF(J45="Y",3/4,0)</f>
        <v>0</v>
      </c>
    </row>
    <row r="46" spans="1:19" ht="15" thickBot="1" x14ac:dyDescent="0.35">
      <c r="A46" s="33"/>
      <c r="B46" s="1"/>
      <c r="C46" s="13" t="s">
        <v>37</v>
      </c>
      <c r="D46" s="31" t="s">
        <v>59</v>
      </c>
      <c r="E46" s="1">
        <f>IF(D46="Y",3,0)</f>
        <v>3</v>
      </c>
      <c r="F46" s="1">
        <f>IF(D46="Y",1,0)</f>
        <v>1</v>
      </c>
      <c r="G46" s="8"/>
      <c r="H46" s="1"/>
      <c r="I46" s="13" t="s">
        <v>37</v>
      </c>
      <c r="J46" s="31"/>
      <c r="K46" s="1">
        <f>IF(J46="Y",3,0)</f>
        <v>0</v>
      </c>
      <c r="L46" s="1">
        <f>IF(J46="Y",1,0)</f>
        <v>0</v>
      </c>
    </row>
    <row r="47" spans="1:19" ht="15" thickBot="1" x14ac:dyDescent="0.35">
      <c r="A47" s="33"/>
      <c r="C47" s="13" t="s">
        <v>40</v>
      </c>
      <c r="D47" s="31"/>
      <c r="E47" s="1">
        <f>IF(D47="Y",1,0)</f>
        <v>0</v>
      </c>
      <c r="F47" s="1">
        <f>IF(D47="Y",3/4,0)</f>
        <v>0</v>
      </c>
      <c r="G47" s="8"/>
      <c r="I47" s="13" t="s">
        <v>40</v>
      </c>
      <c r="J47" s="31"/>
      <c r="K47" s="1">
        <f>IF(J47="Y",1,0)</f>
        <v>0</v>
      </c>
      <c r="L47" s="1">
        <f>IF(J47="Y",3/4,0)</f>
        <v>0</v>
      </c>
    </row>
    <row r="48" spans="1:19" ht="15" thickBot="1" x14ac:dyDescent="0.35">
      <c r="A48" s="33"/>
      <c r="C48" s="13" t="s">
        <v>41</v>
      </c>
      <c r="D48" s="31"/>
      <c r="E48" s="1">
        <f>IF(D48="Y",0,0)</f>
        <v>0</v>
      </c>
      <c r="F48" s="1">
        <f>IF(D48="Y",0,0)</f>
        <v>0</v>
      </c>
      <c r="G48" s="8"/>
      <c r="I48" s="13" t="s">
        <v>41</v>
      </c>
      <c r="J48" s="31" t="s">
        <v>57</v>
      </c>
      <c r="K48" s="1">
        <f>IF(J48="Y",0,0)</f>
        <v>0</v>
      </c>
      <c r="L48" s="1">
        <f>IF(J48="Y",0,0)</f>
        <v>0</v>
      </c>
    </row>
    <row r="49" spans="1:10" x14ac:dyDescent="0.3">
      <c r="A49" s="33"/>
    </row>
    <row r="50" spans="1:10" ht="18" thickBot="1" x14ac:dyDescent="0.4">
      <c r="A50" s="33"/>
      <c r="B50" s="17" t="s">
        <v>43</v>
      </c>
      <c r="C50" s="17"/>
    </row>
    <row r="51" spans="1:10" ht="15" thickTop="1" x14ac:dyDescent="0.3">
      <c r="A51" s="33"/>
    </row>
    <row r="52" spans="1:10" ht="15" thickBot="1" x14ac:dyDescent="0.35">
      <c r="A52" s="33"/>
      <c r="B52" s="13" t="s">
        <v>44</v>
      </c>
      <c r="C52" s="13" t="s">
        <v>45</v>
      </c>
      <c r="D52" s="13" t="s">
        <v>55</v>
      </c>
      <c r="E52" s="13" t="s">
        <v>46</v>
      </c>
      <c r="F52" s="13" t="s">
        <v>47</v>
      </c>
      <c r="G52" s="13" t="s">
        <v>48</v>
      </c>
      <c r="H52" s="13" t="s">
        <v>62</v>
      </c>
    </row>
    <row r="53" spans="1:10" x14ac:dyDescent="0.3">
      <c r="A53" s="33"/>
      <c r="B53" s="1"/>
      <c r="C53" s="1"/>
      <c r="D53" s="1"/>
      <c r="E53" s="1"/>
      <c r="F53" s="1"/>
      <c r="G53" s="1"/>
      <c r="H53" s="1"/>
    </row>
    <row r="54" spans="1:10" x14ac:dyDescent="0.3">
      <c r="A54" s="33"/>
      <c r="B54" s="1" t="s">
        <v>49</v>
      </c>
      <c r="C54" s="1" t="s">
        <v>51</v>
      </c>
      <c r="D54" s="1">
        <f>I4</f>
        <v>1</v>
      </c>
      <c r="E54" s="1">
        <f>IF(D45="Y",D54*F45/F5,IF(D46="Y",D54*F46/F5,IF(D47="Y",D54*F47/F5,IF(D48="Y",D54*F48/F5))))</f>
        <v>0.11363636363636363</v>
      </c>
      <c r="F54" s="5">
        <f>E54+E55</f>
        <v>0.18939393939393939</v>
      </c>
      <c r="G54" s="1">
        <f>E54/F54</f>
        <v>0.6</v>
      </c>
      <c r="H54" s="1">
        <f>(-0.5*G54)</f>
        <v>-0.3</v>
      </c>
    </row>
    <row r="55" spans="1:10" x14ac:dyDescent="0.3">
      <c r="A55" s="33"/>
      <c r="B55" s="1"/>
      <c r="C55" s="1" t="s">
        <v>52</v>
      </c>
      <c r="D55" s="1">
        <f>I5</f>
        <v>1</v>
      </c>
      <c r="E55" s="1">
        <f>D55/F6</f>
        <v>7.575757575757576E-2</v>
      </c>
      <c r="F55" s="5"/>
      <c r="G55" s="1">
        <f>E55/F54</f>
        <v>0.4</v>
      </c>
      <c r="H55" s="1">
        <f>(-0.5*G55)</f>
        <v>-0.2</v>
      </c>
    </row>
    <row r="56" spans="1:10" x14ac:dyDescent="0.3">
      <c r="A56" s="33"/>
      <c r="B56" s="1" t="s">
        <v>50</v>
      </c>
      <c r="C56" s="1" t="s">
        <v>53</v>
      </c>
      <c r="D56" s="1">
        <f>I5</f>
        <v>1</v>
      </c>
      <c r="E56" s="1">
        <f>D56/F6</f>
        <v>7.575757575757576E-2</v>
      </c>
      <c r="F56" s="5">
        <f>E56+E57</f>
        <v>7.575757575757576E-2</v>
      </c>
      <c r="G56" s="1">
        <f>E56/F56</f>
        <v>1</v>
      </c>
      <c r="H56" s="1">
        <f>(-0.5*G56)</f>
        <v>-0.5</v>
      </c>
    </row>
    <row r="57" spans="1:10" x14ac:dyDescent="0.3">
      <c r="A57" s="33"/>
      <c r="B57" s="1"/>
      <c r="C57" s="1" t="s">
        <v>54</v>
      </c>
      <c r="D57" s="1">
        <f>I6</f>
        <v>1</v>
      </c>
      <c r="E57" s="1">
        <f>IF(J45="Y",D57*L45/F7,IF(J46="Y",D57*L46/F7,IF(J47="Y",D57*L47/F7,IF(J48="Y",D57*L48/F7))))</f>
        <v>0</v>
      </c>
      <c r="F57" s="5"/>
      <c r="G57" s="1">
        <f>E57/F56</f>
        <v>0</v>
      </c>
      <c r="H57" s="1">
        <f>(-0.5*G57)</f>
        <v>0</v>
      </c>
    </row>
    <row r="58" spans="1:10" x14ac:dyDescent="0.3">
      <c r="A58" s="33"/>
      <c r="F58" s="4"/>
    </row>
    <row r="59" spans="1:10" ht="18" thickBot="1" x14ac:dyDescent="0.4">
      <c r="A59" s="33"/>
      <c r="B59" s="17" t="s">
        <v>76</v>
      </c>
      <c r="C59" s="17"/>
      <c r="F59" s="4"/>
    </row>
    <row r="60" spans="1:10" ht="15" thickTop="1" x14ac:dyDescent="0.3">
      <c r="A60" s="33"/>
      <c r="F60" s="4"/>
    </row>
    <row r="61" spans="1:10" ht="15" thickBot="1" x14ac:dyDescent="0.35">
      <c r="A61" s="33"/>
      <c r="B61" s="13" t="s">
        <v>77</v>
      </c>
      <c r="C61" s="13" t="s">
        <v>79</v>
      </c>
      <c r="D61" s="13" t="s">
        <v>85</v>
      </c>
      <c r="E61" s="13" t="s">
        <v>86</v>
      </c>
      <c r="F61" s="14" t="s">
        <v>83</v>
      </c>
      <c r="G61" s="13" t="s">
        <v>87</v>
      </c>
      <c r="H61" s="13" t="s">
        <v>78</v>
      </c>
      <c r="I61" s="13" t="s">
        <v>84</v>
      </c>
      <c r="J61" s="13" t="s">
        <v>88</v>
      </c>
    </row>
    <row r="62" spans="1:10" x14ac:dyDescent="0.3">
      <c r="A62" s="33"/>
      <c r="B62" s="1"/>
      <c r="C62" s="1"/>
      <c r="D62" s="1"/>
      <c r="E62" s="1"/>
      <c r="F62" s="4"/>
      <c r="G62" s="1"/>
      <c r="H62" s="1"/>
      <c r="I62" s="1"/>
      <c r="J62" s="1"/>
    </row>
    <row r="63" spans="1:10" x14ac:dyDescent="0.3">
      <c r="A63" s="33"/>
      <c r="B63" s="1" t="s">
        <v>51</v>
      </c>
      <c r="C63" s="1">
        <f>IF(D46="Y",1,0.75)</f>
        <v>1</v>
      </c>
      <c r="D63" s="1">
        <f>IF(D46="Y",F5,1.5*F5)</f>
        <v>8.8000000000000007</v>
      </c>
      <c r="E63" s="5">
        <f>IF(D63&gt;D64,D63,D64)</f>
        <v>8.8000000000000007</v>
      </c>
      <c r="F63" s="4">
        <f>E54</f>
        <v>0.11363636363636363</v>
      </c>
      <c r="G63" s="1">
        <f>E63/D63</f>
        <v>1</v>
      </c>
      <c r="H63" s="1">
        <f>F63*G63</f>
        <v>0.11363636363636363</v>
      </c>
      <c r="I63" s="1">
        <f>C63*F63*G63*G63</f>
        <v>0.11363636363636363</v>
      </c>
      <c r="J63" s="1">
        <f>IF(M32=TRUE,0,(-1.5)*H63/I65)</f>
        <v>0</v>
      </c>
    </row>
    <row r="64" spans="1:10" x14ac:dyDescent="0.3">
      <c r="A64" s="33"/>
      <c r="B64" s="1" t="s">
        <v>54</v>
      </c>
      <c r="C64" s="1">
        <f>IF(J46="Y",1,0.75)</f>
        <v>0.75</v>
      </c>
      <c r="D64" s="1">
        <f>IF(J46="Y",F7,1.5*F7)</f>
        <v>6.5999999999999979</v>
      </c>
      <c r="E64" s="5"/>
      <c r="F64" s="4">
        <f>E57</f>
        <v>0</v>
      </c>
      <c r="G64" s="1">
        <f>E63/D64</f>
        <v>1.3333333333333339</v>
      </c>
      <c r="H64" s="1">
        <f>F64*G64</f>
        <v>0</v>
      </c>
      <c r="I64" s="1">
        <f>C64*F64*G64*G64</f>
        <v>0</v>
      </c>
      <c r="J64" s="1">
        <f>IF(M32=TRUE,0,(-1.5)*H64/I65)</f>
        <v>0</v>
      </c>
    </row>
    <row r="65" spans="1:9" x14ac:dyDescent="0.3">
      <c r="A65" s="33"/>
      <c r="I65" s="38">
        <f>I63+I64</f>
        <v>0.11363636363636363</v>
      </c>
    </row>
    <row r="66" spans="1:9" x14ac:dyDescent="0.3">
      <c r="A66" s="33"/>
    </row>
    <row r="67" spans="1:9" ht="18" thickBot="1" x14ac:dyDescent="0.4">
      <c r="A67" s="33"/>
      <c r="B67" s="17" t="s">
        <v>89</v>
      </c>
      <c r="C67" s="17"/>
    </row>
    <row r="68" spans="1:9" ht="15" thickTop="1" x14ac:dyDescent="0.3">
      <c r="A68" s="33"/>
    </row>
    <row r="69" spans="1:9" ht="15" thickBot="1" x14ac:dyDescent="0.35">
      <c r="A69" s="33"/>
      <c r="B69" s="13" t="s">
        <v>91</v>
      </c>
      <c r="C69">
        <f>M37*E63/3</f>
        <v>0</v>
      </c>
    </row>
    <row r="70" spans="1:9" x14ac:dyDescent="0.3">
      <c r="A70" s="33"/>
      <c r="C70" s="7">
        <f>C69</f>
        <v>0</v>
      </c>
    </row>
    <row r="71" spans="1:9" x14ac:dyDescent="0.3">
      <c r="A71" s="33"/>
    </row>
    <row r="72" spans="1:9" x14ac:dyDescent="0.3">
      <c r="A72" s="33"/>
    </row>
    <row r="73" spans="1:9" ht="18" thickBot="1" x14ac:dyDescent="0.4">
      <c r="A73" s="33"/>
      <c r="B73" s="17" t="s">
        <v>95</v>
      </c>
      <c r="C73" s="17"/>
    </row>
    <row r="74" spans="1:9" ht="15" thickTop="1" x14ac:dyDescent="0.3">
      <c r="A74" s="33"/>
    </row>
    <row r="75" spans="1:9" x14ac:dyDescent="0.3">
      <c r="A75" s="33"/>
      <c r="B75" s="24"/>
      <c r="C75" s="11" t="s">
        <v>56</v>
      </c>
      <c r="D75" s="12" t="s">
        <v>51</v>
      </c>
      <c r="E75" s="11" t="s">
        <v>52</v>
      </c>
      <c r="F75" s="12" t="s">
        <v>53</v>
      </c>
      <c r="G75" s="11" t="s">
        <v>54</v>
      </c>
      <c r="H75" s="11" t="s">
        <v>63</v>
      </c>
    </row>
    <row r="76" spans="1:9" x14ac:dyDescent="0.3">
      <c r="A76" s="33"/>
      <c r="B76" s="10" t="s">
        <v>62</v>
      </c>
      <c r="D76">
        <f>H54</f>
        <v>-0.3</v>
      </c>
      <c r="E76" s="6">
        <f>H55</f>
        <v>-0.2</v>
      </c>
      <c r="F76">
        <f>H56</f>
        <v>-0.5</v>
      </c>
      <c r="G76" s="6">
        <f>H57</f>
        <v>0</v>
      </c>
    </row>
    <row r="77" spans="1:9" x14ac:dyDescent="0.3">
      <c r="A77" s="33"/>
      <c r="B77" s="10" t="s">
        <v>88</v>
      </c>
      <c r="C77">
        <f>J63</f>
        <v>0</v>
      </c>
      <c r="E77" s="6"/>
      <c r="G77" s="6"/>
      <c r="H77">
        <f>J64</f>
        <v>0</v>
      </c>
    </row>
    <row r="78" spans="1:9" x14ac:dyDescent="0.3">
      <c r="A78" s="33"/>
      <c r="B78" s="10" t="s">
        <v>50</v>
      </c>
      <c r="C78">
        <f>G63</f>
        <v>1</v>
      </c>
      <c r="E78" s="6"/>
      <c r="G78" s="6"/>
      <c r="H78">
        <f>G64</f>
        <v>1.3333333333333339</v>
      </c>
    </row>
    <row r="79" spans="1:9" x14ac:dyDescent="0.3">
      <c r="A79" s="33"/>
      <c r="B79" s="10" t="s">
        <v>92</v>
      </c>
      <c r="C79" s="9">
        <f>C70</f>
        <v>0</v>
      </c>
      <c r="D79" s="9"/>
      <c r="E79" s="9"/>
      <c r="F79" s="9"/>
      <c r="G79" s="9"/>
      <c r="H79" s="9"/>
    </row>
    <row r="80" spans="1:9" x14ac:dyDescent="0.3">
      <c r="A80" s="33"/>
      <c r="B80" s="10" t="s">
        <v>27</v>
      </c>
      <c r="C80">
        <f>C35</f>
        <v>-48.400000000000006</v>
      </c>
      <c r="D80">
        <f>C36</f>
        <v>48.400000000000006</v>
      </c>
      <c r="E80">
        <f>C37</f>
        <v>-1277.7599999999998</v>
      </c>
      <c r="F80">
        <f>C38</f>
        <v>1277.7599999999998</v>
      </c>
      <c r="G80">
        <f>C39</f>
        <v>-96.799999999999969</v>
      </c>
      <c r="H80">
        <f>C40</f>
        <v>0</v>
      </c>
    </row>
    <row r="81" spans="1:8" x14ac:dyDescent="0.3">
      <c r="A81" s="33"/>
      <c r="B81" s="10" t="s">
        <v>64</v>
      </c>
      <c r="C81">
        <f>IF(D46="Y",0,(-1*C80))</f>
        <v>0</v>
      </c>
      <c r="D81">
        <f>C81/2</f>
        <v>0</v>
      </c>
      <c r="G81">
        <f>H81/2</f>
        <v>0</v>
      </c>
      <c r="H81">
        <f>IF(J46="Y",0,(-1*H80))</f>
        <v>0</v>
      </c>
    </row>
    <row r="82" spans="1:8" x14ac:dyDescent="0.3">
      <c r="A82" s="33"/>
      <c r="B82" s="10" t="s">
        <v>65</v>
      </c>
      <c r="C82">
        <f>C80+C81</f>
        <v>-48.400000000000006</v>
      </c>
      <c r="D82">
        <f t="shared" ref="D82:H82" si="0">D80+D81</f>
        <v>48.400000000000006</v>
      </c>
      <c r="E82">
        <f t="shared" si="0"/>
        <v>-1277.7599999999998</v>
      </c>
      <c r="F82">
        <f t="shared" si="0"/>
        <v>1277.7599999999998</v>
      </c>
      <c r="G82">
        <f t="shared" si="0"/>
        <v>-96.799999999999969</v>
      </c>
      <c r="H82">
        <f t="shared" si="0"/>
        <v>0</v>
      </c>
    </row>
    <row r="83" spans="1:8" x14ac:dyDescent="0.3">
      <c r="A83" s="33"/>
    </row>
    <row r="84" spans="1:8" x14ac:dyDescent="0.3">
      <c r="A84" s="33"/>
      <c r="D84" s="9">
        <f>D82+E82</f>
        <v>-1229.3599999999997</v>
      </c>
      <c r="E84" s="9"/>
      <c r="F84" s="9">
        <f>F82+G82</f>
        <v>1180.9599999999998</v>
      </c>
      <c r="G84" s="9"/>
    </row>
    <row r="85" spans="1:8" x14ac:dyDescent="0.3">
      <c r="A85" s="33"/>
      <c r="B85" s="10" t="s">
        <v>62</v>
      </c>
      <c r="D85">
        <f>H54</f>
        <v>-0.3</v>
      </c>
      <c r="E85">
        <f>H55</f>
        <v>-0.2</v>
      </c>
      <c r="F85">
        <f>H56</f>
        <v>-0.5</v>
      </c>
      <c r="G85">
        <f>H57</f>
        <v>0</v>
      </c>
    </row>
    <row r="86" spans="1:8" x14ac:dyDescent="0.3">
      <c r="A86" s="33"/>
      <c r="B86" s="10" t="s">
        <v>66</v>
      </c>
      <c r="C86">
        <v>0</v>
      </c>
      <c r="F86">
        <v>0</v>
      </c>
      <c r="H86">
        <v>0</v>
      </c>
    </row>
    <row r="87" spans="1:8" x14ac:dyDescent="0.3">
      <c r="A87" s="33"/>
      <c r="D87">
        <f>(C86+F86+D84)*D85</f>
        <v>368.80799999999988</v>
      </c>
      <c r="E87">
        <f>(C86+F86+D84)*E85</f>
        <v>245.87199999999996</v>
      </c>
      <c r="F87">
        <f>(E87+H86+F84)*F85</f>
        <v>-713.41599999999994</v>
      </c>
      <c r="G87">
        <f>(E87+H86+F84)*G85</f>
        <v>0</v>
      </c>
    </row>
    <row r="88" spans="1:8" x14ac:dyDescent="0.3">
      <c r="A88" s="33"/>
      <c r="C88">
        <f>C77*(C79+C78*D87+H78*G87)</f>
        <v>0</v>
      </c>
      <c r="H88">
        <f>H77*(C79+C78*D87+H78*G87)</f>
        <v>0</v>
      </c>
    </row>
    <row r="89" spans="1:8" x14ac:dyDescent="0.3">
      <c r="A89" s="33"/>
      <c r="B89" s="10" t="s">
        <v>67</v>
      </c>
      <c r="D89">
        <f>(C86+F87+D84+C88)*D85</f>
        <v>582.83279999999991</v>
      </c>
      <c r="E89">
        <f>(C86+F87+D84+C88)*E85</f>
        <v>388.55519999999996</v>
      </c>
      <c r="F89">
        <f>(F84+H86+E89+H88)*F85</f>
        <v>-784.75759999999991</v>
      </c>
      <c r="G89">
        <f>(F84+H86+E89+H88)*G85</f>
        <v>0</v>
      </c>
    </row>
    <row r="90" spans="1:8" x14ac:dyDescent="0.3">
      <c r="A90" s="33"/>
      <c r="C90">
        <f>C77*(C79+C78*D89+H78*G89)</f>
        <v>0</v>
      </c>
      <c r="H90">
        <f>H77*(C79+C78*D89+H78*G89)</f>
        <v>0</v>
      </c>
    </row>
    <row r="91" spans="1:8" x14ac:dyDescent="0.3">
      <c r="A91" s="33"/>
      <c r="B91" s="10" t="s">
        <v>68</v>
      </c>
      <c r="D91">
        <f>(C86+F89+D84+C90)*D85</f>
        <v>604.23527999999988</v>
      </c>
      <c r="E91">
        <f>(C86+F89+D84+C90)*E85</f>
        <v>402.82351999999992</v>
      </c>
      <c r="F91">
        <f>(H86+E91+F84+H90)*F85</f>
        <v>-791.89175999999986</v>
      </c>
      <c r="G91">
        <f>(H86+E91+F84+H90)*G85</f>
        <v>0</v>
      </c>
    </row>
    <row r="92" spans="1:8" x14ac:dyDescent="0.3">
      <c r="A92" s="33"/>
      <c r="C92">
        <f>C77*(C79+C78*D91+H78*G91)</f>
        <v>0</v>
      </c>
      <c r="H92">
        <f>H77*(C79+C78*D91+H78*G91)</f>
        <v>0</v>
      </c>
    </row>
    <row r="93" spans="1:8" x14ac:dyDescent="0.3">
      <c r="A93" s="33"/>
      <c r="B93" s="10" t="s">
        <v>69</v>
      </c>
      <c r="D93">
        <f>(C86+F91+D84+C92)*D85</f>
        <v>606.37552799999992</v>
      </c>
      <c r="E93">
        <f>(C86+F91+D84+C92)*E85</f>
        <v>404.25035199999996</v>
      </c>
      <c r="F93">
        <f>(E93+H86+F84+H92)*F85</f>
        <v>-792.60517599999991</v>
      </c>
      <c r="G93">
        <f>(E93+H86+F84+H92)*G85</f>
        <v>0</v>
      </c>
    </row>
    <row r="94" spans="1:8" x14ac:dyDescent="0.3">
      <c r="A94" s="33"/>
      <c r="C94">
        <f>C77*(C79+C78*D93+H78*G93)</f>
        <v>0</v>
      </c>
      <c r="H94">
        <f>H77*(C79+C78*D93+H78*G93)</f>
        <v>0</v>
      </c>
    </row>
    <row r="95" spans="1:8" x14ac:dyDescent="0.3">
      <c r="A95" s="33"/>
      <c r="B95" s="10" t="s">
        <v>70</v>
      </c>
      <c r="D95">
        <f>(C86+F93+D84+C94)*D85</f>
        <v>606.58955279999986</v>
      </c>
      <c r="E95">
        <f>(C86+F93+D84+C94)*E85</f>
        <v>404.39303519999999</v>
      </c>
      <c r="F95">
        <f>(E95+H86+F84+H94)*F85</f>
        <v>-792.6765175999999</v>
      </c>
      <c r="G95">
        <f>(E95+H86+F84+H94)*G85</f>
        <v>0</v>
      </c>
    </row>
    <row r="96" spans="1:8" x14ac:dyDescent="0.3">
      <c r="A96" s="33"/>
      <c r="C96">
        <f>C77*(C79+C78*D95+H78*G95)</f>
        <v>0</v>
      </c>
      <c r="H96">
        <f>H77*(C79+C78*D95+H78*G95)</f>
        <v>0</v>
      </c>
    </row>
    <row r="97" spans="1:8" x14ac:dyDescent="0.3">
      <c r="A97" s="33"/>
      <c r="B97" s="10" t="s">
        <v>71</v>
      </c>
      <c r="D97">
        <f>(C86+F95+D84+C96)*D85</f>
        <v>606.61095527999987</v>
      </c>
      <c r="E97">
        <f>(C86+F95+D84+C96)*E85</f>
        <v>404.40730351999991</v>
      </c>
      <c r="F97">
        <f>(E97+H86+F84+H96)*F85</f>
        <v>-792.68365175999986</v>
      </c>
      <c r="G97">
        <f>(E97+H86+F84+H96)*G85</f>
        <v>0</v>
      </c>
    </row>
    <row r="98" spans="1:8" x14ac:dyDescent="0.3">
      <c r="A98" s="33"/>
      <c r="C98">
        <f>C77*(C79+C78*D97+H78*G97)</f>
        <v>0</v>
      </c>
      <c r="H98">
        <f>H77*(C79+C78*D97+H78*G97)</f>
        <v>0</v>
      </c>
    </row>
    <row r="99" spans="1:8" x14ac:dyDescent="0.3">
      <c r="A99" s="33"/>
      <c r="B99" s="10" t="s">
        <v>72</v>
      </c>
      <c r="D99">
        <f>(C86+F97+D84+C98)*D85</f>
        <v>606.61309552799992</v>
      </c>
      <c r="E99">
        <f>(C86+F97+D84+C98)*E85</f>
        <v>404.40873035199996</v>
      </c>
      <c r="F99">
        <f>(E99+H86+F84+H98)*F85</f>
        <v>-792.68436517599991</v>
      </c>
      <c r="G99">
        <f>(E99+H86+F84+H98)*G85</f>
        <v>0</v>
      </c>
    </row>
    <row r="100" spans="1:8" x14ac:dyDescent="0.3">
      <c r="A100" s="33"/>
      <c r="C100">
        <f>C77*(C79+C78*D99+H78*G99)</f>
        <v>0</v>
      </c>
      <c r="H100">
        <f>H77*(C79+C78*D99+H78*G99)</f>
        <v>0</v>
      </c>
    </row>
    <row r="101" spans="1:8" x14ac:dyDescent="0.3">
      <c r="A101" s="33"/>
      <c r="B101" s="10" t="s">
        <v>73</v>
      </c>
      <c r="D101">
        <f>(C86+F99+D84+C100)*D85</f>
        <v>606.61330955279993</v>
      </c>
      <c r="E101">
        <f>(C86+F99+D84+C100)*E85</f>
        <v>404.40887303519997</v>
      </c>
      <c r="F101">
        <f>(E101+H86+F84+H100)*F85</f>
        <v>-792.68443651759992</v>
      </c>
      <c r="G101">
        <f>(E101+H86+F84+H100)*G85</f>
        <v>0</v>
      </c>
    </row>
    <row r="102" spans="1:8" x14ac:dyDescent="0.3">
      <c r="A102" s="33"/>
      <c r="C102">
        <f>C77*(C79+C78*D101+H78*G101)</f>
        <v>0</v>
      </c>
      <c r="H102">
        <f>H77*(C79+C78*D101+H78*G101)</f>
        <v>0</v>
      </c>
    </row>
    <row r="103" spans="1:8" x14ac:dyDescent="0.3">
      <c r="A103" s="33"/>
      <c r="B103" s="10" t="s">
        <v>74</v>
      </c>
      <c r="D103">
        <f>(C86+F101+D84+C102)*D85</f>
        <v>606.61333095527982</v>
      </c>
      <c r="E103">
        <f>(C86+F101+D84+C102)*E85</f>
        <v>404.40888730351992</v>
      </c>
      <c r="F103">
        <f>(E103+H86+F84+H102)*F85</f>
        <v>-792.68444365175992</v>
      </c>
      <c r="G103">
        <f>(E103+H86+F84+H102)*G85</f>
        <v>0</v>
      </c>
    </row>
    <row r="104" spans="1:8" x14ac:dyDescent="0.3">
      <c r="A104" s="33"/>
      <c r="C104">
        <f>C77*(C79+C78*D103+H78*G103)</f>
        <v>0</v>
      </c>
      <c r="H104">
        <f>H77*(C79+C78*D103+H78*G103)</f>
        <v>0</v>
      </c>
    </row>
    <row r="105" spans="1:8" x14ac:dyDescent="0.3">
      <c r="A105" s="33"/>
      <c r="B105" s="10" t="s">
        <v>75</v>
      </c>
      <c r="D105">
        <f>(C86+F103+D84+C104)*D85</f>
        <v>606.61333309552788</v>
      </c>
      <c r="E105">
        <f>(C86+F103+D84+C104)*E85</f>
        <v>404.40888873035192</v>
      </c>
      <c r="F105">
        <f>(E105+H86+F84+H104)*F85</f>
        <v>-792.68444436517586</v>
      </c>
      <c r="G105">
        <f>(E105+H86+F84+H104)*G85</f>
        <v>0</v>
      </c>
    </row>
    <row r="106" spans="1:8" x14ac:dyDescent="0.3">
      <c r="A106" s="33"/>
      <c r="C106">
        <f>C77*(C79+C78*D105+H78*G105)</f>
        <v>0</v>
      </c>
      <c r="H106">
        <f>H77*(C79+C78*D105+H78*G105)</f>
        <v>0</v>
      </c>
    </row>
    <row r="107" spans="1:8" x14ac:dyDescent="0.3">
      <c r="A107" s="33"/>
      <c r="B107" s="10" t="s">
        <v>93</v>
      </c>
      <c r="D107">
        <f>(C86+F105+D84+C106)*D85</f>
        <v>606.61333330955256</v>
      </c>
      <c r="E107">
        <f>(C86+F105+D84+C106)*E85</f>
        <v>404.4088888730351</v>
      </c>
      <c r="F107">
        <f>(E107+H86+F84+H106)*F85</f>
        <v>-792.68444443651742</v>
      </c>
      <c r="G107">
        <f>(E107+H86+F84+H106)*G85</f>
        <v>0</v>
      </c>
    </row>
    <row r="108" spans="1:8" x14ac:dyDescent="0.3">
      <c r="A108" s="33"/>
      <c r="C108">
        <f>C77*(C79+C78*D107+H78*G107)</f>
        <v>0</v>
      </c>
      <c r="H108">
        <f>H77*(C79+C78*D107+H78*G107)</f>
        <v>0</v>
      </c>
    </row>
    <row r="109" spans="1:8" x14ac:dyDescent="0.3">
      <c r="A109" s="33"/>
      <c r="B109" s="10" t="s">
        <v>94</v>
      </c>
      <c r="D109">
        <f>(C86+F107+D84+C108)*D85</f>
        <v>606.61333333095513</v>
      </c>
      <c r="E109">
        <f>(C86+F107+D84+C108)*E85</f>
        <v>404.40888888730342</v>
      </c>
      <c r="F109">
        <f>(E109+H86+F84+H108)*F85</f>
        <v>-792.68444444365161</v>
      </c>
      <c r="G109">
        <f>(E109+H86+F84+H108)*G85</f>
        <v>0</v>
      </c>
    </row>
    <row r="110" spans="1:8" x14ac:dyDescent="0.3">
      <c r="A110" s="33"/>
      <c r="C110">
        <f>C77*(C79+C78*D109+H78*G109)</f>
        <v>0</v>
      </c>
      <c r="H110">
        <f>H77*(C79+C78*D109+H78*G109)</f>
        <v>0</v>
      </c>
    </row>
    <row r="111" spans="1:8" x14ac:dyDescent="0.3">
      <c r="A111" s="33"/>
    </row>
    <row r="112" spans="1:8" x14ac:dyDescent="0.3">
      <c r="A112" s="33"/>
      <c r="C112" s="7" t="s">
        <v>28</v>
      </c>
      <c r="D112" s="7">
        <f>2*C86+D109+C82+C110</f>
        <v>558.21333333095515</v>
      </c>
    </row>
    <row r="113" spans="1:5" x14ac:dyDescent="0.3">
      <c r="A113" s="33"/>
      <c r="C113" s="7" t="s">
        <v>30</v>
      </c>
      <c r="D113" s="7">
        <f>2*D109+C86+D82+C110</f>
        <v>1261.6266666619103</v>
      </c>
    </row>
    <row r="114" spans="1:5" x14ac:dyDescent="0.3">
      <c r="A114" s="33"/>
      <c r="C114" s="7" t="s">
        <v>31</v>
      </c>
      <c r="D114" s="7">
        <f>2*E109+F109+E82</f>
        <v>-1261.6266666690444</v>
      </c>
    </row>
    <row r="115" spans="1:5" x14ac:dyDescent="0.3">
      <c r="A115" s="33"/>
      <c r="C115" s="7" t="s">
        <v>32</v>
      </c>
      <c r="D115" s="7">
        <f>2*F109+E109+F82</f>
        <v>96.799999999999955</v>
      </c>
    </row>
    <row r="116" spans="1:5" x14ac:dyDescent="0.3">
      <c r="A116" s="33"/>
      <c r="C116" s="7" t="s">
        <v>33</v>
      </c>
      <c r="D116" s="7">
        <f>2*G109+H86+G82+H110</f>
        <v>-96.799999999999969</v>
      </c>
    </row>
    <row r="117" spans="1:5" x14ac:dyDescent="0.3">
      <c r="A117" s="33"/>
      <c r="C117" s="7" t="s">
        <v>34</v>
      </c>
      <c r="D117" s="7">
        <f>IF(J46="Y",2*H86+G109+H82+H110,0)</f>
        <v>0</v>
      </c>
    </row>
    <row r="118" spans="1:5" x14ac:dyDescent="0.3">
      <c r="A118" s="33"/>
    </row>
    <row r="119" spans="1:5" x14ac:dyDescent="0.3">
      <c r="A119" s="33"/>
      <c r="D119" s="30"/>
      <c r="E119" s="30"/>
    </row>
    <row r="120" spans="1:5" x14ac:dyDescent="0.3">
      <c r="D120" s="29">
        <v>1</v>
      </c>
      <c r="E120" s="29">
        <f>(-1)*D112</f>
        <v>-558.21333333095515</v>
      </c>
    </row>
    <row r="121" spans="1:5" x14ac:dyDescent="0.3">
      <c r="D121" s="29">
        <v>2</v>
      </c>
      <c r="E121" s="29">
        <f>D113</f>
        <v>1261.6266666619103</v>
      </c>
    </row>
    <row r="122" spans="1:5" x14ac:dyDescent="0.3">
      <c r="D122" s="29">
        <v>2</v>
      </c>
      <c r="E122" s="29">
        <f>(-1)*D114</f>
        <v>1261.6266666690444</v>
      </c>
    </row>
    <row r="123" spans="1:5" x14ac:dyDescent="0.3">
      <c r="D123" s="29">
        <v>3</v>
      </c>
      <c r="E123" s="29">
        <f>D115</f>
        <v>96.799999999999955</v>
      </c>
    </row>
    <row r="124" spans="1:5" x14ac:dyDescent="0.3">
      <c r="D124" s="29">
        <v>3</v>
      </c>
      <c r="E124" s="29">
        <f>(-1)*D116</f>
        <v>96.799999999999969</v>
      </c>
    </row>
    <row r="125" spans="1:5" x14ac:dyDescent="0.3">
      <c r="D125" s="29">
        <v>4</v>
      </c>
      <c r="E125" s="29">
        <f>D117</f>
        <v>0</v>
      </c>
    </row>
    <row r="126" spans="1:5" x14ac:dyDescent="0.3">
      <c r="D126" s="30"/>
      <c r="E126" s="30"/>
    </row>
  </sheetData>
  <dataConsolidate/>
  <mergeCells count="17">
    <mergeCell ref="C79:H79"/>
    <mergeCell ref="J11:M13"/>
    <mergeCell ref="F56:F57"/>
    <mergeCell ref="B73:C73"/>
    <mergeCell ref="D84:E84"/>
    <mergeCell ref="F84:G84"/>
    <mergeCell ref="B59:C59"/>
    <mergeCell ref="E63:E64"/>
    <mergeCell ref="B67:C67"/>
    <mergeCell ref="B42:C42"/>
    <mergeCell ref="B50:C50"/>
    <mergeCell ref="H3:I3"/>
    <mergeCell ref="F54:F55"/>
    <mergeCell ref="B3:C3"/>
    <mergeCell ref="B33:C33"/>
    <mergeCell ref="B14:H14"/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Gupta</dc:creator>
  <cp:lastModifiedBy>Nitisha Gupta</cp:lastModifiedBy>
  <dcterms:created xsi:type="dcterms:W3CDTF">2020-12-29T14:19:54Z</dcterms:created>
  <dcterms:modified xsi:type="dcterms:W3CDTF">2020-12-30T16:50:11Z</dcterms:modified>
</cp:coreProperties>
</file>