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P (Formula 3) - PCH" sheetId="1" state="visible" r:id="rId2"/>
    <sheet name="CP (Formula 3) - BCH" sheetId="2" state="visible" r:id="rId3"/>
    <sheet name="HPNR (Formula 3) - 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HPNR" sheetId="10" state="visible" r:id="rId11"/>
    <sheet name="HirePurchaseNonRegulated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BCH (Formula 3) - P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ormula1-BCH" sheetId="21" state="visible" r:id="rId22"/>
    <sheet name="FL (Formula 3) - BCH, PCH, FL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<sst xmlns="http://schemas.openxmlformats.org/spreadsheetml/2006/main" count="9418" uniqueCount="324">
  <si>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</si>
  <si>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</si>
  <si>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</si>
  <si>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</si>
  <si>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</si>
  <si>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</si>
  <si>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</si>
  <si>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</si>
  <si>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</si>
  <si>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</si>
  <si>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</si>
  <si>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</si>
  <si>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</si>
  <si>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</si>
  <si>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</si>
  <si>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</si>
  <si>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</si>
  <si>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</si>
  <si>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</si>
  <si>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</si>
  <si>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</si>
  <si>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</si>
  <si>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</si>
  <si>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</si>
  <si>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</si>
  <si>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</si>
  <si>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</si>
  <si>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</si>
  <si>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</si>
  <si>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</si>
  <si>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</si>
  <si>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</si>
  <si>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</si>
  <si>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</si>
  <si>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</si>
  <si>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</si>
  <si>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</si>
  <si>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</si>
  <si>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</si>
  <si>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</si>
  <si>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</si>
  <si>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</si>
  <si>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</si>
  <si>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</si>
  <si>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12</t>
  </si>
  <si>
    <t xml:space="preserve">5000</t>
  </si>
  <si>
    <t xml:space="preserve">Maintenance Cost (SMR) Annual Value</t>
  </si>
  <si>
    <t xml:space="preserve">Cash deposit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</si>
  <si>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</si>
  <si>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</si>
  <si>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</si>
  <si>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</si>
  <si>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</si>
  <si>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</si>
  <si>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</si>
  <si>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</si>
  <si>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</si>
  <si>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</si>
  <si>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</si>
  <si>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</si>
  <si>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</si>
  <si>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</si>
  <si>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</si>
  <si>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</si>
  <si>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</si>
  <si>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</si>
  <si>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</si>
  <si>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</si>
  <si>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</si>
  <si>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</si>
  <si>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</si>
  <si>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</si>
  <si>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</si>
  <si>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</si>
  <si>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</si>
  <si>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</si>
  <si>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</si>
  <si>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</si>
  <si>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</si>
  <si>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</si>
  <si>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without maintenance Holding cost</t>
  </si>
  <si>
    <t xml:space="preserve">Term (months)</t>
  </si>
  <si>
    <t xml:space="preserve">Mileage per annum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</si>
  <si>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</si>
  <si>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</si>
  <si>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</si>
  <si>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</si>
  <si>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</si>
  <si>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</si>
  <si>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</si>
  <si>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</si>
  <si>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</si>
  <si>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</si>
  <si>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</si>
  <si>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</si>
  <si>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</si>
  <si>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</si>
  <si>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</si>
  <si>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</si>
  <si>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</si>
  <si>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</si>
  <si>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</si>
  <si>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</si>
  <si>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</si>
  <si>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</si>
  <si>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</si>
  <si>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</si>
  <si>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</si>
  <si>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</si>
  <si>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</si>
  <si>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</si>
  <si>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</si>
  <si>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</si>
  <si>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</si>
  <si>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</si>
  <si>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</si>
  <si>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</si>
  <si>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</si>
  <si>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</si>
  <si>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</si>
  <si>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</si>
  <si>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</si>
  <si>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</si>
  <si>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</si>
  <si>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</si>
  <si>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</si>
  <si>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</si>
  <si>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</si>
  <si>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</si>
  <si>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</si>
  <si>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</si>
  <si>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</si>
  <si>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</si>
  <si>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</si>
  <si>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</si>
  <si>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</si>
  <si>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</si>
  <si>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</si>
  <si>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</si>
  <si>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</si>
  <si>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</si>
  <si>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</si>
  <si>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</si>
  <si>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</si>
  <si>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</si>
  <si>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</si>
  <si>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</si>
  <si>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</si>
  <si>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</si>
  <si>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</si>
  <si>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</si>
  <si>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</si>
  <si>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</si>
  <si>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</si>
  <si>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</si>
  <si>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</si>
  <si>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</si>
  <si>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</si>
  <si>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</si>
  <si>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</si>
  <si>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</si>
  <si>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</si>
  <si>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</si>
  <si>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</si>
  <si>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</si>
  <si>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</si>
  <si>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</si>
  <si>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</si>
  <si>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</si>
  <si>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</si>
  <si>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</si>
  <si>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</si>
  <si>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</si>
  <si>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</si>
  <si>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</si>
  <si>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</si>
  <si>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</si>
  <si>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</si>
  <si>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</si>
  <si>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</si>
  <si>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Document Fee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</si>
  <si>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</si>
  <si>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</si>
  <si>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</si>
  <si>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</si>
  <si>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</si>
  <si>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</si>
  <si>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</si>
  <si>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</si>
  <si>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</si>
  <si>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 Terminal pause with 9 down </t>
  </si>
  <si>
    <t xml:space="preserve">200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</si>
  <si>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</si>
  <si>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</si>
  <si>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</si>
  <si>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</si>
  <si>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</si>
  <si>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</si>
  <si>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</si>
  <si>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</si>
  <si>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Monthly maint. Payment</t>
  </si>
  <si>
    <t xml:space="preserve">Pence per excess mile - maint</t>
  </si>
  <si>
    <t xml:space="preserve">Pence per excess mile - total</t>
  </si>
  <si>
    <t xml:space="preserve">% CAP residual value used</t>
  </si>
  <si>
    <t xml:space="preserve">% CAP maintenance cost used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</si>
  <si>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</si>
  <si>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</si>
  <si>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</si>
  <si>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</si>
  <si>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</si>
  <si>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</si>
  <si>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</si>
  <si>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</si>
  <si>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</si>
  <si>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</si>
  <si>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</si>
  <si>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</si>
  <si>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</si>
  <si>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</si>
  <si>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</si>
  <si>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</si>
  <si>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</si>
  <si>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</si>
  <si>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</si>
  <si>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</si>
  <si>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</si>
  <si>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</si>
  <si>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</si>
  <si>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</si>
  <si>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</si>
  <si>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</si>
  <si>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</si>
  <si>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</si>
  <si>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</si>
  <si>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</si>
  <si>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</si>
  <si>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</si>
  <si>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</si>
  <si>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</si>
  <si>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</si>
  <si>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</si>
  <si>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</si>
  <si>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</si>
  <si>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</si>
  <si>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</si>
  <si>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</si>
  <si>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</si>
  <si>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</si>
  <si>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</si>
  <si>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</si>
  <si>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</si>
  <si>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</si>
  <si>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</si>
  <si>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</si>
  <si>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</si>
  <si>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</si>
  <si>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</si>
  <si>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</si>
  <si>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</si>
  <si>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</si>
  <si>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</si>
  <si>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</si>
  <si>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</si>
  <si>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</si>
  <si>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</si>
  <si>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</si>
  <si>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</si>
  <si>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</si>
  <si>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TOTAL CASH PURCHASE</t>
  </si>
  <si>
    <t xml:space="preserve">48877.50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</si>
  <si>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</si>
  <si>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</si>
  <si>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</si>
  <si>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</si>
  <si>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199.99</t>
  </si>
  <si>
    <t xml:space="preserve">Hire purchase – Regulated</t>
  </si>
  <si>
    <t xml:space="preserve">5.28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</si>
  <si>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</si>
  <si>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</si>
  <si>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</si>
  <si>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</si>
  <si>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</si>
  <si>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</si>
  <si>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</si>
  <si>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</si>
  <si>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</si>
  <si>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</si>
  <si>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</si>
  <si>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</si>
  <si>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</si>
  <si>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</si>
  <si>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</si>
  <si>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</si>
  <si>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</si>
  <si>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</si>
  <si>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</si>
  <si>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</si>
  <si>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A1 Credit</t>
  </si>
  <si>
    <t xml:space="preserve">60</t>
  </si>
  <si>
    <t xml:space="preserve">2</t>
  </si>
  <si>
    <t xml:space="preserve">1</t>
  </si>
  <si>
    <t xml:space="preserve">Customer Quote – Finance Lease</t>
  </si>
  <si>
    <t xml:space="preserve">Upload document</t>
  </si>
  <si>
    <t xml:space="preserve">`</t>
  </si>
  <si>
    <t xml:space="preserve">239.99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</si>
  <si>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</si>
  <si>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</si>
  <si>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</si>
  <si>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</si>
  <si>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</si>
  <si>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</si>
  <si>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</si>
  <si>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>12</t>
  </si>
  <si>
    <t>5000</t>
  </si>
  <si>
    <t>1000</t>
  </si>
  <si>
    <t>500</t>
  </si>
  <si>
    <t>6000</t>
  </si>
  <si>
    <t>20</t>
  </si>
  <si>
    <t>50</t>
  </si>
  <si>
    <t>10</t>
  </si>
  <si>
    <t>NO</t>
  </si>
  <si>
    <t>YES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</si>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</sst>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0%"/>
    <numFmt numFmtId="169" formatCode="0.00"/>
    <numFmt numFmtId="170" formatCode="General"/>
    <numFmt numFmtId="171" formatCode="#,##0.00"/>
    <numFmt numFmtId="172" formatCode="#,##0.0000000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2A6099"/>
        <bgColor rgb="FF666699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81D41A"/>
        <bgColor rgb="FF70AD47"/>
      </patternFill>
    </fill>
    <fill>
      <patternFill patternType="solid">
        <fgColor rgb="FFAFD095"/>
        <bgColor rgb="FFA9D18E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A8D08D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B111" activeCellId="0" sqref="B111"/>
    </sheetView>
  </sheetViews>
  <sheetFormatPr defaultColWidth="10.855468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44926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312</v>
      </c>
      <c r="B32" s="37" t="s">
        <v>313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44</v>
      </c>
      <c r="B34" s="48" t="s">
        <v>47</v>
      </c>
      <c r="C34" s="45" t="s">
        <v>45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314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312</v>
      </c>
      <c r="B38" s="55" t="n">
        <f aca="false">A32-1</f>
        <v>11</v>
      </c>
      <c r="C38" s="55"/>
      <c r="D38" s="42" t="s">
        <v>315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316</v>
      </c>
      <c r="B41" s="42" t="s">
        <v>317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63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318</v>
      </c>
      <c r="B44" s="42" t="s">
        <v>319</v>
      </c>
      <c r="C44" s="42"/>
      <c r="D44" s="42" t="s">
        <v>319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200.0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5.0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165.0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355.0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0.0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200.0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200.0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((B89*H29)+B87)*1.2</f>
        <v>2567.74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2585.86644211376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IF(B105=Z104,(((H41*A32)+(H41*A32)*(B111/100))/(B64)),(((H41*A32)+(H41*A32)*(B111/100))/(B63+B64)))*1.2</f>
        <v>60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215.488870176146</v>
      </c>
      <c r="C96" s="13"/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215.488870176146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190</v>
      </c>
      <c r="C105" s="109"/>
      <c r="D105" s="110" t="n">
        <v>1000.0</v>
      </c>
      <c r="E105" s="110"/>
      <c r="F105" s="2"/>
      <c r="G105" s="34" t="s">
        <v>121</v>
      </c>
      <c r="H105" s="109" t="s">
        <v>122</v>
      </c>
      <c r="I105" s="109"/>
      <c r="J105" s="110" t="n">
        <v>5000</v>
      </c>
      <c r="K105" s="110"/>
      <c r="L105" s="2"/>
      <c r="M105" s="34" t="s">
        <v>121</v>
      </c>
      <c r="N105" s="109" t="s">
        <v>123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124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125</v>
      </c>
    </row>
    <row r="107" customFormat="false" ht="18.75" hidden="false" customHeight="true" outlineLevel="0" collapsed="false">
      <c r="A107" s="6" t="s">
        <v>126</v>
      </c>
      <c r="B107" s="13" t="s">
        <v>127</v>
      </c>
      <c r="C107" s="13"/>
      <c r="D107" s="13" t="s">
        <v>128</v>
      </c>
      <c r="E107" s="14"/>
      <c r="F107" s="2"/>
      <c r="G107" s="6" t="s">
        <v>126</v>
      </c>
      <c r="H107" s="13" t="s">
        <v>127</v>
      </c>
      <c r="I107" s="13"/>
      <c r="J107" s="13" t="s">
        <v>128</v>
      </c>
      <c r="K107" s="14"/>
      <c r="L107" s="2"/>
      <c r="M107" s="6" t="s">
        <v>126</v>
      </c>
      <c r="N107" s="13" t="s">
        <v>127</v>
      </c>
      <c r="O107" s="13"/>
      <c r="P107" s="13" t="s">
        <v>128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129</v>
      </c>
    </row>
    <row r="108" customFormat="false" ht="18.75" hidden="false" customHeight="true" outlineLevel="0" collapsed="false">
      <c r="A108" s="111" t="n">
        <v>239.99</v>
      </c>
      <c r="B108" s="112" t="n">
        <v>0.0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123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122</v>
      </c>
    </row>
    <row r="110" customFormat="false" ht="18.75" hidden="false" customHeight="true" outlineLevel="0" collapsed="false">
      <c r="A110" s="34" t="s">
        <v>130</v>
      </c>
      <c r="B110" s="2" t="s">
        <v>131</v>
      </c>
      <c r="C110" s="13"/>
      <c r="D110" s="13" t="s">
        <v>132</v>
      </c>
      <c r="E110" s="14"/>
      <c r="F110" s="2"/>
      <c r="G110" s="34" t="s">
        <v>130</v>
      </c>
      <c r="H110" s="2" t="s">
        <v>131</v>
      </c>
      <c r="I110" s="13"/>
      <c r="J110" s="13" t="s">
        <v>132</v>
      </c>
      <c r="K110" s="14"/>
      <c r="L110" s="2"/>
      <c r="M110" s="34" t="s">
        <v>130</v>
      </c>
      <c r="N110" s="2" t="s">
        <v>131</v>
      </c>
      <c r="O110" s="13"/>
      <c r="P110" s="13" t="s">
        <v>132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133</v>
      </c>
    </row>
    <row r="111" customFormat="false" ht="18.75" hidden="false" customHeight="true" outlineLevel="0" collapsed="false">
      <c r="A111" s="36" t="s">
        <v>320</v>
      </c>
      <c r="B111" s="109" t="n">
        <v>20.0</v>
      </c>
      <c r="C111" s="109"/>
      <c r="D111" s="112" t="s">
        <v>322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134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135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136</v>
      </c>
      <c r="B114" s="29"/>
      <c r="C114" s="29"/>
      <c r="D114" s="29"/>
      <c r="E114" s="29"/>
      <c r="F114" s="2"/>
      <c r="G114" s="29" t="s">
        <v>136</v>
      </c>
      <c r="H114" s="29"/>
      <c r="I114" s="29"/>
      <c r="J114" s="29"/>
      <c r="K114" s="29"/>
      <c r="L114" s="2"/>
      <c r="M114" s="29" t="s">
        <v>136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137</v>
      </c>
      <c r="B116" s="36" t="s">
        <v>321</v>
      </c>
      <c r="C116" s="13"/>
      <c r="D116" s="13"/>
      <c r="E116" s="14"/>
      <c r="F116" s="2"/>
      <c r="G116" s="6" t="s">
        <v>137</v>
      </c>
      <c r="H116" s="36" t="s">
        <v>25</v>
      </c>
      <c r="I116" s="13"/>
      <c r="J116" s="13"/>
      <c r="K116" s="14"/>
      <c r="L116" s="2"/>
      <c r="M116" s="6" t="s">
        <v>137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138</v>
      </c>
      <c r="B118" s="13"/>
      <c r="C118" s="13"/>
      <c r="D118" s="111" t="n">
        <v>10000.0</v>
      </c>
      <c r="E118" s="112" t="n">
        <v>6000.0</v>
      </c>
      <c r="F118" s="2"/>
      <c r="G118" s="6" t="s">
        <v>138</v>
      </c>
      <c r="H118" s="13"/>
      <c r="I118" s="13"/>
      <c r="J118" s="111" t="n">
        <v>10000</v>
      </c>
      <c r="K118" s="112" t="n">
        <v>5000</v>
      </c>
      <c r="L118" s="2"/>
      <c r="M118" s="6" t="s">
        <v>138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139</v>
      </c>
      <c r="B119" s="13"/>
      <c r="C119" s="13"/>
      <c r="D119" s="114" t="n">
        <f aca="false">E119</f>
        <v>2000</v>
      </c>
      <c r="E119" s="112" t="n">
        <v>2000.0</v>
      </c>
      <c r="F119" s="2"/>
      <c r="G119" s="6" t="s">
        <v>139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139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140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140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140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141</v>
      </c>
      <c r="B121" s="13"/>
      <c r="C121" s="13"/>
      <c r="D121" s="114" t="n">
        <f aca="false">D120-E120</f>
        <v>4000</v>
      </c>
      <c r="E121" s="14"/>
      <c r="F121" s="2"/>
      <c r="G121" s="6" t="s">
        <v>141</v>
      </c>
      <c r="H121" s="13"/>
      <c r="I121" s="13"/>
      <c r="J121" s="114" t="n">
        <f aca="false">J120-K120</f>
        <v>5000</v>
      </c>
      <c r="K121" s="14"/>
      <c r="L121" s="2"/>
      <c r="M121" s="6" t="s">
        <v>141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142</v>
      </c>
      <c r="B123" s="80"/>
      <c r="C123" s="80"/>
      <c r="D123" s="80"/>
      <c r="E123" s="102" t="n">
        <f aca="false">D105</f>
        <v>1000</v>
      </c>
      <c r="F123" s="2"/>
      <c r="G123" s="79" t="s">
        <v>142</v>
      </c>
      <c r="H123" s="80"/>
      <c r="I123" s="80"/>
      <c r="J123" s="80"/>
      <c r="K123" s="102" t="n">
        <f aca="false">J105</f>
        <v>5000</v>
      </c>
      <c r="L123" s="2"/>
      <c r="M123" s="79" t="s">
        <v>142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239.99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143</v>
      </c>
      <c r="B125" s="77"/>
      <c r="C125" s="77"/>
      <c r="D125" s="77"/>
      <c r="E125" s="84" t="n">
        <f aca="false">(E124+E123)-E120</f>
        <v>-2760.01</v>
      </c>
      <c r="F125" s="2"/>
      <c r="G125" s="116" t="s">
        <v>143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143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144</v>
      </c>
      <c r="B128" s="29"/>
      <c r="C128" s="29"/>
      <c r="D128" s="29"/>
      <c r="E128" s="29"/>
      <c r="F128" s="2"/>
      <c r="G128" s="29" t="s">
        <v>144</v>
      </c>
      <c r="H128" s="29"/>
      <c r="I128" s="29"/>
      <c r="J128" s="29"/>
      <c r="K128" s="29"/>
      <c r="L128" s="2"/>
      <c r="M128" s="29" t="s">
        <v>144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145</v>
      </c>
      <c r="B130" s="117" t="n">
        <v>0.0</v>
      </c>
      <c r="C130" s="117"/>
      <c r="D130" s="13"/>
      <c r="E130" s="14"/>
      <c r="F130" s="2"/>
      <c r="G130" s="6" t="s">
        <v>145</v>
      </c>
      <c r="H130" s="117" t="n">
        <v>0</v>
      </c>
      <c r="I130" s="117"/>
      <c r="J130" s="13"/>
      <c r="K130" s="14"/>
      <c r="L130" s="2"/>
      <c r="M130" s="6" t="s">
        <v>145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11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11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146</v>
      </c>
      <c r="B135" s="121" t="s">
        <v>147</v>
      </c>
      <c r="C135" s="121"/>
      <c r="D135" s="121" t="s">
        <v>112</v>
      </c>
      <c r="E135" s="14"/>
      <c r="F135" s="2"/>
      <c r="G135" s="120" t="s">
        <v>148</v>
      </c>
      <c r="H135" s="121" t="s">
        <v>149</v>
      </c>
      <c r="I135" s="121"/>
      <c r="J135" s="121" t="s">
        <v>150</v>
      </c>
      <c r="K135" s="14"/>
      <c r="L135" s="2"/>
      <c r="M135" s="120" t="s">
        <v>146</v>
      </c>
      <c r="N135" s="121" t="s">
        <v>147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215.488870176146</v>
      </c>
      <c r="B136" s="123" t="n">
        <f aca="false">IF(A111="YES", B95*B63, 0)</f>
        <v>0</v>
      </c>
      <c r="C136" s="123"/>
      <c r="D136" s="123" t="n">
        <f aca="false">B97</f>
        <v>215.488870176146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155</v>
      </c>
      <c r="I138" s="13"/>
      <c r="J138" s="13" t="s">
        <v>156</v>
      </c>
      <c r="K138" s="14"/>
      <c r="L138" s="2"/>
      <c r="M138" s="6" t="s">
        <v>151</v>
      </c>
      <c r="N138" s="13" t="s">
        <v>152</v>
      </c>
      <c r="O138" s="13"/>
      <c r="P138" s="13" t="s">
        <v>153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215.488870176146</v>
      </c>
      <c r="B139" s="126" t="n">
        <f aca="false">IF(A111="YES", B95*B63, 0)</f>
        <v>0</v>
      </c>
      <c r="C139" s="127"/>
      <c r="D139" s="128" t="n">
        <f aca="false">B97*B63</f>
        <v>215.488870176146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157</v>
      </c>
      <c r="B141" s="13" t="s">
        <v>158</v>
      </c>
      <c r="C141" s="13"/>
      <c r="D141" s="13" t="s">
        <v>159</v>
      </c>
      <c r="E141" s="14"/>
      <c r="F141" s="2"/>
      <c r="G141" s="6" t="s">
        <v>160</v>
      </c>
      <c r="H141" s="13" t="s">
        <v>161</v>
      </c>
      <c r="I141" s="13"/>
      <c r="J141" s="13" t="s">
        <v>162</v>
      </c>
      <c r="K141" s="14"/>
      <c r="L141" s="2"/>
      <c r="M141" s="6" t="s">
        <v>157</v>
      </c>
      <c r="N141" s="13" t="s">
        <v>158</v>
      </c>
      <c r="O141" s="13"/>
      <c r="P141" s="13" t="s">
        <v>159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163</v>
      </c>
      <c r="B144" s="13" t="s">
        <v>164</v>
      </c>
      <c r="C144" s="13"/>
      <c r="D144" s="13" t="s">
        <v>165</v>
      </c>
      <c r="E144" s="14"/>
      <c r="F144" s="2"/>
      <c r="G144" s="6" t="s">
        <v>166</v>
      </c>
      <c r="H144" s="13" t="s">
        <v>164</v>
      </c>
      <c r="I144" s="13"/>
      <c r="J144" s="13" t="s">
        <v>165</v>
      </c>
      <c r="K144" s="14"/>
      <c r="L144" s="2"/>
      <c r="M144" s="6" t="s">
        <v>163</v>
      </c>
      <c r="N144" s="13" t="s">
        <v>164</v>
      </c>
      <c r="O144" s="13"/>
      <c r="P144" s="13" t="s">
        <v>165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239.99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167</v>
      </c>
      <c r="B147" s="13" t="s">
        <v>168</v>
      </c>
      <c r="C147" s="13"/>
      <c r="D147" s="13" t="s">
        <v>169</v>
      </c>
      <c r="E147" s="14"/>
      <c r="F147" s="2"/>
      <c r="G147" s="6" t="s">
        <v>167</v>
      </c>
      <c r="H147" s="13" t="s">
        <v>168</v>
      </c>
      <c r="I147" s="13"/>
      <c r="J147" s="13" t="s">
        <v>169</v>
      </c>
      <c r="K147" s="14"/>
      <c r="L147" s="2"/>
      <c r="M147" s="6" t="s">
        <v>167</v>
      </c>
      <c r="N147" s="13" t="s">
        <v>168</v>
      </c>
      <c r="O147" s="13"/>
      <c r="P147" s="13" t="s">
        <v>169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139.99</v>
      </c>
      <c r="C148" s="126"/>
      <c r="D148" s="126" t="n">
        <f aca="false">(B145+D145+A148+B148)-B151</f>
        <v>622.365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170</v>
      </c>
      <c r="B150" s="13" t="s">
        <v>171</v>
      </c>
      <c r="C150" s="13"/>
      <c r="D150" s="13"/>
      <c r="E150" s="14"/>
      <c r="F150" s="2"/>
      <c r="G150" s="6" t="s">
        <v>170</v>
      </c>
      <c r="H150" s="13" t="s">
        <v>171</v>
      </c>
      <c r="I150" s="13"/>
      <c r="J150" s="13"/>
      <c r="K150" s="14"/>
      <c r="L150" s="2"/>
      <c r="M150" s="6" t="s">
        <v>170</v>
      </c>
      <c r="N150" s="13" t="s">
        <v>171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172</v>
      </c>
      <c r="N153" s="114" t="s">
        <v>173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174</v>
      </c>
      <c r="B154" s="13"/>
      <c r="C154" s="13"/>
      <c r="D154" s="67"/>
      <c r="E154" s="68"/>
      <c r="F154" s="2"/>
      <c r="G154" s="66" t="s">
        <v>174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174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215.488870176146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min="1" max="1" customWidth="true" hidden="false" style="216" width="41.67" collapsed="false" outlineLevel="0"/>
    <col min="2" max="6" customWidth="true" hidden="false" style="216" width="18.88" collapsed="false" outlineLevel="0"/>
    <col min="7" max="7" customWidth="true" hidden="false" style="216" width="23.13" collapsed="false" outlineLevel="0"/>
    <col min="8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2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2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2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 t="n">
        <v>0</v>
      </c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329" t="n">
        <v>0</v>
      </c>
      <c r="C4" s="329" t="n">
        <v>0</v>
      </c>
      <c r="D4" s="329" t="n">
        <v>0</v>
      </c>
      <c r="E4" s="329"/>
      <c r="F4" s="329" t="n">
        <v>0</v>
      </c>
      <c r="G4" s="329"/>
      <c r="H4" s="330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 t="n">
        <v>0</v>
      </c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331"/>
      <c r="C8" s="331"/>
      <c r="D8" s="331"/>
      <c r="E8" s="331"/>
      <c r="F8" s="331"/>
      <c r="G8" s="331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 t="n">
        <f aca="false">(B7+C7+D7+E3)</f>
        <v>46854.17</v>
      </c>
      <c r="F9" s="226"/>
      <c r="G9" s="332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 t="n">
        <v>50</v>
      </c>
      <c r="F10" s="229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 t="n">
        <v>585</v>
      </c>
      <c r="F13" s="229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 t="n">
        <v>55</v>
      </c>
      <c r="F14" s="229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 t="n">
        <v>120</v>
      </c>
      <c r="F16" s="229"/>
      <c r="G16" s="4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5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210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210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210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  <c r="P22" s="333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  <c r="P23" s="333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0"/>
      <c r="J24" s="0"/>
      <c r="K24" s="0"/>
      <c r="P24" s="333"/>
    </row>
    <row r="25" customFormat="false" ht="17.35" hidden="false" customHeight="false" outlineLevel="0" collapsed="false">
      <c r="A25" s="138"/>
      <c r="B25" s="145"/>
      <c r="C25" s="145"/>
      <c r="D25" s="145"/>
      <c r="E25" s="146"/>
      <c r="F25" s="135"/>
      <c r="G25" s="135"/>
      <c r="H25" s="135"/>
      <c r="I25" s="0"/>
      <c r="J25" s="0"/>
      <c r="K25" s="0"/>
      <c r="P25" s="333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0"/>
      <c r="J26" s="0"/>
      <c r="K26" s="0"/>
      <c r="P26" s="333"/>
    </row>
    <row r="27" customFormat="false" ht="17.35" hidden="false" customHeight="fals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3"/>
    </row>
    <row r="28" customFormat="false" ht="31.8" hidden="false" customHeight="fals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3"/>
    </row>
    <row r="29" customFormat="false" ht="17.35" hidden="false" customHeight="fals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33</v>
      </c>
      <c r="I29" s="0"/>
      <c r="J29" s="0"/>
      <c r="K29" s="0"/>
      <c r="P29" s="333"/>
    </row>
    <row r="30" customFormat="false" ht="17.35" hidden="false" customHeight="fals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0"/>
      <c r="J30" s="0"/>
      <c r="K30" s="0"/>
      <c r="P30" s="333"/>
    </row>
    <row r="31" customFormat="false" ht="31.8" hidden="false" customHeight="fals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0"/>
      <c r="J31" s="0"/>
      <c r="K31" s="0"/>
      <c r="P31" s="333"/>
    </row>
    <row r="32" customFormat="false" ht="17.35" hidden="false" customHeight="fals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n">
        <f aca="false">IF(A32=Z103,A41,IF(A32=Z104,A41,IF(A32=Z105,(A41*3),IF(A32=Z106,(A41*6),IF(A32=Z107,(A41*9),IF(A32=Z108,(A41*12),IF(A32=Z109,A41,IF(A32=Z110,A41,IF(A32=Z111,A41,0)))))))))</f>
        <v>14.2424242424242</v>
      </c>
      <c r="E32" s="159"/>
      <c r="F32" s="135"/>
      <c r="G32" s="160" t="s">
        <v>177</v>
      </c>
      <c r="H32" s="158" t="n">
        <f aca="false">A41</f>
        <v>14.2424242424242</v>
      </c>
      <c r="I32" s="0"/>
      <c r="J32" s="334" t="s">
        <v>268</v>
      </c>
      <c r="K32" s="335" t="s">
        <v>269</v>
      </c>
      <c r="P32" s="333"/>
    </row>
    <row r="33" customFormat="false" ht="17.35" hidden="false" customHeight="fals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n">
        <f aca="false">D41</f>
        <v>0</v>
      </c>
      <c r="I33" s="0"/>
      <c r="J33" s="334"/>
      <c r="K33" s="336"/>
      <c r="P33" s="333"/>
    </row>
    <row r="34" customFormat="false" ht="17.35" hidden="false" customHeight="fals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12</v>
      </c>
      <c r="I34" s="0"/>
      <c r="J34" s="334" t="s">
        <v>270</v>
      </c>
      <c r="K34" s="337" t="s">
        <v>49</v>
      </c>
      <c r="P34" s="333"/>
    </row>
    <row r="35" customFormat="false" ht="17.35" hidden="false" customHeight="false" outlineLevel="0" collapsed="false">
      <c r="A35" s="159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5"/>
      <c r="G35" s="162"/>
      <c r="H35" s="163"/>
      <c r="I35" s="0"/>
      <c r="J35" s="334"/>
      <c r="K35" s="336"/>
      <c r="P35" s="333"/>
    </row>
    <row r="36" customFormat="false" ht="17.35" hidden="false" customHeight="false" outlineLevel="0" collapsed="false">
      <c r="A36" s="138"/>
      <c r="B36" s="145"/>
      <c r="C36" s="145"/>
      <c r="D36" s="145"/>
      <c r="E36" s="146"/>
      <c r="F36" s="135"/>
      <c r="G36" s="135" t="s">
        <v>271</v>
      </c>
      <c r="H36" s="338" t="s">
        <v>272</v>
      </c>
      <c r="I36" s="0"/>
      <c r="J36" s="334" t="s">
        <v>273</v>
      </c>
      <c r="K36" s="339" t="n">
        <f aca="false">K32-K34</f>
        <v>47877.5</v>
      </c>
      <c r="P36" s="333"/>
    </row>
    <row r="37" customFormat="false" ht="17.35" hidden="false" customHeight="fals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0"/>
      <c r="J37" s="0"/>
      <c r="K37" s="0"/>
      <c r="P37" s="333"/>
    </row>
    <row r="38" customFormat="false" ht="17.35" hidden="false" customHeight="false" outlineLevel="0" collapsed="false">
      <c r="A38" s="164" t="n">
        <f aca="false">(B35/12)*D35</f>
        <v>13750</v>
      </c>
      <c r="B38" s="37" t="s">
        <v>25</v>
      </c>
      <c r="C38" s="37"/>
      <c r="D38" s="42" t="s">
        <v>55</v>
      </c>
      <c r="E38" s="42"/>
      <c r="F38" s="135"/>
      <c r="G38" s="135"/>
      <c r="H38" s="135"/>
      <c r="I38" s="0"/>
      <c r="J38" s="340"/>
      <c r="K38" s="340"/>
      <c r="L38" s="50"/>
      <c r="N38" s="216" t="n">
        <f aca="false">80.88*36</f>
        <v>2911.68</v>
      </c>
      <c r="P38" s="333"/>
    </row>
    <row r="39" customFormat="false" ht="17.35" hidden="false" customHeight="false" outlineLevel="0" collapsed="false">
      <c r="A39" s="57"/>
      <c r="B39" s="45"/>
      <c r="C39" s="45"/>
      <c r="D39" s="145"/>
      <c r="E39" s="146"/>
      <c r="F39" s="135"/>
      <c r="G39" s="135"/>
      <c r="H39" s="165"/>
      <c r="I39" s="0"/>
      <c r="J39" s="0"/>
      <c r="K39" s="0"/>
      <c r="L39" s="50"/>
      <c r="N39" s="216" t="n">
        <f aca="false">K39-L39</f>
        <v>0</v>
      </c>
      <c r="P39" s="333"/>
    </row>
    <row r="40" customFormat="false" ht="17.35" hidden="false" customHeight="fals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0"/>
      <c r="J40" s="0"/>
      <c r="K40" s="0"/>
      <c r="L40" s="50"/>
      <c r="N40" s="216" t="n">
        <f aca="false">N38-N39</f>
        <v>2911.68</v>
      </c>
      <c r="P40" s="333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0</v>
      </c>
      <c r="E41" s="42"/>
      <c r="F41" s="135"/>
      <c r="G41" s="135"/>
      <c r="H41" s="167"/>
      <c r="J41" s="50"/>
      <c r="K41" s="50"/>
      <c r="L41" s="50"/>
      <c r="P41" s="333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J42" s="50"/>
      <c r="K42" s="50"/>
      <c r="L42" s="50"/>
      <c r="P42" s="333"/>
    </row>
    <row r="43" customFormat="false" ht="17.35" hidden="false" customHeight="fals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500.363636363636</v>
      </c>
      <c r="J43" s="50"/>
      <c r="K43" s="50"/>
      <c r="L43" s="50"/>
      <c r="P43" s="333"/>
    </row>
    <row r="44" customFormat="false" ht="17.35" hidden="false" customHeight="false" outlineLevel="0" collapsed="false">
      <c r="A44" s="42" t="s">
        <v>44</v>
      </c>
      <c r="B44" s="166" t="n">
        <v>0</v>
      </c>
      <c r="C44" s="166"/>
      <c r="D44" s="166" t="n">
        <v>0</v>
      </c>
      <c r="E44" s="166"/>
      <c r="F44" s="135"/>
      <c r="G44" s="135" t="s">
        <v>185</v>
      </c>
      <c r="H44" s="165" t="n">
        <f aca="false">H32</f>
        <v>14.2424242424242</v>
      </c>
      <c r="J44" s="50"/>
      <c r="K44" s="50"/>
      <c r="L44" s="50"/>
      <c r="P44" s="333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514.606060606061</v>
      </c>
      <c r="J45" s="50"/>
      <c r="K45" s="50"/>
      <c r="L45" s="50"/>
      <c r="P45" s="333"/>
    </row>
    <row r="46" customFormat="false" ht="17.35" hidden="false" customHeight="fals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500.363636363636</v>
      </c>
      <c r="J46" s="50"/>
      <c r="K46" s="50"/>
      <c r="L46" s="50"/>
      <c r="P46" s="333"/>
    </row>
    <row r="47" customFormat="false" ht="17.35" hidden="false" customHeight="false" outlineLevel="0" collapsed="false">
      <c r="A47" s="170" t="n">
        <v>0</v>
      </c>
      <c r="B47" s="171" t="n">
        <v>0</v>
      </c>
      <c r="C47" s="171"/>
      <c r="D47" s="166" t="n">
        <v>0</v>
      </c>
      <c r="E47" s="166"/>
      <c r="F47" s="135"/>
      <c r="G47" s="135"/>
      <c r="H47" s="165"/>
      <c r="J47" s="50"/>
      <c r="K47" s="50"/>
      <c r="L47" s="50"/>
      <c r="P47" s="333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5"/>
      <c r="G48" s="135"/>
      <c r="H48" s="165"/>
      <c r="J48" s="63"/>
      <c r="K48" s="50"/>
      <c r="L48" s="50"/>
      <c r="P48" s="333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5"/>
      <c r="G49" s="135"/>
      <c r="H49" s="165"/>
      <c r="J49" s="50"/>
      <c r="K49" s="50"/>
      <c r="L49" s="50"/>
      <c r="P49" s="333"/>
    </row>
    <row r="50" customFormat="false" ht="17.35" hidden="false" customHeight="false" outlineLevel="0" collapsed="false">
      <c r="A50" s="138"/>
      <c r="B50" s="175"/>
      <c r="C50" s="175"/>
      <c r="D50" s="145"/>
      <c r="E50" s="146"/>
      <c r="F50" s="0"/>
      <c r="G50" s="0"/>
      <c r="H50" s="0"/>
      <c r="I50" s="50"/>
      <c r="J50" s="50"/>
      <c r="K50" s="50"/>
      <c r="P50" s="333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5"/>
      <c r="E51" s="146"/>
      <c r="F51" s="0"/>
      <c r="G51" s="0"/>
      <c r="H51" s="0"/>
      <c r="I51" s="50"/>
      <c r="J51" s="50"/>
      <c r="K51" s="50"/>
      <c r="P51" s="333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5"/>
      <c r="E52" s="146"/>
      <c r="F52" s="0"/>
      <c r="G52" s="0"/>
      <c r="H52" s="0"/>
      <c r="I52" s="50"/>
      <c r="J52" s="50"/>
      <c r="K52" s="50"/>
      <c r="P52" s="333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5"/>
      <c r="E53" s="146"/>
      <c r="F53" s="0"/>
      <c r="G53" s="0"/>
      <c r="H53" s="0"/>
      <c r="I53" s="50"/>
      <c r="J53" s="50"/>
      <c r="K53" s="50"/>
      <c r="P53" s="333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3"/>
    </row>
    <row r="55" customFormat="false" ht="17.35" hidden="false" customHeight="false" outlineLevel="0" collapsed="false">
      <c r="A55" s="236"/>
      <c r="B55" s="236"/>
      <c r="C55" s="236"/>
      <c r="D55" s="236"/>
      <c r="E55" s="236"/>
      <c r="F55" s="236"/>
      <c r="G55" s="236"/>
      <c r="H55" s="236"/>
      <c r="J55" s="50"/>
      <c r="K55" s="50"/>
      <c r="P55" s="333"/>
    </row>
    <row r="56" customFormat="false" ht="17.35" hidden="false" customHeight="false" outlineLevel="0" collapsed="false">
      <c r="A56" s="236"/>
      <c r="B56" s="236"/>
      <c r="C56" s="236"/>
      <c r="D56" s="236"/>
      <c r="E56" s="236"/>
      <c r="F56" s="236"/>
      <c r="G56" s="236"/>
      <c r="H56" s="236"/>
      <c r="J56" s="50"/>
      <c r="K56" s="50"/>
      <c r="P56" s="333"/>
    </row>
    <row r="57" customFormat="false" ht="17.35" hidden="false" customHeight="false" outlineLevel="0" collapsed="false">
      <c r="A57" s="238"/>
      <c r="B57" s="239"/>
      <c r="C57" s="239"/>
      <c r="D57" s="239"/>
      <c r="E57" s="262"/>
      <c r="F57" s="262"/>
      <c r="G57" s="262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1" t="s">
        <v>83</v>
      </c>
      <c r="B58" s="331" t="n">
        <v>1</v>
      </c>
      <c r="C58" s="341"/>
      <c r="D58" s="331"/>
      <c r="E58" s="342"/>
      <c r="F58" s="342"/>
      <c r="G58" s="34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1" t="s">
        <v>84</v>
      </c>
      <c r="B59" s="331" t="n">
        <f aca="false">B35-B58</f>
        <v>32</v>
      </c>
      <c r="C59" s="341"/>
      <c r="D59" s="331"/>
      <c r="E59" s="342"/>
      <c r="F59" s="342"/>
      <c r="G59" s="34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3" t="s">
        <v>206</v>
      </c>
      <c r="B60" s="88" t="n">
        <v>10</v>
      </c>
      <c r="C60" s="341"/>
      <c r="D60" s="331"/>
      <c r="E60" s="342"/>
      <c r="F60" s="342"/>
      <c r="G60" s="34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1" t="s">
        <v>21</v>
      </c>
      <c r="B61" s="331" t="n">
        <f aca="false">J18</f>
        <v>57225</v>
      </c>
      <c r="C61" s="341"/>
      <c r="D61" s="331"/>
      <c r="E61" s="342"/>
      <c r="F61" s="342"/>
      <c r="G61" s="34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4" t="s">
        <v>207</v>
      </c>
      <c r="B62" s="343" t="n">
        <v>0</v>
      </c>
      <c r="C62" s="341"/>
      <c r="D62" s="331"/>
      <c r="E62" s="342"/>
      <c r="F62" s="342"/>
      <c r="G62" s="342"/>
      <c r="H62" s="11"/>
      <c r="J62" s="0"/>
      <c r="K62" s="344"/>
      <c r="L62" s="0"/>
      <c r="M62" s="0"/>
      <c r="N62" s="0"/>
      <c r="O62" s="0"/>
      <c r="P62" s="0"/>
      <c r="Q62" s="0"/>
      <c r="R62" s="0"/>
      <c r="S62" s="0"/>
      <c r="T62" s="344"/>
      <c r="U62" s="0"/>
      <c r="V62" s="0"/>
      <c r="W62" s="0"/>
      <c r="X62" s="0"/>
      <c r="Y62" s="0"/>
      <c r="Z62" s="0"/>
      <c r="AA62" s="0"/>
      <c r="AB62" s="0"/>
      <c r="AC62" s="344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8" t="s">
        <v>208</v>
      </c>
      <c r="B63" s="345" t="n">
        <v>0.065</v>
      </c>
      <c r="C63" s="341"/>
      <c r="D63" s="331"/>
      <c r="E63" s="342"/>
      <c r="F63" s="342"/>
      <c r="G63" s="342"/>
      <c r="H63" s="11"/>
      <c r="J63" s="0"/>
      <c r="K63" s="344"/>
      <c r="L63" s="0"/>
      <c r="M63" s="0"/>
      <c r="N63" s="0"/>
      <c r="O63" s="0"/>
      <c r="P63" s="0"/>
      <c r="Q63" s="0"/>
      <c r="R63" s="0"/>
      <c r="S63" s="0"/>
      <c r="T63" s="344"/>
      <c r="U63" s="0"/>
      <c r="V63" s="0"/>
      <c r="W63" s="0"/>
      <c r="X63" s="0"/>
      <c r="Y63" s="0"/>
      <c r="Z63" s="0"/>
      <c r="AA63" s="0"/>
      <c r="AB63" s="0"/>
      <c r="AC63" s="344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7" t="s">
        <v>209</v>
      </c>
      <c r="B64" s="346" t="n">
        <v>0.072</v>
      </c>
      <c r="C64" s="331"/>
      <c r="D64" s="331"/>
      <c r="E64" s="342"/>
      <c r="F64" s="342"/>
      <c r="G64" s="342"/>
      <c r="H64" s="11"/>
      <c r="J64" s="0"/>
      <c r="K64" s="344"/>
      <c r="L64" s="0"/>
      <c r="M64" s="0"/>
      <c r="N64" s="0"/>
      <c r="O64" s="0"/>
      <c r="P64" s="0"/>
      <c r="Q64" s="0"/>
      <c r="R64" s="0"/>
      <c r="S64" s="0"/>
      <c r="T64" s="344"/>
      <c r="U64" s="0"/>
      <c r="V64" s="0"/>
      <c r="W64" s="0"/>
      <c r="X64" s="0"/>
      <c r="Y64" s="0"/>
      <c r="Z64" s="0"/>
      <c r="AA64" s="0"/>
      <c r="AB64" s="0"/>
      <c r="AC64" s="344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9" t="s">
        <v>87</v>
      </c>
      <c r="B65" s="84" t="n">
        <f aca="false">(B89*B59)-B53</f>
        <v>55466.9696823396</v>
      </c>
      <c r="C65" s="331"/>
      <c r="D65" s="331"/>
      <c r="E65" s="342"/>
      <c r="F65" s="342"/>
      <c r="G65" s="34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4" t="s">
        <v>88</v>
      </c>
      <c r="B66" s="343" t="n">
        <v>0.005</v>
      </c>
      <c r="C66" s="331"/>
      <c r="D66" s="331"/>
      <c r="E66" s="342"/>
      <c r="F66" s="342"/>
      <c r="G66" s="342"/>
      <c r="H66" s="11"/>
      <c r="J66" s="0"/>
      <c r="K66" s="344"/>
      <c r="L66" s="0"/>
      <c r="M66" s="0"/>
      <c r="N66" s="0"/>
      <c r="O66" s="0"/>
      <c r="P66" s="0"/>
      <c r="Q66" s="0"/>
      <c r="R66" s="0"/>
      <c r="S66" s="0"/>
      <c r="T66" s="344"/>
      <c r="U66" s="0"/>
      <c r="V66" s="0"/>
      <c r="W66" s="0"/>
      <c r="X66" s="0"/>
      <c r="Y66" s="0"/>
      <c r="Z66" s="0"/>
      <c r="AA66" s="0"/>
      <c r="AB66" s="0"/>
      <c r="AC66" s="344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1" t="s">
        <v>89</v>
      </c>
      <c r="B67" s="347" t="n">
        <f aca="false">B66+(B66*0.5*(K29/12-1))</f>
        <v>0.0025</v>
      </c>
      <c r="C67" s="331"/>
      <c r="D67" s="331"/>
      <c r="E67" s="342"/>
      <c r="F67" s="342"/>
      <c r="G67" s="342"/>
      <c r="H67" s="11"/>
      <c r="J67" s="0"/>
      <c r="K67" s="344"/>
      <c r="L67" s="0"/>
      <c r="M67" s="0"/>
      <c r="N67" s="0"/>
      <c r="O67" s="0"/>
      <c r="P67" s="0"/>
      <c r="Q67" s="0"/>
      <c r="R67" s="0"/>
      <c r="S67" s="0"/>
      <c r="T67" s="344"/>
      <c r="U67" s="0"/>
      <c r="V67" s="0"/>
      <c r="W67" s="0"/>
      <c r="X67" s="0"/>
      <c r="Y67" s="0"/>
      <c r="Z67" s="0"/>
      <c r="AA67" s="0"/>
      <c r="AB67" s="0"/>
      <c r="AC67" s="344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9" t="s">
        <v>90</v>
      </c>
      <c r="B68" s="84" t="n">
        <f aca="false">(G158*B67)</f>
        <v>143.81251</v>
      </c>
      <c r="C68" s="331"/>
      <c r="D68" s="331"/>
      <c r="E68" s="342"/>
      <c r="F68" s="342"/>
      <c r="G68" s="34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4" t="s">
        <v>91</v>
      </c>
      <c r="B69" s="343" t="n">
        <v>0</v>
      </c>
      <c r="C69" s="348"/>
      <c r="D69" s="331"/>
      <c r="E69" s="342"/>
      <c r="F69" s="342"/>
      <c r="G69" s="342"/>
      <c r="H69" s="11"/>
      <c r="J69" s="0"/>
      <c r="K69" s="344"/>
      <c r="L69" s="0"/>
      <c r="M69" s="0"/>
      <c r="N69" s="0"/>
      <c r="O69" s="0"/>
      <c r="P69" s="0"/>
      <c r="Q69" s="0"/>
      <c r="R69" s="0"/>
      <c r="S69" s="0"/>
      <c r="T69" s="344"/>
      <c r="U69" s="0"/>
      <c r="V69" s="0"/>
      <c r="W69" s="0"/>
      <c r="X69" s="0"/>
      <c r="Y69" s="0"/>
      <c r="Z69" s="0"/>
      <c r="AA69" s="0"/>
      <c r="AB69" s="0"/>
      <c r="AC69" s="344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8" t="s">
        <v>92</v>
      </c>
      <c r="B70" s="345" t="n">
        <v>0</v>
      </c>
      <c r="C70" s="348"/>
      <c r="D70" s="331"/>
      <c r="E70" s="342"/>
      <c r="F70" s="342"/>
      <c r="G70" s="342"/>
      <c r="H70" s="11"/>
      <c r="J70" s="0"/>
      <c r="K70" s="344"/>
      <c r="L70" s="0"/>
      <c r="M70" s="0"/>
      <c r="N70" s="0"/>
      <c r="O70" s="0"/>
      <c r="P70" s="0"/>
      <c r="Q70" s="0"/>
      <c r="R70" s="0"/>
      <c r="S70" s="0"/>
      <c r="T70" s="344"/>
      <c r="U70" s="0"/>
      <c r="V70" s="0"/>
      <c r="W70" s="0"/>
      <c r="X70" s="0"/>
      <c r="Y70" s="0"/>
      <c r="Z70" s="0"/>
      <c r="AA70" s="0"/>
      <c r="AB70" s="0"/>
      <c r="AC70" s="344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9" t="s">
        <v>93</v>
      </c>
      <c r="B71" s="349" t="n">
        <f aca="false">B69*(1+B70)</f>
        <v>0</v>
      </c>
      <c r="C71" s="348"/>
      <c r="D71" s="331"/>
      <c r="E71" s="342"/>
      <c r="F71" s="342"/>
      <c r="G71" s="342"/>
      <c r="H71" s="11"/>
      <c r="J71" s="0"/>
      <c r="K71" s="344"/>
      <c r="L71" s="0"/>
      <c r="M71" s="0"/>
      <c r="N71" s="0"/>
      <c r="O71" s="0"/>
      <c r="P71" s="0"/>
      <c r="Q71" s="0"/>
      <c r="R71" s="0"/>
      <c r="S71" s="0"/>
      <c r="T71" s="344"/>
      <c r="U71" s="0"/>
      <c r="V71" s="0"/>
      <c r="W71" s="0"/>
      <c r="X71" s="0"/>
      <c r="Y71" s="0"/>
      <c r="Z71" s="0"/>
      <c r="AA71" s="0"/>
      <c r="AB71" s="0"/>
      <c r="AC71" s="344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4" t="s">
        <v>94</v>
      </c>
      <c r="B72" s="87" t="n">
        <v>0</v>
      </c>
      <c r="C72" s="348"/>
      <c r="D72" s="331"/>
      <c r="E72" s="342"/>
      <c r="F72" s="342"/>
      <c r="G72" s="34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8" t="s">
        <v>95</v>
      </c>
      <c r="B73" s="88" t="n">
        <v>0</v>
      </c>
      <c r="C73" s="348"/>
      <c r="D73" s="331"/>
      <c r="E73" s="342"/>
      <c r="F73" s="342"/>
      <c r="G73" s="34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9" t="s">
        <v>96</v>
      </c>
      <c r="B74" s="84" t="n">
        <f aca="false">B73*B35</f>
        <v>0</v>
      </c>
      <c r="C74" s="348"/>
      <c r="D74" s="331" t="n">
        <f aca="false">B74+B72</f>
        <v>0</v>
      </c>
      <c r="E74" s="342"/>
      <c r="F74" s="342"/>
      <c r="G74" s="34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8" t="s">
        <v>103</v>
      </c>
      <c r="B75" s="88" t="n">
        <v>0</v>
      </c>
      <c r="C75" s="348"/>
      <c r="D75" s="331" t="n">
        <f aca="false">B75</f>
        <v>0</v>
      </c>
      <c r="E75" s="342"/>
      <c r="F75" s="342"/>
      <c r="G75" s="34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7" t="s">
        <v>104</v>
      </c>
      <c r="B76" s="97" t="n">
        <v>0</v>
      </c>
      <c r="C76" s="348"/>
      <c r="D76" s="331" t="n">
        <f aca="false">B76</f>
        <v>0</v>
      </c>
      <c r="E76" s="342"/>
      <c r="F76" s="331"/>
      <c r="G76" s="34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1" t="s">
        <v>105</v>
      </c>
      <c r="B77" s="272" t="n">
        <f aca="false">SUM(D65:D76)</f>
        <v>0</v>
      </c>
      <c r="C77" s="331"/>
      <c r="D77" s="331"/>
      <c r="E77" s="342"/>
      <c r="F77" s="331"/>
      <c r="G77" s="331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1" t="s">
        <v>106</v>
      </c>
      <c r="B78" s="11" t="n">
        <f aca="false">B77/B35</f>
        <v>0</v>
      </c>
      <c r="C78" s="331"/>
      <c r="D78" s="331"/>
      <c r="E78" s="342"/>
      <c r="F78" s="342"/>
      <c r="G78" s="34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3" t="s">
        <v>107</v>
      </c>
      <c r="B79" s="101" t="n">
        <f aca="false">H46</f>
        <v>500.363636363636</v>
      </c>
      <c r="C79" s="331"/>
      <c r="D79" s="331"/>
      <c r="E79" s="342"/>
      <c r="F79" s="342"/>
      <c r="G79" s="34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1"/>
      <c r="B80" s="331"/>
      <c r="C80" s="331"/>
      <c r="D80" s="331"/>
      <c r="E80" s="342"/>
      <c r="F80" s="342"/>
      <c r="G80" s="34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8" t="s">
        <v>210</v>
      </c>
      <c r="B81" s="102" t="n">
        <f aca="false">K36</f>
        <v>47877.5</v>
      </c>
      <c r="C81" s="331"/>
      <c r="D81" s="331"/>
      <c r="E81" s="342"/>
      <c r="F81" s="342"/>
      <c r="G81" s="34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1" t="s">
        <v>211</v>
      </c>
      <c r="B82" s="11" t="n">
        <f aca="false">IF(A111="YES", D41,0)</f>
        <v>0</v>
      </c>
      <c r="C82" s="331"/>
      <c r="D82" s="331"/>
      <c r="E82" s="342"/>
      <c r="F82" s="342"/>
      <c r="G82" s="34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1" t="s">
        <v>212</v>
      </c>
      <c r="B83" s="350" t="n">
        <f aca="false">B62+B63+B64</f>
        <v>0.137</v>
      </c>
      <c r="C83" s="331"/>
      <c r="D83" s="331"/>
      <c r="E83" s="342"/>
      <c r="F83" s="342"/>
      <c r="G83" s="342"/>
      <c r="H83" s="11"/>
      <c r="J83" s="0"/>
      <c r="K83" s="344"/>
      <c r="L83" s="0"/>
      <c r="M83" s="0"/>
      <c r="N83" s="0"/>
      <c r="O83" s="0"/>
      <c r="P83" s="0"/>
      <c r="Q83" s="0"/>
      <c r="R83" s="0"/>
      <c r="S83" s="0"/>
      <c r="T83" s="344"/>
      <c r="U83" s="0"/>
      <c r="V83" s="0"/>
      <c r="W83" s="0"/>
      <c r="X83" s="0"/>
      <c r="Y83" s="0"/>
      <c r="Z83" s="0"/>
      <c r="AA83" s="0"/>
      <c r="AB83" s="0"/>
      <c r="AC83" s="344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1" t="s">
        <v>213</v>
      </c>
      <c r="B84" s="347" t="n">
        <f aca="false">B83/12</f>
        <v>0.0114166666666667</v>
      </c>
      <c r="C84" s="331"/>
      <c r="D84" s="331"/>
      <c r="E84" s="342"/>
      <c r="F84" s="342"/>
      <c r="G84" s="342"/>
      <c r="H84" s="11"/>
      <c r="J84" s="0"/>
      <c r="K84" s="344"/>
      <c r="L84" s="0"/>
      <c r="M84" s="0"/>
      <c r="N84" s="0"/>
      <c r="O84" s="0"/>
      <c r="P84" s="0"/>
      <c r="Q84" s="0"/>
      <c r="R84" s="0"/>
      <c r="S84" s="0"/>
      <c r="T84" s="344"/>
      <c r="U84" s="0"/>
      <c r="V84" s="0"/>
      <c r="W84" s="0"/>
      <c r="X84" s="0"/>
      <c r="Y84" s="0"/>
      <c r="Z84" s="0"/>
      <c r="AA84" s="0"/>
      <c r="AB84" s="0"/>
      <c r="AC84" s="344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1" t="s">
        <v>214</v>
      </c>
      <c r="B85" s="11" t="n">
        <f aca="false">IF(B82=0, (B59+B58), (B59))</f>
        <v>33</v>
      </c>
      <c r="C85" s="331"/>
      <c r="D85" s="331"/>
      <c r="E85" s="342"/>
      <c r="F85" s="342"/>
      <c r="G85" s="34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1" t="s">
        <v>215</v>
      </c>
      <c r="B86" s="11" t="n">
        <f aca="false">(B82/((1+B84)^(B85+1)))</f>
        <v>0</v>
      </c>
      <c r="C86" s="331" t="n">
        <f aca="false">(B82/((1+B84)^(B85+1)))</f>
        <v>0</v>
      </c>
      <c r="D86" s="331"/>
      <c r="E86" s="342"/>
      <c r="F86" s="342"/>
      <c r="G86" s="34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1" t="s">
        <v>216</v>
      </c>
      <c r="B87" s="11" t="n">
        <f aca="false">((1-(1/((1+B84)^B85)))/B84)</f>
        <v>27.3675754865307</v>
      </c>
      <c r="C87" s="331" t="n">
        <f aca="false">((1-(1/((1+B84)^B85)))/B84)</f>
        <v>27.3675754865307</v>
      </c>
      <c r="D87" s="331"/>
      <c r="E87" s="342"/>
      <c r="F87" s="342"/>
      <c r="G87" s="34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1" t="s">
        <v>217</v>
      </c>
      <c r="B88" s="11" t="n">
        <f aca="false">B81-B86</f>
        <v>47877.5</v>
      </c>
      <c r="C88" s="331" t="n">
        <f aca="false">B81-B86</f>
        <v>47877.5</v>
      </c>
      <c r="D88" s="331"/>
      <c r="E88" s="342"/>
      <c r="F88" s="342"/>
      <c r="G88" s="34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1" t="s">
        <v>218</v>
      </c>
      <c r="B89" s="11" t="n">
        <f aca="false">(B88/B87)</f>
        <v>1749.42424196705</v>
      </c>
      <c r="C89" s="331" t="n">
        <f aca="false">(B88/B87)</f>
        <v>1749.42424196705</v>
      </c>
      <c r="D89" s="331"/>
      <c r="E89" s="342"/>
      <c r="F89" s="342"/>
      <c r="G89" s="34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1" t="s">
        <v>108</v>
      </c>
      <c r="B90" s="11" t="n">
        <f aca="false">((B89*(B85))+B77)</f>
        <v>57730.9999849127</v>
      </c>
      <c r="C90" s="331"/>
      <c r="D90" s="331"/>
      <c r="E90" s="342"/>
      <c r="F90" s="342"/>
      <c r="G90" s="34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1" t="s">
        <v>109</v>
      </c>
      <c r="B91" s="11" t="n">
        <f aca="false">(((B89*(B85))+B77)/(1-B71))*B71</f>
        <v>0</v>
      </c>
      <c r="C91" s="331"/>
      <c r="D91" s="331"/>
      <c r="E91" s="342"/>
      <c r="F91" s="342"/>
      <c r="G91" s="34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9" t="s">
        <v>110</v>
      </c>
      <c r="B92" s="84" t="n">
        <f aca="false">(B90+B91)</f>
        <v>57730.9999849127</v>
      </c>
      <c r="C92" s="331"/>
      <c r="D92" s="331"/>
      <c r="E92" s="342"/>
      <c r="F92" s="342"/>
      <c r="G92" s="34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1"/>
      <c r="B93" s="331"/>
      <c r="C93" s="331"/>
      <c r="D93" s="331"/>
      <c r="E93" s="342"/>
      <c r="F93" s="342"/>
      <c r="G93" s="34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1" t="s">
        <v>65</v>
      </c>
      <c r="B94" s="351" t="n">
        <f aca="false">IF(B38="YES",((H36/B85)*(1+A108)),"0")</f>
        <v>17.0909090909091</v>
      </c>
      <c r="C94" s="331"/>
      <c r="D94" s="331"/>
      <c r="E94" s="342"/>
      <c r="F94" s="342"/>
      <c r="G94" s="34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4" t="s">
        <v>111</v>
      </c>
      <c r="B95" s="275" t="n">
        <f aca="false">B92/(B85)</f>
        <v>1749.42424196705</v>
      </c>
      <c r="C95" s="331"/>
      <c r="D95" s="331"/>
      <c r="E95" s="342"/>
      <c r="F95" s="342"/>
      <c r="G95" s="34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6" t="s">
        <v>112</v>
      </c>
      <c r="B96" s="277" t="n">
        <f aca="false">B94+B95</f>
        <v>1766.51515105796</v>
      </c>
      <c r="C96" s="331"/>
      <c r="D96" s="331"/>
      <c r="E96" s="342"/>
      <c r="F96" s="342"/>
      <c r="G96" s="34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9"/>
      <c r="B97" s="250"/>
      <c r="C97" s="250"/>
      <c r="D97" s="250"/>
      <c r="E97" s="278"/>
      <c r="F97" s="278"/>
      <c r="G97" s="278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6"/>
      <c r="B98" s="236"/>
      <c r="C98" s="236"/>
      <c r="D98" s="236"/>
      <c r="E98" s="236"/>
      <c r="F98" s="236"/>
      <c r="G98" s="236"/>
      <c r="H98" s="236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6"/>
      <c r="B99" s="236"/>
      <c r="C99" s="236"/>
      <c r="D99" s="236"/>
      <c r="E99" s="236"/>
      <c r="F99" s="236"/>
      <c r="G99" s="236"/>
      <c r="H99" s="236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7" t="s">
        <v>220</v>
      </c>
      <c r="B100" s="217"/>
      <c r="C100" s="217"/>
      <c r="D100" s="217"/>
      <c r="E100" s="217"/>
      <c r="F100" s="217"/>
      <c r="G100" s="217"/>
      <c r="H100" s="217"/>
      <c r="J100" s="340"/>
      <c r="K100" s="340"/>
      <c r="L100" s="340"/>
      <c r="M100" s="340"/>
      <c r="N100" s="340"/>
      <c r="O100" s="340"/>
      <c r="P100" s="340"/>
      <c r="Q100" s="340"/>
      <c r="R100" s="0"/>
      <c r="S100" s="340"/>
      <c r="T100" s="340"/>
      <c r="U100" s="340"/>
      <c r="V100" s="340"/>
      <c r="W100" s="340"/>
      <c r="X100" s="340"/>
      <c r="Y100" s="340"/>
      <c r="Z100" s="340"/>
      <c r="AA100" s="0"/>
      <c r="AB100" s="340"/>
      <c r="AC100" s="340"/>
      <c r="AD100" s="340"/>
      <c r="AE100" s="340"/>
      <c r="AF100" s="340"/>
      <c r="AG100" s="340"/>
      <c r="AH100" s="340"/>
      <c r="AI100" s="340"/>
    </row>
    <row r="101" customFormat="false" ht="17.35" hidden="false" customHeight="false" outlineLevel="0" collapsed="false">
      <c r="A101" s="238"/>
      <c r="B101" s="239"/>
      <c r="C101" s="239"/>
      <c r="D101" s="239"/>
      <c r="E101" s="262"/>
      <c r="F101" s="262"/>
      <c r="G101" s="262"/>
      <c r="H101" s="279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40" t="s">
        <v>116</v>
      </c>
      <c r="B102" s="240"/>
      <c r="C102" s="240"/>
      <c r="D102" s="240"/>
      <c r="E102" s="240"/>
      <c r="F102" s="240"/>
      <c r="G102" s="240"/>
      <c r="H102" s="240"/>
      <c r="J102" s="340"/>
      <c r="K102" s="340"/>
      <c r="L102" s="340"/>
      <c r="M102" s="340"/>
      <c r="N102" s="340"/>
      <c r="O102" s="340"/>
      <c r="P102" s="340"/>
      <c r="Q102" s="340"/>
      <c r="R102" s="0"/>
      <c r="S102" s="340"/>
      <c r="T102" s="340"/>
      <c r="U102" s="340"/>
      <c r="V102" s="340"/>
      <c r="W102" s="340"/>
      <c r="X102" s="340"/>
      <c r="Y102" s="340"/>
      <c r="Z102" s="340"/>
      <c r="AA102" s="0"/>
      <c r="AB102" s="340"/>
      <c r="AC102" s="340"/>
      <c r="AD102" s="340"/>
      <c r="AE102" s="340"/>
      <c r="AF102" s="340"/>
      <c r="AG102" s="340"/>
      <c r="AH102" s="340"/>
      <c r="AI102" s="340"/>
    </row>
    <row r="103" customFormat="false" ht="17.35" hidden="false" customHeight="false" outlineLevel="0" collapsed="false">
      <c r="A103" s="221"/>
      <c r="B103" s="331"/>
      <c r="C103" s="331"/>
      <c r="D103" s="331"/>
      <c r="E103" s="342"/>
      <c r="F103" s="342"/>
      <c r="G103" s="342"/>
      <c r="H103" s="28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5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1" t="s">
        <v>118</v>
      </c>
      <c r="B104" s="331" t="s">
        <v>30</v>
      </c>
      <c r="C104" s="331"/>
      <c r="D104" s="331"/>
      <c r="E104" s="331" t="s">
        <v>130</v>
      </c>
      <c r="F104" s="331"/>
      <c r="G104" s="331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5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1" t="s">
        <v>224</v>
      </c>
      <c r="B105" s="215" t="s">
        <v>117</v>
      </c>
      <c r="C105" s="215"/>
      <c r="D105" s="215"/>
      <c r="E105" s="42" t="s">
        <v>26</v>
      </c>
      <c r="F105" s="42"/>
      <c r="G105" s="42"/>
      <c r="H105" s="280"/>
      <c r="J105" s="0"/>
      <c r="K105" s="340"/>
      <c r="L105" s="340"/>
      <c r="M105" s="340"/>
      <c r="N105" s="340"/>
      <c r="O105" s="340"/>
      <c r="P105" s="340"/>
      <c r="Q105" s="0"/>
      <c r="R105" s="0"/>
      <c r="S105" s="0"/>
      <c r="T105" s="340"/>
      <c r="U105" s="340"/>
      <c r="V105" s="340"/>
      <c r="W105" s="340"/>
      <c r="X105" s="340"/>
      <c r="Y105" s="340"/>
      <c r="Z105" s="135" t="s">
        <v>124</v>
      </c>
      <c r="AA105" s="0"/>
      <c r="AB105" s="0"/>
      <c r="AC105" s="340"/>
      <c r="AD105" s="340"/>
      <c r="AE105" s="340"/>
      <c r="AF105" s="340"/>
      <c r="AG105" s="340"/>
      <c r="AH105" s="340"/>
      <c r="AI105" s="0"/>
    </row>
    <row r="106" customFormat="false" ht="17.35" hidden="false" customHeight="false" outlineLevel="0" collapsed="false">
      <c r="A106" s="221"/>
      <c r="B106" s="331"/>
      <c r="C106" s="331"/>
      <c r="D106" s="342"/>
      <c r="E106" s="331"/>
      <c r="F106" s="331"/>
      <c r="G106" s="34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5" t="s">
        <v>125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1" t="s">
        <v>131</v>
      </c>
      <c r="B107" s="331" t="s">
        <v>225</v>
      </c>
      <c r="C107" s="331"/>
      <c r="D107" s="342"/>
      <c r="E107" s="331" t="s">
        <v>226</v>
      </c>
      <c r="F107" s="331"/>
      <c r="G107" s="342"/>
      <c r="H107" s="28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5" t="s">
        <v>129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2" t="n">
        <v>0.2</v>
      </c>
      <c r="B108" s="112" t="s">
        <v>219</v>
      </c>
      <c r="C108" s="112"/>
      <c r="D108" s="112"/>
      <c r="E108" s="282" t="n">
        <f aca="false">B83</f>
        <v>0.137</v>
      </c>
      <c r="F108" s="282"/>
      <c r="G108" s="282"/>
      <c r="H108" s="246"/>
      <c r="J108" s="344"/>
      <c r="K108" s="340"/>
      <c r="L108" s="340"/>
      <c r="M108" s="340"/>
      <c r="N108" s="344"/>
      <c r="O108" s="344"/>
      <c r="P108" s="344"/>
      <c r="Q108" s="0"/>
      <c r="R108" s="0"/>
      <c r="S108" s="344"/>
      <c r="T108" s="340"/>
      <c r="U108" s="340"/>
      <c r="V108" s="340"/>
      <c r="W108" s="344"/>
      <c r="X108" s="344"/>
      <c r="Y108" s="344"/>
      <c r="Z108" s="135" t="s">
        <v>123</v>
      </c>
      <c r="AA108" s="0"/>
      <c r="AB108" s="344"/>
      <c r="AC108" s="340"/>
      <c r="AD108" s="340"/>
      <c r="AE108" s="340"/>
      <c r="AF108" s="344"/>
      <c r="AG108" s="344"/>
      <c r="AH108" s="344"/>
      <c r="AI108" s="0"/>
      <c r="AP108" s="216" t="s">
        <v>229</v>
      </c>
    </row>
    <row r="109" customFormat="false" ht="17.35" hidden="false" customHeight="false" outlineLevel="0" collapsed="false">
      <c r="A109" s="221"/>
      <c r="B109" s="331"/>
      <c r="C109" s="331"/>
      <c r="D109" s="331"/>
      <c r="E109" s="331"/>
      <c r="F109" s="331"/>
      <c r="G109" s="331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5" t="s">
        <v>122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6" t="s">
        <v>227</v>
      </c>
    </row>
    <row r="110" customFormat="false" ht="17.35" hidden="false" customHeight="false" outlineLevel="0" collapsed="false">
      <c r="A110" s="221" t="s">
        <v>230</v>
      </c>
      <c r="B110" s="331" t="s">
        <v>142</v>
      </c>
      <c r="C110" s="331"/>
      <c r="D110" s="331"/>
      <c r="E110" s="331" t="s">
        <v>231</v>
      </c>
      <c r="F110" s="331"/>
      <c r="G110" s="331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5" t="s">
        <v>133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2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80"/>
      <c r="J111" s="0"/>
      <c r="K111" s="340"/>
      <c r="L111" s="340"/>
      <c r="M111" s="340"/>
      <c r="N111" s="340"/>
      <c r="O111" s="340"/>
      <c r="P111" s="340"/>
      <c r="Q111" s="0"/>
      <c r="R111" s="0"/>
      <c r="S111" s="0"/>
      <c r="T111" s="340"/>
      <c r="U111" s="340"/>
      <c r="V111" s="340"/>
      <c r="W111" s="340"/>
      <c r="X111" s="340"/>
      <c r="Y111" s="340"/>
      <c r="Z111" s="135" t="s">
        <v>134</v>
      </c>
      <c r="AA111" s="0"/>
      <c r="AB111" s="0"/>
      <c r="AC111" s="340"/>
      <c r="AD111" s="340"/>
      <c r="AE111" s="340"/>
      <c r="AF111" s="340"/>
      <c r="AG111" s="340"/>
      <c r="AH111" s="340"/>
      <c r="AI111" s="0"/>
    </row>
    <row r="112" customFormat="false" ht="17.35" hidden="false" customHeight="false" outlineLevel="0" collapsed="false">
      <c r="A112" s="221"/>
      <c r="B112" s="331"/>
      <c r="C112" s="331"/>
      <c r="D112" s="331"/>
      <c r="E112" s="331"/>
      <c r="F112" s="331"/>
      <c r="G112" s="342"/>
      <c r="H112" s="28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1" t="s">
        <v>163</v>
      </c>
      <c r="C113" s="331"/>
      <c r="D113" s="331"/>
      <c r="E113" s="331" t="s">
        <v>132</v>
      </c>
      <c r="F113" s="331"/>
      <c r="G113" s="342"/>
      <c r="H113" s="28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80"/>
      <c r="J114" s="0"/>
      <c r="K114" s="340"/>
      <c r="L114" s="340"/>
      <c r="M114" s="340"/>
      <c r="N114" s="340"/>
      <c r="O114" s="340"/>
      <c r="P114" s="340"/>
      <c r="Q114" s="0"/>
      <c r="R114" s="0"/>
      <c r="S114" s="0"/>
      <c r="T114" s="340"/>
      <c r="U114" s="340"/>
      <c r="V114" s="340"/>
      <c r="W114" s="340"/>
      <c r="X114" s="340"/>
      <c r="Y114" s="340"/>
      <c r="Z114" s="0"/>
      <c r="AA114" s="0"/>
      <c r="AB114" s="0"/>
      <c r="AC114" s="340"/>
      <c r="AD114" s="340"/>
      <c r="AE114" s="340"/>
      <c r="AF114" s="340"/>
      <c r="AG114" s="340"/>
      <c r="AH114" s="340"/>
      <c r="AI114" s="0"/>
    </row>
    <row r="115" customFormat="false" ht="13.8" hidden="false" customHeight="false" outlineLevel="0" collapsed="false">
      <c r="A115" s="284"/>
      <c r="B115" s="342"/>
      <c r="C115" s="342"/>
      <c r="D115" s="342"/>
      <c r="E115" s="342"/>
      <c r="F115" s="342"/>
      <c r="G115" s="342"/>
      <c r="H115" s="28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4"/>
      <c r="B116" s="342"/>
      <c r="C116" s="342"/>
      <c r="D116" s="342"/>
      <c r="E116" s="342"/>
      <c r="F116" s="342"/>
      <c r="G116" s="342"/>
      <c r="H116" s="28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40" t="s">
        <v>233</v>
      </c>
      <c r="B117" s="240"/>
      <c r="C117" s="240"/>
      <c r="D117" s="240"/>
      <c r="E117" s="240"/>
      <c r="F117" s="240"/>
      <c r="G117" s="240"/>
      <c r="H117" s="240"/>
      <c r="J117" s="340"/>
      <c r="K117" s="340"/>
      <c r="L117" s="340"/>
      <c r="M117" s="340"/>
      <c r="N117" s="340"/>
      <c r="O117" s="340"/>
      <c r="P117" s="340"/>
      <c r="Q117" s="340"/>
      <c r="R117" s="0"/>
      <c r="S117" s="340"/>
      <c r="T117" s="340"/>
      <c r="U117" s="340"/>
      <c r="V117" s="340"/>
      <c r="W117" s="340"/>
      <c r="X117" s="340"/>
      <c r="Y117" s="340"/>
      <c r="Z117" s="340"/>
      <c r="AA117" s="0"/>
      <c r="AB117" s="340"/>
      <c r="AC117" s="340"/>
      <c r="AD117" s="340"/>
      <c r="AE117" s="340"/>
      <c r="AF117" s="340"/>
      <c r="AG117" s="340"/>
      <c r="AH117" s="340"/>
      <c r="AI117" s="340"/>
    </row>
    <row r="118" customFormat="false" ht="13.8" hidden="false" customHeight="false" outlineLevel="0" collapsed="false">
      <c r="A118" s="284"/>
      <c r="B118" s="342"/>
      <c r="C118" s="342"/>
      <c r="D118" s="342"/>
      <c r="E118" s="342"/>
      <c r="F118" s="342"/>
      <c r="G118" s="342"/>
      <c r="H118" s="28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4"/>
      <c r="B119" s="285" t="s">
        <v>1</v>
      </c>
      <c r="C119" s="285"/>
      <c r="D119" s="285" t="s">
        <v>2</v>
      </c>
      <c r="E119" s="285"/>
      <c r="F119" s="285" t="s">
        <v>3</v>
      </c>
      <c r="G119" s="285"/>
      <c r="H119" s="286" t="s">
        <v>4</v>
      </c>
      <c r="J119" s="0"/>
      <c r="K119" s="340"/>
      <c r="L119" s="340"/>
      <c r="M119" s="340"/>
      <c r="N119" s="340"/>
      <c r="O119" s="340"/>
      <c r="P119" s="340"/>
      <c r="Q119" s="0"/>
      <c r="R119" s="0"/>
      <c r="S119" s="0"/>
      <c r="T119" s="340"/>
      <c r="U119" s="340"/>
      <c r="V119" s="340"/>
      <c r="W119" s="340"/>
      <c r="X119" s="340"/>
      <c r="Y119" s="340"/>
      <c r="Z119" s="0"/>
      <c r="AA119" s="0"/>
      <c r="AB119" s="0"/>
      <c r="AC119" s="340"/>
      <c r="AD119" s="340"/>
      <c r="AE119" s="340"/>
      <c r="AF119" s="340"/>
      <c r="AG119" s="340"/>
      <c r="AH119" s="340"/>
      <c r="AI119" s="0"/>
    </row>
    <row r="120" customFormat="false" ht="19.7" hidden="false" customHeight="false" outlineLevel="0" collapsed="false">
      <c r="A120" s="218"/>
      <c r="B120" s="287" t="s">
        <v>234</v>
      </c>
      <c r="C120" s="288" t="s">
        <v>235</v>
      </c>
      <c r="D120" s="287" t="s">
        <v>234</v>
      </c>
      <c r="E120" s="289" t="s">
        <v>235</v>
      </c>
      <c r="F120" s="287" t="s">
        <v>234</v>
      </c>
      <c r="G120" s="289" t="s">
        <v>235</v>
      </c>
      <c r="H120" s="29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8" t="s">
        <v>5</v>
      </c>
      <c r="B121" s="353" t="n">
        <f aca="false">B3</f>
        <v>46854.17</v>
      </c>
      <c r="C121" s="354" t="n">
        <f aca="false">B121</f>
        <v>46854.17</v>
      </c>
      <c r="D121" s="353" t="n">
        <f aca="false">D3</f>
        <v>0</v>
      </c>
      <c r="E121" s="354" t="n">
        <f aca="false">D121</f>
        <v>0</v>
      </c>
      <c r="F121" s="353" t="n">
        <f aca="false">F3</f>
        <v>833.33</v>
      </c>
      <c r="G121" s="354" t="n">
        <v>0</v>
      </c>
      <c r="H121" s="291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1" t="s">
        <v>6</v>
      </c>
      <c r="B122" s="355" t="n">
        <f aca="false">B4</f>
        <v>0</v>
      </c>
      <c r="C122" s="329" t="n">
        <v>0</v>
      </c>
      <c r="D122" s="355" t="n">
        <f aca="false">D4</f>
        <v>0</v>
      </c>
      <c r="E122" s="329" t="n">
        <v>0</v>
      </c>
      <c r="F122" s="355" t="n">
        <f aca="false">F4</f>
        <v>0</v>
      </c>
      <c r="G122" s="356" t="n">
        <v>0</v>
      </c>
      <c r="H122" s="330"/>
      <c r="J122" s="0"/>
      <c r="K122" s="344"/>
      <c r="L122" s="344"/>
      <c r="M122" s="344"/>
      <c r="N122" s="344"/>
      <c r="O122" s="344"/>
      <c r="P122" s="344"/>
      <c r="Q122" s="344"/>
      <c r="R122" s="0"/>
      <c r="S122" s="0"/>
      <c r="T122" s="344"/>
      <c r="U122" s="344"/>
      <c r="V122" s="344"/>
      <c r="W122" s="344"/>
      <c r="X122" s="344"/>
      <c r="Y122" s="344"/>
      <c r="Z122" s="344"/>
      <c r="AA122" s="0"/>
      <c r="AB122" s="0"/>
      <c r="AC122" s="344"/>
      <c r="AD122" s="344"/>
      <c r="AE122" s="344"/>
      <c r="AF122" s="344"/>
      <c r="AG122" s="344"/>
      <c r="AH122" s="344"/>
      <c r="AI122" s="344"/>
    </row>
    <row r="123" customFormat="false" ht="17.35" hidden="false" customHeight="false" outlineLevel="0" collapsed="false">
      <c r="A123" s="221" t="s">
        <v>7</v>
      </c>
      <c r="B123" s="357" t="n">
        <f aca="false">B5</f>
        <v>0</v>
      </c>
      <c r="C123" s="354" t="n">
        <v>0</v>
      </c>
      <c r="D123" s="357" t="n">
        <f aca="false">D5</f>
        <v>0</v>
      </c>
      <c r="E123" s="354" t="n">
        <v>0</v>
      </c>
      <c r="F123" s="357" t="n">
        <f aca="false">F5</f>
        <v>0</v>
      </c>
      <c r="G123" s="3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1" t="s">
        <v>8</v>
      </c>
      <c r="B124" s="357" t="n">
        <f aca="false">(B121*B122)+B123</f>
        <v>0</v>
      </c>
      <c r="C124" s="203" t="n">
        <f aca="false">(C121*C122/100)+C123</f>
        <v>0</v>
      </c>
      <c r="D124" s="357" t="n">
        <f aca="false">(D121*D122)+D123</f>
        <v>0</v>
      </c>
      <c r="E124" s="203" t="n">
        <f aca="false">(E121*E122/100)+E123</f>
        <v>0</v>
      </c>
      <c r="F124" s="357" t="n">
        <f aca="false">(F121*F122)+F123</f>
        <v>0</v>
      </c>
      <c r="G124" s="203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9" t="s">
        <v>9</v>
      </c>
      <c r="B125" s="358" t="n">
        <f aca="false">B121-B124</f>
        <v>46854.17</v>
      </c>
      <c r="C125" s="185" t="n">
        <f aca="false">C121-C124</f>
        <v>46854.17</v>
      </c>
      <c r="D125" s="358" t="n">
        <f aca="false">D121-D124</f>
        <v>0</v>
      </c>
      <c r="E125" s="185" t="n">
        <f aca="false">E121-E124</f>
        <v>0</v>
      </c>
      <c r="F125" s="358" t="n">
        <f aca="false">F121-F124</f>
        <v>833.33</v>
      </c>
      <c r="G125" s="185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1"/>
      <c r="B126" s="331"/>
      <c r="C126" s="331"/>
      <c r="D126" s="331"/>
      <c r="E126" s="331"/>
      <c r="F126" s="331"/>
      <c r="G126" s="331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4"/>
      <c r="B127" s="359"/>
      <c r="C127" s="359"/>
      <c r="D127" s="359"/>
      <c r="E127" s="359"/>
      <c r="F127" s="359"/>
      <c r="G127" s="332" t="s">
        <v>234</v>
      </c>
      <c r="H127" s="296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7" t="s">
        <v>236</v>
      </c>
      <c r="B128" s="298"/>
      <c r="C128" s="298"/>
      <c r="D128" s="298"/>
      <c r="E128" s="298"/>
      <c r="F128" s="298"/>
      <c r="G128" s="299" t="n">
        <f aca="false">H121</f>
        <v>0</v>
      </c>
      <c r="H128" s="300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1"/>
      <c r="B129" s="331"/>
      <c r="C129" s="331"/>
      <c r="D129" s="331"/>
      <c r="E129" s="331"/>
      <c r="F129" s="331"/>
      <c r="G129" s="304"/>
      <c r="H129" s="302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3" t="s">
        <v>237</v>
      </c>
      <c r="B130" s="304" t="s">
        <v>238</v>
      </c>
      <c r="C130" s="304"/>
      <c r="D130" s="304" t="s">
        <v>239</v>
      </c>
      <c r="E130" s="304"/>
      <c r="F130" s="304" t="s">
        <v>7</v>
      </c>
      <c r="G130" s="304"/>
      <c r="H130" s="302" t="s">
        <v>235</v>
      </c>
      <c r="J130" s="0"/>
      <c r="K130" s="340"/>
      <c r="L130" s="340"/>
      <c r="M130" s="340"/>
      <c r="N130" s="340"/>
      <c r="O130" s="340"/>
      <c r="P130" s="340"/>
      <c r="Q130" s="0"/>
      <c r="R130" s="0"/>
      <c r="S130" s="0"/>
      <c r="T130" s="340"/>
      <c r="U130" s="340"/>
      <c r="V130" s="340"/>
      <c r="W130" s="340"/>
      <c r="X130" s="340"/>
      <c r="Y130" s="340"/>
      <c r="Z130" s="0"/>
      <c r="AA130" s="0"/>
      <c r="AB130" s="0"/>
      <c r="AC130" s="340"/>
      <c r="AD130" s="340"/>
      <c r="AE130" s="340"/>
      <c r="AF130" s="340"/>
      <c r="AG130" s="340"/>
      <c r="AH130" s="340"/>
      <c r="AI130" s="0"/>
    </row>
    <row r="131" customFormat="false" ht="17.35" hidden="false" customHeight="false" outlineLevel="0" collapsed="false">
      <c r="A131" s="221" t="s">
        <v>240</v>
      </c>
      <c r="B131" s="306" t="n">
        <f aca="false">G128</f>
        <v>0</v>
      </c>
      <c r="C131" s="306"/>
      <c r="D131" s="307" t="n">
        <v>0</v>
      </c>
      <c r="E131" s="307"/>
      <c r="F131" s="306" t="n">
        <v>0</v>
      </c>
      <c r="G131" s="306"/>
      <c r="H131" s="308" t="n">
        <f aca="false">(B131-(B131*D131))-F131</f>
        <v>0</v>
      </c>
      <c r="J131" s="0"/>
      <c r="K131" s="340"/>
      <c r="L131" s="340"/>
      <c r="M131" s="344"/>
      <c r="N131" s="344"/>
      <c r="O131" s="340"/>
      <c r="P131" s="340"/>
      <c r="Q131" s="0"/>
      <c r="R131" s="0"/>
      <c r="S131" s="0"/>
      <c r="T131" s="340"/>
      <c r="U131" s="340"/>
      <c r="V131" s="344"/>
      <c r="W131" s="344"/>
      <c r="X131" s="340"/>
      <c r="Y131" s="340"/>
      <c r="Z131" s="0"/>
      <c r="AA131" s="0"/>
      <c r="AB131" s="0"/>
      <c r="AC131" s="340"/>
      <c r="AD131" s="340"/>
      <c r="AE131" s="344"/>
      <c r="AF131" s="344"/>
      <c r="AG131" s="340"/>
      <c r="AH131" s="340"/>
      <c r="AI131" s="0"/>
    </row>
    <row r="132" customFormat="false" ht="17.35" hidden="false" customHeight="false" outlineLevel="0" collapsed="false">
      <c r="A132" s="221" t="s">
        <v>241</v>
      </c>
      <c r="B132" s="306" t="n">
        <v>0</v>
      </c>
      <c r="C132" s="306"/>
      <c r="D132" s="307" t="n">
        <v>0</v>
      </c>
      <c r="E132" s="307"/>
      <c r="F132" s="306" t="n">
        <v>0</v>
      </c>
      <c r="G132" s="306"/>
      <c r="H132" s="308" t="n">
        <f aca="false">(B132-(B132*D132))-F132</f>
        <v>0</v>
      </c>
      <c r="J132" s="0"/>
      <c r="K132" s="340"/>
      <c r="L132" s="340"/>
      <c r="M132" s="344"/>
      <c r="N132" s="344"/>
      <c r="O132" s="340"/>
      <c r="P132" s="340"/>
      <c r="Q132" s="0"/>
      <c r="R132" s="0"/>
      <c r="S132" s="0"/>
      <c r="T132" s="340"/>
      <c r="U132" s="340"/>
      <c r="V132" s="344"/>
      <c r="W132" s="344"/>
      <c r="X132" s="340"/>
      <c r="Y132" s="340"/>
      <c r="Z132" s="0"/>
      <c r="AA132" s="0"/>
      <c r="AB132" s="0"/>
      <c r="AC132" s="340"/>
      <c r="AD132" s="340"/>
      <c r="AE132" s="344"/>
      <c r="AF132" s="344"/>
      <c r="AG132" s="340"/>
      <c r="AH132" s="340"/>
      <c r="AI132" s="0"/>
    </row>
    <row r="133" customFormat="false" ht="17.35" hidden="false" customHeight="false" outlineLevel="0" collapsed="false">
      <c r="A133" s="221" t="s">
        <v>242</v>
      </c>
      <c r="B133" s="306" t="n">
        <v>0</v>
      </c>
      <c r="C133" s="306"/>
      <c r="D133" s="307" t="n">
        <v>0</v>
      </c>
      <c r="E133" s="307"/>
      <c r="F133" s="306" t="n">
        <v>0</v>
      </c>
      <c r="G133" s="306"/>
      <c r="H133" s="308" t="n">
        <f aca="false">(B133-(B133*D133))-F133</f>
        <v>0</v>
      </c>
      <c r="J133" s="0"/>
      <c r="K133" s="340"/>
      <c r="L133" s="340"/>
      <c r="M133" s="344"/>
      <c r="N133" s="344"/>
      <c r="O133" s="340"/>
      <c r="P133" s="340"/>
      <c r="Q133" s="0"/>
      <c r="R133" s="0"/>
      <c r="S133" s="0"/>
      <c r="T133" s="340"/>
      <c r="U133" s="340"/>
      <c r="V133" s="344"/>
      <c r="W133" s="344"/>
      <c r="X133" s="340"/>
      <c r="Y133" s="340"/>
      <c r="Z133" s="0"/>
      <c r="AA133" s="0"/>
      <c r="AB133" s="0"/>
      <c r="AC133" s="340"/>
      <c r="AD133" s="340"/>
      <c r="AE133" s="344"/>
      <c r="AF133" s="344"/>
      <c r="AG133" s="340"/>
      <c r="AH133" s="340"/>
      <c r="AI133" s="0"/>
    </row>
    <row r="134" customFormat="false" ht="17.35" hidden="false" customHeight="false" outlineLevel="0" collapsed="false">
      <c r="A134" s="221"/>
      <c r="B134" s="331"/>
      <c r="C134" s="331"/>
      <c r="D134" s="331"/>
      <c r="E134" s="331"/>
      <c r="F134" s="331"/>
      <c r="G134" s="304"/>
      <c r="H134" s="302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6" t="s">
        <v>10</v>
      </c>
      <c r="B135" s="226"/>
      <c r="C135" s="226"/>
      <c r="D135" s="226"/>
      <c r="E135" s="226"/>
      <c r="F135" s="226"/>
      <c r="G135" s="332" t="n">
        <f aca="false">H9</f>
        <v>47687.5</v>
      </c>
      <c r="H135" s="309" t="n">
        <f aca="false">C125+E125+G125+H128</f>
        <v>46854.17</v>
      </c>
      <c r="J135" s="340"/>
      <c r="K135" s="340"/>
      <c r="L135" s="340"/>
      <c r="M135" s="340"/>
      <c r="N135" s="340"/>
      <c r="O135" s="340"/>
      <c r="P135" s="0"/>
      <c r="Q135" s="0"/>
      <c r="R135" s="0"/>
      <c r="S135" s="340"/>
      <c r="T135" s="340"/>
      <c r="U135" s="340"/>
      <c r="V135" s="340"/>
      <c r="W135" s="340"/>
      <c r="X135" s="340"/>
      <c r="Y135" s="0"/>
      <c r="Z135" s="0"/>
      <c r="AA135" s="0"/>
      <c r="AB135" s="340"/>
      <c r="AC135" s="340"/>
      <c r="AD135" s="340"/>
      <c r="AE135" s="340"/>
      <c r="AF135" s="340"/>
      <c r="AG135" s="340"/>
      <c r="AH135" s="0"/>
      <c r="AI135" s="0"/>
    </row>
    <row r="136" customFormat="false" ht="17.35" hidden="false" customHeight="false" outlineLevel="0" collapsed="false">
      <c r="A136" s="229" t="s">
        <v>11</v>
      </c>
      <c r="B136" s="229"/>
      <c r="C136" s="229"/>
      <c r="D136" s="229"/>
      <c r="E136" s="229"/>
      <c r="F136" s="229"/>
      <c r="G136" s="40" t="n">
        <f aca="false">H10</f>
        <v>550</v>
      </c>
      <c r="H136" s="11" t="n">
        <f aca="false">G136</f>
        <v>550</v>
      </c>
      <c r="J136" s="340"/>
      <c r="K136" s="340"/>
      <c r="L136" s="340"/>
      <c r="M136" s="340"/>
      <c r="N136" s="340"/>
      <c r="O136" s="340"/>
      <c r="P136" s="0"/>
      <c r="Q136" s="0"/>
      <c r="R136" s="0"/>
      <c r="S136" s="340"/>
      <c r="T136" s="340"/>
      <c r="U136" s="340"/>
      <c r="V136" s="340"/>
      <c r="W136" s="340"/>
      <c r="X136" s="340"/>
      <c r="Y136" s="0"/>
      <c r="Z136" s="0"/>
      <c r="AA136" s="0"/>
      <c r="AB136" s="340"/>
      <c r="AC136" s="340"/>
      <c r="AD136" s="340"/>
      <c r="AE136" s="340"/>
      <c r="AF136" s="340"/>
      <c r="AG136" s="340"/>
      <c r="AH136" s="0"/>
      <c r="AI136" s="0"/>
    </row>
    <row r="137" customFormat="false" ht="17.35" hidden="false" customHeight="false" outlineLevel="0" collapsed="false">
      <c r="A137" s="229" t="s">
        <v>12</v>
      </c>
      <c r="B137" s="229"/>
      <c r="C137" s="229"/>
      <c r="D137" s="229"/>
      <c r="E137" s="229"/>
      <c r="F137" s="229"/>
      <c r="G137" s="40" t="n">
        <f aca="false">H11</f>
        <v>9647.5</v>
      </c>
      <c r="H137" s="11" t="n">
        <f aca="false">(H135+H136)*20%</f>
        <v>9480.834</v>
      </c>
      <c r="J137" s="340"/>
      <c r="K137" s="340"/>
      <c r="L137" s="340"/>
      <c r="M137" s="340"/>
      <c r="N137" s="340"/>
      <c r="O137" s="340"/>
      <c r="P137" s="0"/>
      <c r="Q137" s="0"/>
      <c r="R137" s="0"/>
      <c r="S137" s="340"/>
      <c r="T137" s="340"/>
      <c r="U137" s="340"/>
      <c r="V137" s="340"/>
      <c r="W137" s="340"/>
      <c r="X137" s="340"/>
      <c r="Y137" s="0"/>
      <c r="Z137" s="0"/>
      <c r="AA137" s="0"/>
      <c r="AB137" s="340"/>
      <c r="AC137" s="340"/>
      <c r="AD137" s="340"/>
      <c r="AE137" s="340"/>
      <c r="AF137" s="340"/>
      <c r="AG137" s="340"/>
      <c r="AH137" s="0"/>
      <c r="AI137" s="0"/>
    </row>
    <row r="138" customFormat="false" ht="17.35" hidden="false" customHeight="false" outlineLevel="0" collapsed="false">
      <c r="A138" s="229" t="s">
        <v>13</v>
      </c>
      <c r="B138" s="229"/>
      <c r="C138" s="229"/>
      <c r="D138" s="229"/>
      <c r="E138" s="229"/>
      <c r="F138" s="229"/>
      <c r="G138" s="40" t="n">
        <f aca="false">H12</f>
        <v>0</v>
      </c>
      <c r="H138" s="11" t="n">
        <v>0</v>
      </c>
      <c r="J138" s="340"/>
      <c r="K138" s="340"/>
      <c r="L138" s="340"/>
      <c r="M138" s="340"/>
      <c r="N138" s="340"/>
      <c r="O138" s="340"/>
      <c r="P138" s="0"/>
      <c r="Q138" s="0"/>
      <c r="R138" s="0"/>
      <c r="S138" s="340"/>
      <c r="T138" s="340"/>
      <c r="U138" s="340"/>
      <c r="V138" s="340"/>
      <c r="W138" s="340"/>
      <c r="X138" s="340"/>
      <c r="Y138" s="0"/>
      <c r="Z138" s="0"/>
      <c r="AA138" s="0"/>
      <c r="AB138" s="340"/>
      <c r="AC138" s="340"/>
      <c r="AD138" s="340"/>
      <c r="AE138" s="340"/>
      <c r="AF138" s="340"/>
      <c r="AG138" s="340"/>
      <c r="AH138" s="0"/>
      <c r="AI138" s="0"/>
    </row>
    <row r="139" customFormat="false" ht="17.35" hidden="false" customHeight="false" outlineLevel="0" collapsed="false">
      <c r="A139" s="229" t="s">
        <v>14</v>
      </c>
      <c r="B139" s="229"/>
      <c r="C139" s="229"/>
      <c r="D139" s="229"/>
      <c r="E139" s="229"/>
      <c r="F139" s="229"/>
      <c r="G139" s="40" t="n">
        <f aca="false">H13</f>
        <v>585</v>
      </c>
      <c r="H139" s="11" t="n">
        <f aca="false">G139</f>
        <v>585</v>
      </c>
      <c r="J139" s="340"/>
      <c r="K139" s="340"/>
      <c r="L139" s="340"/>
      <c r="M139" s="340"/>
      <c r="N139" s="340"/>
      <c r="O139" s="340"/>
      <c r="P139" s="0"/>
      <c r="Q139" s="0"/>
      <c r="R139" s="0"/>
      <c r="S139" s="340"/>
      <c r="T139" s="340"/>
      <c r="U139" s="340"/>
      <c r="V139" s="340"/>
      <c r="W139" s="340"/>
      <c r="X139" s="340"/>
      <c r="Y139" s="0"/>
      <c r="Z139" s="0"/>
      <c r="AA139" s="0"/>
      <c r="AB139" s="340"/>
      <c r="AC139" s="340"/>
      <c r="AD139" s="340"/>
      <c r="AE139" s="340"/>
      <c r="AF139" s="340"/>
      <c r="AG139" s="340"/>
      <c r="AH139" s="0"/>
      <c r="AI139" s="0"/>
    </row>
    <row r="140" customFormat="false" ht="17.35" hidden="false" customHeight="false" outlineLevel="0" collapsed="false">
      <c r="A140" s="229" t="s">
        <v>15</v>
      </c>
      <c r="B140" s="229"/>
      <c r="C140" s="229"/>
      <c r="D140" s="229"/>
      <c r="E140" s="229"/>
      <c r="F140" s="229"/>
      <c r="G140" s="40" t="n">
        <f aca="false">H14</f>
        <v>55</v>
      </c>
      <c r="H140" s="11" t="n">
        <v>55</v>
      </c>
      <c r="J140" s="340"/>
      <c r="K140" s="340"/>
      <c r="L140" s="340"/>
      <c r="M140" s="340"/>
      <c r="N140" s="340"/>
      <c r="O140" s="340"/>
      <c r="P140" s="0"/>
      <c r="Q140" s="0"/>
      <c r="R140" s="0"/>
      <c r="S140" s="340"/>
      <c r="T140" s="340"/>
      <c r="U140" s="340"/>
      <c r="V140" s="340"/>
      <c r="W140" s="340"/>
      <c r="X140" s="340"/>
      <c r="Y140" s="0"/>
      <c r="Z140" s="0"/>
      <c r="AA140" s="0"/>
      <c r="AB140" s="340"/>
      <c r="AC140" s="340"/>
      <c r="AD140" s="340"/>
      <c r="AE140" s="340"/>
      <c r="AF140" s="340"/>
      <c r="AG140" s="340"/>
      <c r="AH140" s="0"/>
      <c r="AI140" s="0"/>
    </row>
    <row r="141" customFormat="false" ht="19.7" hidden="false" customHeight="false" outlineLevel="0" collapsed="false">
      <c r="A141" s="229" t="s">
        <v>17</v>
      </c>
      <c r="B141" s="229"/>
      <c r="C141" s="229"/>
      <c r="D141" s="229"/>
      <c r="E141" s="229"/>
      <c r="F141" s="229"/>
      <c r="G141" s="360" t="n">
        <f aca="false">H15</f>
        <v>58525</v>
      </c>
      <c r="H141" s="311" t="n">
        <f aca="false">(H135+H136+H139+H140+H137)-H138</f>
        <v>57525.004</v>
      </c>
      <c r="J141" s="340"/>
      <c r="K141" s="340"/>
      <c r="L141" s="340"/>
      <c r="M141" s="340"/>
      <c r="N141" s="340"/>
      <c r="O141" s="340"/>
      <c r="P141" s="0"/>
      <c r="Q141" s="0"/>
      <c r="R141" s="0"/>
      <c r="S141" s="340"/>
      <c r="T141" s="340"/>
      <c r="U141" s="340"/>
      <c r="V141" s="340"/>
      <c r="W141" s="340"/>
      <c r="X141" s="340"/>
      <c r="Y141" s="0"/>
      <c r="Z141" s="0"/>
      <c r="AA141" s="0"/>
      <c r="AB141" s="340"/>
      <c r="AC141" s="340"/>
      <c r="AD141" s="340"/>
      <c r="AE141" s="340"/>
      <c r="AF141" s="340"/>
      <c r="AG141" s="340"/>
      <c r="AH141" s="0"/>
      <c r="AI141" s="0"/>
    </row>
    <row r="142" customFormat="false" ht="17.35" hidden="false" customHeight="false" outlineLevel="0" collapsed="false">
      <c r="A142" s="229" t="s">
        <v>18</v>
      </c>
      <c r="B142" s="229"/>
      <c r="C142" s="229"/>
      <c r="D142" s="229"/>
      <c r="E142" s="229"/>
      <c r="F142" s="229"/>
      <c r="G142" s="40" t="n">
        <f aca="false">H16</f>
        <v>0</v>
      </c>
      <c r="H142" s="242" t="n">
        <f aca="false">G142</f>
        <v>0</v>
      </c>
      <c r="J142" s="340"/>
      <c r="K142" s="340"/>
      <c r="L142" s="340"/>
      <c r="M142" s="340"/>
      <c r="N142" s="340"/>
      <c r="O142" s="340"/>
      <c r="P142" s="0"/>
      <c r="Q142" s="0"/>
      <c r="R142" s="0"/>
      <c r="S142" s="340"/>
      <c r="T142" s="340"/>
      <c r="U142" s="340"/>
      <c r="V142" s="340"/>
      <c r="W142" s="340"/>
      <c r="X142" s="340"/>
      <c r="Y142" s="0"/>
      <c r="Z142" s="0"/>
      <c r="AA142" s="0"/>
      <c r="AB142" s="340"/>
      <c r="AC142" s="340"/>
      <c r="AD142" s="340"/>
      <c r="AE142" s="340"/>
      <c r="AF142" s="340"/>
      <c r="AG142" s="340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5"/>
      <c r="H143" s="11"/>
      <c r="J143" s="340"/>
      <c r="K143" s="340"/>
      <c r="L143" s="340"/>
      <c r="M143" s="340"/>
      <c r="N143" s="340"/>
      <c r="O143" s="340"/>
      <c r="P143" s="0"/>
      <c r="Q143" s="0"/>
      <c r="R143" s="0"/>
      <c r="S143" s="340"/>
      <c r="T143" s="340"/>
      <c r="U143" s="340"/>
      <c r="V143" s="340"/>
      <c r="W143" s="340"/>
      <c r="X143" s="340"/>
      <c r="Y143" s="0"/>
      <c r="Z143" s="0"/>
      <c r="AA143" s="0"/>
      <c r="AB143" s="340"/>
      <c r="AC143" s="340"/>
      <c r="AD143" s="340"/>
      <c r="AE143" s="340"/>
      <c r="AF143" s="340"/>
      <c r="AG143" s="340"/>
      <c r="AH143" s="0"/>
      <c r="AI143" s="0"/>
    </row>
    <row r="144" customFormat="false" ht="17.35" hidden="false" customHeight="false" outlineLevel="0" collapsed="false">
      <c r="A144" s="232" t="s">
        <v>19</v>
      </c>
      <c r="B144" s="233" t="n">
        <v>0</v>
      </c>
      <c r="C144" s="233"/>
      <c r="D144" s="233"/>
      <c r="E144" s="233"/>
      <c r="F144" s="233"/>
      <c r="G144" s="40" t="n">
        <f aca="false">H18</f>
        <v>0</v>
      </c>
      <c r="H144" s="242" t="n">
        <v>0</v>
      </c>
      <c r="J144" s="0"/>
      <c r="K144" s="340"/>
      <c r="L144" s="340"/>
      <c r="M144" s="340"/>
      <c r="N144" s="340"/>
      <c r="O144" s="340"/>
      <c r="P144" s="0"/>
      <c r="Q144" s="0"/>
      <c r="R144" s="0"/>
      <c r="S144" s="0"/>
      <c r="T144" s="340"/>
      <c r="U144" s="340"/>
      <c r="V144" s="340"/>
      <c r="W144" s="340"/>
      <c r="X144" s="340"/>
      <c r="Y144" s="0"/>
      <c r="Z144" s="0"/>
      <c r="AA144" s="0"/>
      <c r="AB144" s="0"/>
      <c r="AC144" s="340"/>
      <c r="AD144" s="340"/>
      <c r="AE144" s="340"/>
      <c r="AF144" s="340"/>
      <c r="AG144" s="340"/>
      <c r="AH144" s="0"/>
      <c r="AI144" s="0"/>
    </row>
    <row r="145" customFormat="false" ht="17.35" hidden="false" customHeight="false" outlineLevel="0" collapsed="false">
      <c r="A145" s="232" t="s">
        <v>22</v>
      </c>
      <c r="B145" s="233" t="s">
        <v>23</v>
      </c>
      <c r="C145" s="233"/>
      <c r="D145" s="233"/>
      <c r="E145" s="233"/>
      <c r="F145" s="233"/>
      <c r="G145" s="40" t="n">
        <f aca="false">H19</f>
        <v>0</v>
      </c>
      <c r="H145" s="242" t="n">
        <v>0</v>
      </c>
      <c r="I145" s="216" t="n">
        <f aca="false">(G142+G145+G146+G144)</f>
        <v>0</v>
      </c>
      <c r="J145" s="0"/>
      <c r="K145" s="340"/>
      <c r="L145" s="340"/>
      <c r="M145" s="340"/>
      <c r="N145" s="340"/>
      <c r="O145" s="340"/>
      <c r="P145" s="0"/>
      <c r="Q145" s="0"/>
      <c r="R145" s="0"/>
      <c r="S145" s="0"/>
      <c r="T145" s="340"/>
      <c r="U145" s="340"/>
      <c r="V145" s="340"/>
      <c r="W145" s="340"/>
      <c r="X145" s="340"/>
      <c r="Y145" s="0"/>
      <c r="Z145" s="0"/>
      <c r="AA145" s="0"/>
      <c r="AB145" s="0"/>
      <c r="AC145" s="340"/>
      <c r="AD145" s="340"/>
      <c r="AE145" s="340"/>
      <c r="AF145" s="340"/>
      <c r="AG145" s="340"/>
      <c r="AH145" s="0"/>
      <c r="AI145" s="0"/>
    </row>
    <row r="146" customFormat="false" ht="17.35" hidden="false" customHeight="false" outlineLevel="0" collapsed="false">
      <c r="A146" s="313" t="s">
        <v>24</v>
      </c>
      <c r="B146" s="314" t="s">
        <v>23</v>
      </c>
      <c r="C146" s="314"/>
      <c r="D146" s="314"/>
      <c r="E146" s="314"/>
      <c r="F146" s="314"/>
      <c r="G146" s="40" t="n">
        <f aca="false">H20</f>
        <v>0</v>
      </c>
      <c r="H146" s="242" t="n">
        <v>0</v>
      </c>
      <c r="I146" s="216" t="n">
        <f aca="false">(H142+H144+H145+H146)</f>
        <v>0</v>
      </c>
      <c r="J146" s="0"/>
      <c r="K146" s="340"/>
      <c r="L146" s="340"/>
      <c r="M146" s="340"/>
      <c r="N146" s="340"/>
      <c r="O146" s="340"/>
      <c r="P146" s="0"/>
      <c r="Q146" s="0"/>
      <c r="R146" s="0"/>
      <c r="S146" s="0"/>
      <c r="T146" s="340"/>
      <c r="U146" s="340"/>
      <c r="V146" s="340"/>
      <c r="W146" s="340"/>
      <c r="X146" s="340"/>
      <c r="Y146" s="0"/>
      <c r="Z146" s="0"/>
      <c r="AA146" s="0"/>
      <c r="AB146" s="0"/>
      <c r="AC146" s="340"/>
      <c r="AD146" s="340"/>
      <c r="AE146" s="340"/>
      <c r="AF146" s="340"/>
      <c r="AG146" s="340"/>
      <c r="AH146" s="0"/>
      <c r="AI146" s="0"/>
    </row>
    <row r="147" customFormat="false" ht="19.7" hidden="false" customHeight="false" outlineLevel="0" collapsed="false">
      <c r="A147" s="229" t="s">
        <v>27</v>
      </c>
      <c r="B147" s="229"/>
      <c r="C147" s="229"/>
      <c r="D147" s="229"/>
      <c r="E147" s="229"/>
      <c r="F147" s="229"/>
      <c r="G147" s="360" t="n">
        <f aca="false">G141-((G144*1.2)+(G145*1.2)+(G146*1.2)+(G142*1.2))</f>
        <v>58525</v>
      </c>
      <c r="H147" s="315" t="n">
        <f aca="false">H141-((H144*1.2)+(H145*1.2)+(H146*1.2)+(H142*1.2))</f>
        <v>57525.004</v>
      </c>
      <c r="J147" s="340"/>
      <c r="K147" s="340"/>
      <c r="L147" s="340"/>
      <c r="M147" s="340"/>
      <c r="N147" s="340"/>
      <c r="O147" s="340"/>
      <c r="P147" s="0"/>
      <c r="Q147" s="0"/>
      <c r="R147" s="0"/>
      <c r="S147" s="340"/>
      <c r="T147" s="340"/>
      <c r="U147" s="340"/>
      <c r="V147" s="340"/>
      <c r="W147" s="340"/>
      <c r="X147" s="340"/>
      <c r="Y147" s="0"/>
      <c r="Z147" s="0"/>
      <c r="AA147" s="0"/>
      <c r="AB147" s="340"/>
      <c r="AC147" s="340"/>
      <c r="AD147" s="340"/>
      <c r="AE147" s="340"/>
      <c r="AF147" s="340"/>
      <c r="AG147" s="340"/>
      <c r="AH147" s="0"/>
      <c r="AI147" s="0"/>
    </row>
    <row r="148" customFormat="false" ht="17.35" hidden="false" customHeight="false" outlineLevel="0" collapsed="false">
      <c r="A148" s="229" t="s">
        <v>243</v>
      </c>
      <c r="B148" s="229"/>
      <c r="C148" s="229"/>
      <c r="D148" s="229"/>
      <c r="E148" s="229"/>
      <c r="F148" s="229"/>
      <c r="G148" s="40"/>
      <c r="H148" s="242" t="n">
        <f aca="false">((H147-G147)-(H137-G137))+((I146-I145)*0.2)</f>
        <v>-833.33</v>
      </c>
      <c r="I148" s="216" t="n">
        <f aca="false">(H148-G81)/1.2</f>
        <v>-694.441666666667</v>
      </c>
      <c r="J148" s="340"/>
      <c r="K148" s="340"/>
      <c r="L148" s="340"/>
      <c r="M148" s="340"/>
      <c r="N148" s="340"/>
      <c r="O148" s="340"/>
      <c r="P148" s="0"/>
      <c r="Q148" s="0"/>
      <c r="R148" s="0"/>
      <c r="S148" s="340"/>
      <c r="T148" s="340"/>
      <c r="U148" s="340"/>
      <c r="V148" s="340"/>
      <c r="W148" s="340"/>
      <c r="X148" s="340"/>
      <c r="Y148" s="0"/>
      <c r="Z148" s="0"/>
      <c r="AA148" s="0"/>
      <c r="AB148" s="340"/>
      <c r="AC148" s="340"/>
      <c r="AD148" s="340"/>
      <c r="AE148" s="340"/>
      <c r="AF148" s="340"/>
      <c r="AG148" s="340"/>
      <c r="AH148" s="0"/>
      <c r="AI148" s="0"/>
    </row>
    <row r="149" customFormat="false" ht="17.35" hidden="false" customHeight="false" outlineLevel="0" collapsed="false">
      <c r="A149" s="221"/>
      <c r="B149" s="331"/>
      <c r="C149" s="331"/>
      <c r="D149" s="331"/>
      <c r="E149" s="236"/>
      <c r="F149" s="236"/>
      <c r="G149" s="236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40" t="s">
        <v>244</v>
      </c>
      <c r="B150" s="240"/>
      <c r="C150" s="240"/>
      <c r="D150" s="240"/>
      <c r="E150" s="240"/>
      <c r="F150" s="240"/>
      <c r="G150" s="240"/>
      <c r="H150" s="240"/>
      <c r="J150" s="340"/>
      <c r="K150" s="340"/>
      <c r="L150" s="340"/>
      <c r="M150" s="340"/>
      <c r="N150" s="340"/>
      <c r="O150" s="340"/>
      <c r="P150" s="340"/>
      <c r="Q150" s="340"/>
      <c r="R150" s="0"/>
      <c r="S150" s="340"/>
      <c r="T150" s="340"/>
      <c r="U150" s="340"/>
      <c r="V150" s="340"/>
      <c r="W150" s="340"/>
      <c r="X150" s="340"/>
      <c r="Y150" s="340"/>
      <c r="Z150" s="340"/>
      <c r="AA150" s="0"/>
      <c r="AB150" s="340"/>
      <c r="AC150" s="340"/>
      <c r="AD150" s="340"/>
      <c r="AE150" s="340"/>
      <c r="AF150" s="340"/>
      <c r="AG150" s="340"/>
      <c r="AH150" s="340"/>
      <c r="AI150" s="340"/>
    </row>
    <row r="151" customFormat="false" ht="17.35" hidden="false" customHeight="false" outlineLevel="0" collapsed="false">
      <c r="A151" s="221"/>
      <c r="B151" s="331"/>
      <c r="C151" s="331"/>
      <c r="D151" s="331"/>
      <c r="E151" s="236"/>
      <c r="F151" s="236"/>
      <c r="G151" s="236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1" t="s">
        <v>138</v>
      </c>
      <c r="B152" s="331"/>
      <c r="C152" s="331"/>
      <c r="D152" s="236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40"/>
      <c r="O152" s="340"/>
      <c r="P152" s="340"/>
      <c r="Q152" s="340"/>
      <c r="R152" s="0"/>
      <c r="S152" s="0"/>
      <c r="T152" s="0"/>
      <c r="U152" s="0"/>
      <c r="V152" s="0"/>
      <c r="W152" s="340"/>
      <c r="X152" s="340"/>
      <c r="Y152" s="340"/>
      <c r="Z152" s="340"/>
      <c r="AA152" s="0"/>
      <c r="AB152" s="0"/>
      <c r="AC152" s="0"/>
      <c r="AD152" s="0"/>
      <c r="AE152" s="0"/>
      <c r="AF152" s="340"/>
      <c r="AG152" s="340"/>
      <c r="AH152" s="340"/>
      <c r="AI152" s="340"/>
    </row>
    <row r="153" customFormat="false" ht="17.35" hidden="false" customHeight="false" outlineLevel="0" collapsed="false">
      <c r="A153" s="221" t="s">
        <v>139</v>
      </c>
      <c r="B153" s="331"/>
      <c r="C153" s="331"/>
      <c r="D153" s="236"/>
      <c r="E153" s="210" t="n">
        <f aca="false">G153</f>
        <v>0</v>
      </c>
      <c r="F153" s="210"/>
      <c r="G153" s="112" t="n">
        <v>0</v>
      </c>
      <c r="H153" s="112"/>
      <c r="J153" s="0"/>
      <c r="K153" s="0"/>
      <c r="L153" s="0"/>
      <c r="M153" s="0"/>
      <c r="N153" s="340"/>
      <c r="O153" s="340"/>
      <c r="P153" s="340"/>
      <c r="Q153" s="340"/>
      <c r="R153" s="0"/>
      <c r="S153" s="0"/>
      <c r="T153" s="0"/>
      <c r="U153" s="0"/>
      <c r="V153" s="0"/>
      <c r="W153" s="340"/>
      <c r="X153" s="340"/>
      <c r="Y153" s="340"/>
      <c r="Z153" s="340"/>
      <c r="AA153" s="0"/>
      <c r="AB153" s="0"/>
      <c r="AC153" s="0"/>
      <c r="AD153" s="0"/>
      <c r="AE153" s="0"/>
      <c r="AF153" s="340"/>
      <c r="AG153" s="340"/>
      <c r="AH153" s="340"/>
      <c r="AI153" s="340"/>
    </row>
    <row r="154" customFormat="false" ht="17.35" hidden="false" customHeight="false" outlineLevel="0" collapsed="false">
      <c r="A154" s="221" t="s">
        <v>140</v>
      </c>
      <c r="B154" s="331"/>
      <c r="C154" s="331"/>
      <c r="D154" s="236"/>
      <c r="E154" s="210" t="n">
        <f aca="false">E152-E153</f>
        <v>0</v>
      </c>
      <c r="F154" s="210"/>
      <c r="G154" s="115" t="n">
        <f aca="false">G152-G153</f>
        <v>0</v>
      </c>
      <c r="H154" s="115"/>
      <c r="J154" s="0"/>
      <c r="K154" s="0"/>
      <c r="L154" s="0"/>
      <c r="M154" s="0"/>
      <c r="N154" s="340"/>
      <c r="O154" s="340"/>
      <c r="P154" s="340"/>
      <c r="Q154" s="340"/>
      <c r="R154" s="0"/>
      <c r="S154" s="0"/>
      <c r="T154" s="0"/>
      <c r="U154" s="0"/>
      <c r="V154" s="0"/>
      <c r="W154" s="340"/>
      <c r="X154" s="340"/>
      <c r="Y154" s="340"/>
      <c r="Z154" s="340"/>
      <c r="AA154" s="0"/>
      <c r="AB154" s="0"/>
      <c r="AC154" s="0"/>
      <c r="AD154" s="0"/>
      <c r="AE154" s="0"/>
      <c r="AF154" s="340"/>
      <c r="AG154" s="340"/>
      <c r="AH154" s="340"/>
      <c r="AI154" s="340"/>
    </row>
    <row r="155" customFormat="false" ht="17.35" hidden="false" customHeight="false" outlineLevel="0" collapsed="false">
      <c r="A155" s="221" t="s">
        <v>141</v>
      </c>
      <c r="B155" s="331"/>
      <c r="C155" s="331"/>
      <c r="D155" s="236"/>
      <c r="E155" s="210" t="n">
        <f aca="false">E154-G154</f>
        <v>0</v>
      </c>
      <c r="F155" s="210"/>
      <c r="G155" s="236"/>
      <c r="H155" s="11"/>
      <c r="J155" s="0"/>
      <c r="K155" s="0"/>
      <c r="L155" s="0"/>
      <c r="M155" s="0"/>
      <c r="N155" s="340"/>
      <c r="O155" s="340"/>
      <c r="P155" s="0"/>
      <c r="Q155" s="0"/>
      <c r="R155" s="0"/>
      <c r="S155" s="0"/>
      <c r="T155" s="0"/>
      <c r="U155" s="0"/>
      <c r="V155" s="0"/>
      <c r="W155" s="340"/>
      <c r="X155" s="340"/>
      <c r="Y155" s="0"/>
      <c r="Z155" s="0"/>
      <c r="AA155" s="0"/>
      <c r="AB155" s="0"/>
      <c r="AC155" s="0"/>
      <c r="AD155" s="0"/>
      <c r="AE155" s="0"/>
      <c r="AF155" s="340"/>
      <c r="AG155" s="340"/>
      <c r="AH155" s="0"/>
      <c r="AI155" s="0"/>
    </row>
    <row r="156" customFormat="false" ht="17.35" hidden="false" customHeight="false" outlineLevel="0" collapsed="false">
      <c r="A156" s="221"/>
      <c r="B156" s="331"/>
      <c r="C156" s="331"/>
      <c r="D156" s="236"/>
      <c r="E156" s="331"/>
      <c r="F156" s="236"/>
      <c r="G156" s="236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8" t="s">
        <v>245</v>
      </c>
      <c r="B157" s="239"/>
      <c r="C157" s="239"/>
      <c r="D157" s="262"/>
      <c r="E157" s="239"/>
      <c r="F157" s="262"/>
      <c r="G157" s="317" t="n">
        <f aca="false">A114</f>
        <v>0</v>
      </c>
      <c r="H157" s="317"/>
      <c r="J157" s="0"/>
      <c r="K157" s="0"/>
      <c r="L157" s="0"/>
      <c r="M157" s="0"/>
      <c r="N157" s="0"/>
      <c r="O157" s="0"/>
      <c r="P157" s="340"/>
      <c r="Q157" s="340"/>
      <c r="R157" s="0"/>
      <c r="S157" s="0"/>
      <c r="T157" s="0"/>
      <c r="U157" s="0"/>
      <c r="V157" s="0"/>
      <c r="W157" s="0"/>
      <c r="X157" s="0"/>
      <c r="Y157" s="340"/>
      <c r="Z157" s="340"/>
      <c r="AA157" s="0"/>
      <c r="AB157" s="0"/>
      <c r="AC157" s="0"/>
      <c r="AD157" s="0"/>
      <c r="AE157" s="0"/>
      <c r="AF157" s="0"/>
      <c r="AG157" s="0"/>
      <c r="AH157" s="340"/>
      <c r="AI157" s="340"/>
    </row>
    <row r="158" customFormat="false" ht="19.7" hidden="false" customHeight="false" outlineLevel="0" collapsed="false">
      <c r="A158" s="318" t="s">
        <v>246</v>
      </c>
      <c r="B158" s="331"/>
      <c r="C158" s="331"/>
      <c r="D158" s="342"/>
      <c r="E158" s="331"/>
      <c r="F158" s="342"/>
      <c r="G158" s="319" t="n">
        <f aca="false">H147-G154-G157</f>
        <v>57525.004</v>
      </c>
      <c r="H158" s="319"/>
      <c r="J158" s="0"/>
      <c r="K158" s="0"/>
      <c r="L158" s="0"/>
      <c r="M158" s="0"/>
      <c r="N158" s="0"/>
      <c r="O158" s="0"/>
      <c r="P158" s="340"/>
      <c r="Q158" s="340"/>
      <c r="R158" s="0"/>
      <c r="S158" s="0"/>
      <c r="T158" s="0"/>
      <c r="U158" s="0"/>
      <c r="V158" s="0"/>
      <c r="W158" s="0"/>
      <c r="X158" s="0"/>
      <c r="Y158" s="340"/>
      <c r="Z158" s="340"/>
      <c r="AA158" s="0"/>
      <c r="AB158" s="0"/>
      <c r="AC158" s="0"/>
      <c r="AD158" s="0"/>
      <c r="AE158" s="0"/>
      <c r="AF158" s="0"/>
      <c r="AG158" s="0"/>
      <c r="AH158" s="340"/>
      <c r="AI158" s="340"/>
    </row>
    <row r="159" customFormat="false" ht="17.35" hidden="false" customHeight="false" outlineLevel="0" collapsed="false">
      <c r="A159" s="249" t="s">
        <v>52</v>
      </c>
      <c r="B159" s="250"/>
      <c r="C159" s="250"/>
      <c r="D159" s="278"/>
      <c r="E159" s="250"/>
      <c r="F159" s="278"/>
      <c r="G159" s="320" t="str">
        <f aca="false">B114</f>
        <v>199.99</v>
      </c>
      <c r="H159" s="320"/>
      <c r="J159" s="0"/>
      <c r="K159" s="0"/>
      <c r="L159" s="0"/>
      <c r="M159" s="0"/>
      <c r="N159" s="0"/>
      <c r="O159" s="0"/>
      <c r="P159" s="340"/>
      <c r="Q159" s="340"/>
      <c r="R159" s="0"/>
      <c r="S159" s="0"/>
      <c r="T159" s="0"/>
      <c r="U159" s="0"/>
      <c r="V159" s="0"/>
      <c r="W159" s="0"/>
      <c r="X159" s="0"/>
      <c r="Y159" s="340"/>
      <c r="Z159" s="340"/>
      <c r="AA159" s="0"/>
      <c r="AB159" s="0"/>
      <c r="AC159" s="0"/>
      <c r="AD159" s="0"/>
      <c r="AE159" s="0"/>
      <c r="AF159" s="0"/>
      <c r="AG159" s="0"/>
      <c r="AH159" s="340"/>
      <c r="AI159" s="340"/>
    </row>
    <row r="160" customFormat="false" ht="17.35" hidden="false" customHeight="false" outlineLevel="0" collapsed="false">
      <c r="A160" s="221"/>
      <c r="B160" s="331"/>
      <c r="C160" s="331"/>
      <c r="D160" s="331"/>
      <c r="E160" s="236"/>
      <c r="F160" s="236"/>
      <c r="G160" s="236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1"/>
      <c r="B161" s="331"/>
      <c r="C161" s="331"/>
      <c r="D161" s="331"/>
      <c r="E161" s="236"/>
      <c r="F161" s="236"/>
      <c r="G161" s="236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40" t="s">
        <v>247</v>
      </c>
      <c r="B162" s="240"/>
      <c r="C162" s="240"/>
      <c r="D162" s="240"/>
      <c r="E162" s="240"/>
      <c r="F162" s="240"/>
      <c r="G162" s="240"/>
      <c r="H162" s="240"/>
      <c r="J162" s="340"/>
      <c r="K162" s="340"/>
      <c r="L162" s="340"/>
      <c r="M162" s="340"/>
      <c r="N162" s="340"/>
      <c r="O162" s="340"/>
      <c r="P162" s="340"/>
      <c r="Q162" s="340"/>
      <c r="R162" s="0"/>
      <c r="S162" s="340"/>
      <c r="T162" s="340"/>
      <c r="U162" s="340"/>
      <c r="V162" s="340"/>
      <c r="W162" s="340"/>
      <c r="X162" s="340"/>
      <c r="Y162" s="340"/>
      <c r="Z162" s="340"/>
      <c r="AA162" s="0"/>
      <c r="AB162" s="340"/>
      <c r="AC162" s="340"/>
      <c r="AD162" s="340"/>
      <c r="AE162" s="340"/>
      <c r="AF162" s="340"/>
      <c r="AG162" s="340"/>
      <c r="AH162" s="340"/>
      <c r="AI162" s="340"/>
    </row>
    <row r="163" customFormat="false" ht="17.35" hidden="false" customHeight="false" outlineLevel="0" collapsed="false">
      <c r="A163" s="221"/>
      <c r="B163" s="331"/>
      <c r="C163" s="331"/>
      <c r="D163" s="331"/>
      <c r="E163" s="236"/>
      <c r="F163" s="236"/>
      <c r="G163" s="236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1" t="s">
        <v>145</v>
      </c>
      <c r="B164" s="117" t="n">
        <v>0</v>
      </c>
      <c r="C164" s="117"/>
      <c r="D164" s="331"/>
      <c r="E164" s="236"/>
      <c r="F164" s="236"/>
      <c r="G164" s="236"/>
      <c r="H164" s="11"/>
      <c r="J164" s="0"/>
      <c r="K164" s="340"/>
      <c r="L164" s="340"/>
      <c r="M164" s="0"/>
      <c r="N164" s="0"/>
      <c r="O164" s="0"/>
      <c r="P164" s="0"/>
      <c r="Q164" s="0"/>
      <c r="R164" s="0"/>
      <c r="S164" s="0"/>
      <c r="T164" s="340"/>
      <c r="U164" s="340"/>
      <c r="V164" s="0"/>
      <c r="W164" s="0"/>
      <c r="X164" s="0"/>
      <c r="Y164" s="0"/>
      <c r="Z164" s="0"/>
      <c r="AA164" s="0"/>
      <c r="AB164" s="0"/>
      <c r="AC164" s="340"/>
      <c r="AD164" s="340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1"/>
      <c r="B165" s="331"/>
      <c r="C165" s="331"/>
      <c r="D165" s="331"/>
      <c r="E165" s="236"/>
      <c r="F165" s="236"/>
      <c r="G165" s="236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1" t="s">
        <v>248</v>
      </c>
      <c r="B166" s="361" t="s">
        <v>249</v>
      </c>
      <c r="C166" s="361"/>
      <c r="D166" s="361"/>
      <c r="E166" s="361" t="s">
        <v>250</v>
      </c>
      <c r="F166" s="236"/>
      <c r="G166" s="236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3" t="n">
        <f aca="false">B95</f>
        <v>1749.42424196705</v>
      </c>
      <c r="B167" s="214" t="n">
        <f aca="false">B94</f>
        <v>17.0909090909091</v>
      </c>
      <c r="C167" s="361"/>
      <c r="D167" s="361"/>
      <c r="E167" s="214" t="n">
        <f aca="false">B96</f>
        <v>1766.51515105796</v>
      </c>
      <c r="F167" s="236"/>
      <c r="G167" s="236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1"/>
      <c r="B168" s="331"/>
      <c r="C168" s="331"/>
      <c r="D168" s="331"/>
      <c r="E168" s="236"/>
      <c r="F168" s="236"/>
      <c r="G168" s="236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1" t="s">
        <v>81</v>
      </c>
      <c r="B169" s="331" t="s">
        <v>82</v>
      </c>
      <c r="C169" s="331"/>
      <c r="D169" s="236"/>
      <c r="E169" s="331" t="s">
        <v>251</v>
      </c>
      <c r="F169" s="236"/>
      <c r="G169" s="236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4" t="n">
        <f aca="false">K29</f>
        <v>0</v>
      </c>
      <c r="B170" s="118" t="n">
        <f aca="false">K30</f>
        <v>0</v>
      </c>
      <c r="C170" s="362"/>
      <c r="D170" s="236"/>
      <c r="E170" s="60" t="n">
        <f aca="false">IF(A111="YES", A40, 0)</f>
        <v>0</v>
      </c>
      <c r="F170" s="236"/>
      <c r="G170" s="236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1"/>
      <c r="B171" s="331"/>
      <c r="C171" s="331"/>
      <c r="D171" s="236"/>
      <c r="E171" s="331"/>
      <c r="F171" s="236"/>
      <c r="G171" s="236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1" t="s">
        <v>252</v>
      </c>
      <c r="B172" s="331" t="s">
        <v>253</v>
      </c>
      <c r="C172" s="331"/>
      <c r="D172" s="236"/>
      <c r="E172" s="331" t="s">
        <v>254</v>
      </c>
      <c r="F172" s="236"/>
      <c r="G172" s="236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5" t="n">
        <f aca="false">H137</f>
        <v>9480.834</v>
      </c>
      <c r="C173" s="363"/>
      <c r="D173" s="236"/>
      <c r="E173" s="60" t="n">
        <f aca="false">H139+H140</f>
        <v>640</v>
      </c>
      <c r="F173" s="236"/>
      <c r="G173" s="236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1"/>
      <c r="B174" s="331"/>
      <c r="C174" s="331"/>
      <c r="D174" s="236"/>
      <c r="E174" s="331"/>
      <c r="F174" s="236"/>
      <c r="G174" s="236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1" t="s">
        <v>255</v>
      </c>
      <c r="B175" s="331" t="s">
        <v>142</v>
      </c>
      <c r="C175" s="331"/>
      <c r="D175" s="236"/>
      <c r="E175" s="331" t="s">
        <v>231</v>
      </c>
      <c r="F175" s="236"/>
      <c r="G175" s="236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5" t="n">
        <f aca="false">B111</f>
        <v>0</v>
      </c>
      <c r="C176" s="215"/>
      <c r="D176" s="236"/>
      <c r="E176" s="215" t="n">
        <f aca="false">E111</f>
        <v>0</v>
      </c>
      <c r="F176" s="236"/>
      <c r="G176" s="236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1"/>
      <c r="B177" s="331"/>
      <c r="C177" s="331"/>
      <c r="D177" s="236"/>
      <c r="E177" s="331"/>
      <c r="F177" s="236"/>
      <c r="G177" s="236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1" t="s">
        <v>232</v>
      </c>
      <c r="B178" s="331" t="s">
        <v>138</v>
      </c>
      <c r="C178" s="331"/>
      <c r="D178" s="236"/>
      <c r="E178" s="331" t="s">
        <v>246</v>
      </c>
      <c r="F178" s="236"/>
      <c r="G178" s="236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5" t="n">
        <f aca="false">G154</f>
        <v>0</v>
      </c>
      <c r="C179" s="215"/>
      <c r="D179" s="236"/>
      <c r="E179" s="215" t="n">
        <f aca="false">A176-A179-B179</f>
        <v>57525.004</v>
      </c>
      <c r="F179" s="236"/>
      <c r="G179" s="236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1"/>
      <c r="B180" s="331"/>
      <c r="C180" s="331"/>
      <c r="D180" s="236"/>
      <c r="E180" s="331"/>
      <c r="F180" s="236"/>
      <c r="G180" s="236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1" t="s">
        <v>256</v>
      </c>
      <c r="B181" s="331" t="s">
        <v>52</v>
      </c>
      <c r="C181" s="331"/>
      <c r="D181" s="236"/>
      <c r="E181" s="331" t="s">
        <v>257</v>
      </c>
      <c r="F181" s="236"/>
      <c r="G181" s="236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5" t="str">
        <f aca="false">B114</f>
        <v>199.99</v>
      </c>
      <c r="C182" s="215"/>
      <c r="D182" s="236"/>
      <c r="E182" s="215" t="n">
        <f aca="false">E179+A182+B182+A185</f>
        <v>58234.994</v>
      </c>
      <c r="F182" s="236"/>
      <c r="G182" s="236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1" t="n">
        <v>3</v>
      </c>
      <c r="B183" s="331"/>
      <c r="C183" s="331"/>
      <c r="D183" s="236"/>
      <c r="E183" s="331"/>
      <c r="F183" s="236"/>
      <c r="G183" s="236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1" t="s">
        <v>258</v>
      </c>
      <c r="B184" s="331" t="s">
        <v>259</v>
      </c>
      <c r="C184" s="331"/>
      <c r="D184" s="236"/>
      <c r="E184" s="331" t="s">
        <v>260</v>
      </c>
      <c r="F184" s="236"/>
      <c r="G184" s="236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5" t="n">
        <f aca="false">A179+B182</f>
        <v>199.99</v>
      </c>
      <c r="C185" s="215"/>
      <c r="D185" s="236"/>
      <c r="E185" s="215" t="n">
        <f aca="false">E170+A185</f>
        <v>10</v>
      </c>
      <c r="F185" s="236"/>
      <c r="G185" s="236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1"/>
      <c r="B186" s="331"/>
      <c r="C186" s="331"/>
      <c r="D186" s="331"/>
      <c r="E186" s="236"/>
      <c r="F186" s="236"/>
      <c r="G186" s="236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1" t="s">
        <v>261</v>
      </c>
      <c r="B187" s="331" t="s">
        <v>262</v>
      </c>
      <c r="C187" s="331"/>
      <c r="D187" s="331"/>
      <c r="E187" s="210" t="s">
        <v>263</v>
      </c>
      <c r="F187" s="236"/>
      <c r="G187" s="236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5" t="n">
        <f aca="false">(G158*B67)</f>
        <v>143.81251</v>
      </c>
      <c r="C188" s="331"/>
      <c r="D188" s="331"/>
      <c r="E188" s="215" t="n">
        <f aca="false">(E40*A108)*0.1</f>
        <v>0</v>
      </c>
      <c r="F188" s="236"/>
      <c r="G188" s="236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5"/>
      <c r="C189" s="331"/>
      <c r="D189" s="331"/>
      <c r="E189" s="236"/>
      <c r="F189" s="236"/>
      <c r="G189" s="236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10" t="s">
        <v>265</v>
      </c>
      <c r="C190" s="331"/>
      <c r="D190" s="331"/>
      <c r="E190" s="210" t="s">
        <v>266</v>
      </c>
      <c r="F190" s="236"/>
      <c r="G190" s="236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5" t="n">
        <f aca="false">B188+E188+A191</f>
        <v>243.80251</v>
      </c>
      <c r="C191" s="331"/>
      <c r="D191" s="331"/>
      <c r="E191" s="215" t="n">
        <f aca="false">H148</f>
        <v>-833.33</v>
      </c>
      <c r="F191" s="236"/>
      <c r="G191" s="236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1"/>
      <c r="B192" s="331"/>
      <c r="C192" s="331"/>
      <c r="D192" s="331"/>
      <c r="E192" s="236"/>
      <c r="F192" s="236"/>
      <c r="G192" s="236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4" t="s">
        <v>267</v>
      </c>
      <c r="B193" s="331"/>
      <c r="C193" s="331"/>
      <c r="D193" s="255"/>
      <c r="E193" s="255"/>
      <c r="F193" s="255"/>
      <c r="G193" s="255"/>
      <c r="H193" s="256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1"/>
      <c r="B194" s="257"/>
      <c r="C194" s="257"/>
      <c r="D194" s="331"/>
      <c r="E194" s="236"/>
      <c r="F194" s="236"/>
      <c r="G194" s="236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6" t="s">
        <v>81</v>
      </c>
      <c r="B195" s="259" t="s">
        <v>82</v>
      </c>
      <c r="C195" s="259"/>
      <c r="D195" s="259"/>
      <c r="E195" s="236"/>
      <c r="F195" s="236"/>
      <c r="G195" s="236"/>
      <c r="H195" s="11"/>
      <c r="J195" s="340"/>
      <c r="K195" s="340"/>
      <c r="L195" s="340"/>
      <c r="M195" s="340"/>
      <c r="N195" s="0"/>
      <c r="O195" s="0"/>
      <c r="P195" s="0"/>
      <c r="Q195" s="0"/>
      <c r="R195" s="0"/>
      <c r="S195" s="340"/>
      <c r="T195" s="340"/>
      <c r="U195" s="340"/>
      <c r="V195" s="340"/>
      <c r="W195" s="0"/>
      <c r="X195" s="0"/>
      <c r="Y195" s="0"/>
      <c r="Z195" s="0"/>
      <c r="AA195" s="0"/>
      <c r="AB195" s="340"/>
      <c r="AC195" s="340"/>
      <c r="AD195" s="340"/>
      <c r="AE195" s="340"/>
      <c r="AF195" s="0"/>
      <c r="AG195" s="0"/>
      <c r="AH195" s="0"/>
      <c r="AI195" s="0"/>
    </row>
    <row r="196" customFormat="false" ht="19.5" hidden="false" customHeight="true" outlineLevel="0" collapsed="false">
      <c r="A196" s="326"/>
      <c r="B196" s="260" t="n">
        <f aca="false">K30</f>
        <v>0</v>
      </c>
      <c r="C196" s="260"/>
      <c r="D196" s="260"/>
      <c r="E196" s="236"/>
      <c r="F196" s="236"/>
      <c r="G196" s="236"/>
      <c r="H196" s="11"/>
      <c r="J196" s="340"/>
      <c r="K196" s="340"/>
      <c r="L196" s="340"/>
      <c r="M196" s="340"/>
      <c r="N196" s="0"/>
      <c r="O196" s="0"/>
      <c r="P196" s="0"/>
      <c r="Q196" s="0"/>
      <c r="R196" s="0"/>
      <c r="S196" s="340"/>
      <c r="T196" s="340"/>
      <c r="U196" s="340"/>
      <c r="V196" s="340"/>
      <c r="W196" s="0"/>
      <c r="X196" s="0"/>
      <c r="Y196" s="0"/>
      <c r="Z196" s="0"/>
      <c r="AA196" s="0"/>
      <c r="AB196" s="340"/>
      <c r="AC196" s="340"/>
      <c r="AD196" s="340"/>
      <c r="AE196" s="340"/>
      <c r="AF196" s="0"/>
      <c r="AG196" s="0"/>
      <c r="AH196" s="0"/>
      <c r="AI196" s="0"/>
    </row>
    <row r="197" customFormat="false" ht="17.35" hidden="false" customHeight="false" outlineLevel="0" collapsed="false">
      <c r="A197" s="261" t="n">
        <f aca="false">K29</f>
        <v>0</v>
      </c>
      <c r="B197" s="75" t="n">
        <f aca="false">B96</f>
        <v>1766.51515105796</v>
      </c>
      <c r="C197" s="75"/>
      <c r="D197" s="75"/>
      <c r="E197" s="236"/>
      <c r="F197" s="236"/>
      <c r="G197" s="236"/>
      <c r="H197" s="11"/>
      <c r="J197" s="0"/>
      <c r="K197" s="340"/>
      <c r="L197" s="340"/>
      <c r="M197" s="340"/>
      <c r="N197" s="0"/>
      <c r="O197" s="0"/>
      <c r="P197" s="0"/>
      <c r="Q197" s="0"/>
      <c r="R197" s="0"/>
      <c r="S197" s="0"/>
      <c r="T197" s="340"/>
      <c r="U197" s="340"/>
      <c r="V197" s="340"/>
      <c r="W197" s="0"/>
      <c r="X197" s="0"/>
      <c r="Y197" s="0"/>
      <c r="Z197" s="0"/>
      <c r="AA197" s="0"/>
      <c r="AB197" s="0"/>
      <c r="AC197" s="340"/>
      <c r="AD197" s="340"/>
      <c r="AE197" s="340"/>
      <c r="AF197" s="0"/>
      <c r="AG197" s="0"/>
      <c r="AH197" s="0"/>
      <c r="AI197" s="0"/>
    </row>
    <row r="198" customFormat="false" ht="17.35" hidden="false" customHeight="false" outlineLevel="0" collapsed="false">
      <c r="A198" s="221"/>
      <c r="B198" s="331"/>
      <c r="C198" s="331"/>
      <c r="D198" s="331"/>
      <c r="E198" s="236"/>
      <c r="F198" s="236"/>
      <c r="G198" s="236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1"/>
      <c r="B199" s="331"/>
      <c r="C199" s="331"/>
      <c r="D199" s="331"/>
      <c r="E199" s="236"/>
      <c r="F199" s="236"/>
      <c r="G199" s="236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1"/>
      <c r="B200" s="331"/>
      <c r="C200" s="331"/>
      <c r="D200" s="331"/>
      <c r="E200" s="236"/>
      <c r="F200" s="236"/>
      <c r="G200" s="236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1"/>
      <c r="B201" s="331"/>
      <c r="C201" s="331"/>
      <c r="D201" s="331"/>
      <c r="E201" s="236"/>
      <c r="F201" s="236"/>
      <c r="G201" s="236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9"/>
      <c r="B202" s="250"/>
      <c r="C202" s="250"/>
      <c r="D202" s="250"/>
      <c r="E202" s="250"/>
      <c r="F202" s="250"/>
      <c r="G202" s="250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216" width="41.67" collapsed="false" outlineLevel="0"/>
    <col min="2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2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2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2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 t="n">
        <v>0</v>
      </c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329" t="n">
        <v>0</v>
      </c>
      <c r="C4" s="329" t="n">
        <v>0</v>
      </c>
      <c r="D4" s="329" t="n">
        <v>0</v>
      </c>
      <c r="E4" s="329"/>
      <c r="F4" s="329" t="n">
        <v>0</v>
      </c>
      <c r="G4" s="329"/>
      <c r="H4" s="330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 t="n">
        <v>0</v>
      </c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331"/>
      <c r="C8" s="331"/>
      <c r="D8" s="331"/>
      <c r="E8" s="331"/>
      <c r="F8" s="331"/>
      <c r="G8" s="331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 t="n">
        <f aca="false">(B7+C7+D7+E3)</f>
        <v>46854.17</v>
      </c>
      <c r="F9" s="226"/>
      <c r="G9" s="332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 t="n">
        <v>50</v>
      </c>
      <c r="F10" s="229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 t="n">
        <v>585</v>
      </c>
      <c r="F13" s="229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 t="n">
        <v>55</v>
      </c>
      <c r="F14" s="229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 t="n">
        <v>120</v>
      </c>
      <c r="F16" s="229"/>
      <c r="G16" s="4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5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210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210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210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  <c r="P22" s="333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  <c r="P23" s="333"/>
    </row>
    <row r="24" customFormat="false" ht="46.5" hidden="false" customHeight="true" outlineLevel="0" collapsed="false">
      <c r="A24" s="237" t="s">
        <v>277</v>
      </c>
      <c r="B24" s="237"/>
      <c r="C24" s="237"/>
      <c r="D24" s="237"/>
      <c r="E24" s="237"/>
      <c r="F24" s="237"/>
      <c r="G24" s="237"/>
      <c r="H24" s="237"/>
      <c r="I24" s="50"/>
      <c r="J24" s="50"/>
      <c r="K24" s="50"/>
      <c r="P24" s="333"/>
    </row>
    <row r="25" customFormat="false" ht="17.35" hidden="false" customHeight="false" outlineLevel="0" collapsed="false">
      <c r="A25" s="238"/>
      <c r="B25" s="239"/>
      <c r="C25" s="239"/>
      <c r="D25" s="239"/>
      <c r="E25" s="239"/>
      <c r="F25" s="239"/>
      <c r="G25" s="239"/>
      <c r="H25" s="102"/>
      <c r="I25" s="50"/>
      <c r="J25" s="50"/>
      <c r="K25" s="50"/>
      <c r="P25" s="333"/>
    </row>
    <row r="26" customFormat="false" ht="17.9" hidden="false" customHeight="false" outlineLevel="0" collapsed="false">
      <c r="A26" s="241" t="s">
        <v>130</v>
      </c>
      <c r="B26" s="242" t="s">
        <v>26</v>
      </c>
      <c r="C26" s="331"/>
      <c r="D26" s="331"/>
      <c r="E26" s="331"/>
      <c r="F26" s="331"/>
      <c r="G26" s="331"/>
      <c r="H26" s="11"/>
      <c r="I26" s="50"/>
      <c r="J26" s="30" t="s">
        <v>30</v>
      </c>
      <c r="K26" s="31" t="s">
        <v>31</v>
      </c>
      <c r="P26" s="333"/>
    </row>
    <row r="27" customFormat="false" ht="17.9" hidden="false" customHeight="false" outlineLevel="0" collapsed="false">
      <c r="A27" s="221"/>
      <c r="B27" s="331"/>
      <c r="C27" s="331"/>
      <c r="D27" s="331"/>
      <c r="E27" s="331"/>
      <c r="F27" s="331"/>
      <c r="G27" s="331"/>
      <c r="H27" s="11"/>
      <c r="I27" s="50"/>
      <c r="J27" s="32" t="s">
        <v>32</v>
      </c>
      <c r="K27" s="33" t="n">
        <v>1</v>
      </c>
      <c r="P27" s="333"/>
    </row>
    <row r="28" customFormat="false" ht="22.05" hidden="false" customHeight="false" outlineLevel="0" collapsed="false">
      <c r="A28" s="240" t="s">
        <v>116</v>
      </c>
      <c r="B28" s="240"/>
      <c r="C28" s="240"/>
      <c r="D28" s="240"/>
      <c r="E28" s="240"/>
      <c r="F28" s="240"/>
      <c r="G28" s="240"/>
      <c r="H28" s="240"/>
      <c r="I28" s="50"/>
      <c r="J28" s="32" t="s">
        <v>36</v>
      </c>
      <c r="K28" s="33"/>
      <c r="P28" s="333"/>
    </row>
    <row r="29" customFormat="false" ht="17.9" hidden="false" customHeight="false" outlineLevel="0" collapsed="false">
      <c r="A29" s="221"/>
      <c r="B29" s="331"/>
      <c r="C29" s="331"/>
      <c r="D29" s="331"/>
      <c r="E29" s="331"/>
      <c r="F29" s="331"/>
      <c r="G29" s="331"/>
      <c r="H29" s="11" t="n">
        <v>36</v>
      </c>
      <c r="I29" s="331"/>
      <c r="J29" s="30" t="s">
        <v>38</v>
      </c>
      <c r="K29" s="364" t="n">
        <v>36</v>
      </c>
      <c r="P29" s="333"/>
    </row>
    <row r="30" customFormat="false" ht="17.9" hidden="false" customHeight="false" outlineLevel="0" collapsed="false">
      <c r="A30" s="221" t="s">
        <v>145</v>
      </c>
      <c r="B30" s="42" t="s">
        <v>278</v>
      </c>
      <c r="C30" s="42"/>
      <c r="D30" s="42"/>
      <c r="E30" s="331"/>
      <c r="F30" s="331"/>
      <c r="G30" s="331"/>
      <c r="H30" s="11" t="n">
        <v>10000</v>
      </c>
      <c r="I30" s="331"/>
      <c r="J30" s="30" t="s">
        <v>39</v>
      </c>
      <c r="K30" s="39" t="n">
        <v>10000</v>
      </c>
      <c r="P30" s="333"/>
    </row>
    <row r="31" customFormat="false" ht="17.9" hidden="false" customHeight="false" outlineLevel="0" collapsed="false">
      <c r="A31" s="221"/>
      <c r="B31" s="331"/>
      <c r="C31" s="331"/>
      <c r="D31" s="331"/>
      <c r="E31" s="331"/>
      <c r="F31" s="331"/>
      <c r="G31" s="331"/>
      <c r="H31" s="11" t="n">
        <v>27500</v>
      </c>
      <c r="I31" s="331"/>
      <c r="J31" s="30" t="s">
        <v>43</v>
      </c>
      <c r="K31" s="365" t="n">
        <v>27500</v>
      </c>
      <c r="P31" s="333"/>
    </row>
    <row r="32" customFormat="false" ht="34.8" hidden="false" customHeight="false" outlineLevel="0" collapsed="false">
      <c r="A32" s="221" t="s">
        <v>81</v>
      </c>
      <c r="B32" s="331" t="s">
        <v>82</v>
      </c>
      <c r="C32" s="331"/>
      <c r="D32" s="331"/>
      <c r="E32" s="331" t="s">
        <v>279</v>
      </c>
      <c r="F32" s="331"/>
      <c r="G32" s="331"/>
      <c r="H32" s="11"/>
      <c r="I32" s="50"/>
      <c r="J32" s="30" t="s">
        <v>46</v>
      </c>
      <c r="K32" s="365" t="n">
        <v>0</v>
      </c>
      <c r="P32" s="333"/>
    </row>
    <row r="33" customFormat="false" ht="34.8" hidden="false" customHeight="false" outlineLevel="0" collapsed="false">
      <c r="A33" s="324" t="n">
        <f aca="false">A52</f>
        <v>36</v>
      </c>
      <c r="B33" s="49" t="n">
        <f aca="false">B51</f>
        <v>10000</v>
      </c>
      <c r="C33" s="331"/>
      <c r="D33" s="331"/>
      <c r="E33" s="49" t="n">
        <f aca="false">K48</f>
        <v>922.920864561026</v>
      </c>
      <c r="F33" s="49"/>
      <c r="G33" s="49"/>
      <c r="H33" s="246"/>
      <c r="I33" s="50"/>
      <c r="J33" s="32" t="s">
        <v>280</v>
      </c>
      <c r="K33" s="47" t="n">
        <f aca="false">H21-H11+(H16*20%)</f>
        <v>48877.5</v>
      </c>
      <c r="L33" s="216" t="n">
        <f aca="false">H21-H11+(H16*20%)</f>
        <v>48877.5</v>
      </c>
      <c r="P33" s="333"/>
    </row>
    <row r="34" customFormat="false" ht="17.35" hidden="false" customHeight="false" outlineLevel="0" collapsed="false">
      <c r="A34" s="221"/>
      <c r="B34" s="331"/>
      <c r="C34" s="331"/>
      <c r="D34" s="331"/>
      <c r="E34" s="363"/>
      <c r="F34" s="363"/>
      <c r="G34" s="363"/>
      <c r="H34" s="246"/>
      <c r="I34" s="50"/>
      <c r="J34" s="50"/>
      <c r="K34" s="50"/>
      <c r="P34" s="333"/>
    </row>
    <row r="35" customFormat="false" ht="21.6" hidden="false" customHeight="false" outlineLevel="0" collapsed="false">
      <c r="A35" s="221" t="s">
        <v>281</v>
      </c>
      <c r="B35" s="331" t="s">
        <v>282</v>
      </c>
      <c r="C35" s="331"/>
      <c r="D35" s="333"/>
      <c r="E35" s="331" t="s">
        <v>283</v>
      </c>
      <c r="F35" s="363"/>
      <c r="G35" s="363"/>
      <c r="H35" s="246"/>
      <c r="I35" s="50"/>
      <c r="J35" s="53" t="s">
        <v>50</v>
      </c>
      <c r="K35" s="0" t="n">
        <f aca="false">6.5/100</f>
        <v>0.065</v>
      </c>
      <c r="P35" s="333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6"/>
      <c r="I36" s="50"/>
      <c r="J36" s="50" t="s">
        <v>51</v>
      </c>
      <c r="K36" s="50" t="n">
        <f aca="false">K29</f>
        <v>36</v>
      </c>
      <c r="P36" s="333"/>
    </row>
    <row r="37" customFormat="false" ht="17.35" hidden="false" customHeight="false" outlineLevel="0" collapsed="false">
      <c r="A37" s="129"/>
      <c r="B37" s="215"/>
      <c r="C37" s="363"/>
      <c r="D37" s="363"/>
      <c r="E37" s="363"/>
      <c r="F37" s="363"/>
      <c r="G37" s="363"/>
      <c r="H37" s="246"/>
      <c r="I37" s="50"/>
      <c r="J37" s="50"/>
      <c r="K37" s="50"/>
      <c r="P37" s="333"/>
    </row>
    <row r="38" customFormat="false" ht="17.35" hidden="false" customHeight="false" outlineLevel="0" collapsed="false">
      <c r="A38" s="221"/>
      <c r="B38" s="331"/>
      <c r="C38" s="363"/>
      <c r="D38" s="363"/>
      <c r="E38" s="363"/>
      <c r="F38" s="363"/>
      <c r="G38" s="363"/>
      <c r="H38" s="246"/>
      <c r="J38" s="56" t="s">
        <v>56</v>
      </c>
      <c r="K38" s="56"/>
      <c r="L38" s="50" t="n">
        <v>42030.76</v>
      </c>
      <c r="N38" s="216" t="n">
        <f aca="false">80.88*36</f>
        <v>2911.68</v>
      </c>
      <c r="P38" s="333"/>
    </row>
    <row r="39" customFormat="false" ht="17.35" hidden="false" customHeight="false" outlineLevel="0" collapsed="false">
      <c r="A39" s="221" t="s">
        <v>284</v>
      </c>
      <c r="B39" s="331" t="s">
        <v>285</v>
      </c>
      <c r="C39" s="331"/>
      <c r="D39" s="333"/>
      <c r="E39" s="331" t="s">
        <v>286</v>
      </c>
      <c r="F39" s="363"/>
      <c r="G39" s="363"/>
      <c r="H39" s="246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6" t="n">
        <f aca="false">K39-L39</f>
        <v>4010.59913943349</v>
      </c>
      <c r="P39" s="333"/>
    </row>
    <row r="40" customFormat="false" ht="17.35" hidden="false" customHeight="false" outlineLevel="0" collapsed="false">
      <c r="A40" s="112" t="n">
        <f aca="false">E36*A45/100</f>
        <v>27500</v>
      </c>
      <c r="B40" s="112" t="str">
        <f aca="false">IF(B26="YES",K42,"0")</f>
        <v>0</v>
      </c>
      <c r="C40" s="112"/>
      <c r="D40" s="112"/>
      <c r="E40" s="60" t="n">
        <f aca="false">K32</f>
        <v>0</v>
      </c>
      <c r="F40" s="363"/>
      <c r="G40" s="363"/>
      <c r="H40" s="246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6" t="n">
        <f aca="false">N38-N39</f>
        <v>-1098.91913943349</v>
      </c>
      <c r="P40" s="333"/>
    </row>
    <row r="41" customFormat="false" ht="17.35" hidden="false" customHeight="false" outlineLevel="0" collapsed="false">
      <c r="A41" s="221"/>
      <c r="B41" s="331"/>
      <c r="C41" s="331"/>
      <c r="D41" s="331"/>
      <c r="E41" s="331"/>
      <c r="F41" s="363"/>
      <c r="G41" s="363"/>
      <c r="H41" s="246"/>
      <c r="J41" s="50" t="s">
        <v>287</v>
      </c>
      <c r="K41" s="50" t="n">
        <f aca="false">K35/12</f>
        <v>0.00541666666666667</v>
      </c>
      <c r="L41" s="50"/>
      <c r="P41" s="333"/>
    </row>
    <row r="42" customFormat="false" ht="17.35" hidden="false" customHeight="false" outlineLevel="0" collapsed="false">
      <c r="A42" s="249"/>
      <c r="B42" s="250"/>
      <c r="C42" s="250"/>
      <c r="D42" s="250"/>
      <c r="E42" s="250"/>
      <c r="F42" s="250"/>
      <c r="G42" s="251"/>
      <c r="H42" s="101"/>
      <c r="J42" s="50" t="s">
        <v>288</v>
      </c>
      <c r="K42" s="50" t="n">
        <f aca="false">(K32/K36)*C45/100</f>
        <v>0</v>
      </c>
      <c r="L42" s="50"/>
      <c r="P42" s="333"/>
    </row>
    <row r="43" customFormat="false" ht="17.35" hidden="false" customHeight="false" outlineLevel="0" collapsed="false">
      <c r="A43" s="238"/>
      <c r="B43" s="239"/>
      <c r="C43" s="239"/>
      <c r="D43" s="239"/>
      <c r="E43" s="239"/>
      <c r="F43" s="239"/>
      <c r="G43" s="239"/>
      <c r="H43" s="102"/>
      <c r="J43" s="50" t="s">
        <v>289</v>
      </c>
      <c r="K43" s="50"/>
      <c r="L43" s="50"/>
      <c r="P43" s="333"/>
    </row>
    <row r="44" customFormat="false" ht="17.35" hidden="false" customHeight="false" outlineLevel="0" collapsed="false">
      <c r="A44" s="131" t="s">
        <v>203</v>
      </c>
      <c r="B44" s="331"/>
      <c r="C44" s="144" t="s">
        <v>204</v>
      </c>
      <c r="D44" s="144"/>
      <c r="E44" s="331"/>
      <c r="F44" s="331"/>
      <c r="G44" s="331"/>
      <c r="H44" s="11"/>
      <c r="J44" s="50" t="s">
        <v>290</v>
      </c>
      <c r="K44" s="50" t="n">
        <f aca="false">(K40/(1+K41)^(K36+1))</f>
        <v>18764.9097705681</v>
      </c>
      <c r="L44" s="50"/>
      <c r="P44" s="333"/>
    </row>
    <row r="45" customFormat="false" ht="17.35" hidden="false" customHeight="false" outlineLevel="0" collapsed="false">
      <c r="A45" s="366" t="s">
        <v>291</v>
      </c>
      <c r="B45" s="331"/>
      <c r="C45" s="253" t="s">
        <v>291</v>
      </c>
      <c r="D45" s="253"/>
      <c r="E45" s="253"/>
      <c r="F45" s="331"/>
      <c r="G45" s="331"/>
      <c r="H45" s="11"/>
      <c r="J45" s="50" t="s">
        <v>292</v>
      </c>
      <c r="K45" s="50" t="n">
        <f aca="false">(K39-K44)</f>
        <v>30112.5902294319</v>
      </c>
      <c r="L45" s="50"/>
      <c r="P45" s="333"/>
    </row>
    <row r="46" customFormat="false" ht="17.35" hidden="false" customHeight="false" outlineLevel="0" collapsed="false">
      <c r="A46" s="249"/>
      <c r="B46" s="250"/>
      <c r="C46" s="250"/>
      <c r="D46" s="250"/>
      <c r="E46" s="250"/>
      <c r="F46" s="250"/>
      <c r="G46" s="250"/>
      <c r="H46" s="84"/>
      <c r="J46" s="50" t="s">
        <v>293</v>
      </c>
      <c r="K46" s="50" t="n">
        <f aca="false">((1-(1/((1+K41)^K36)))/K41)</f>
        <v>32.627488862498</v>
      </c>
      <c r="L46" s="50"/>
      <c r="P46" s="333"/>
    </row>
    <row r="47" customFormat="false" ht="17.35" hidden="false" customHeight="false" outlineLevel="0" collapsed="false">
      <c r="A47" s="238"/>
      <c r="B47" s="239"/>
      <c r="C47" s="239"/>
      <c r="D47" s="239"/>
      <c r="E47" s="239"/>
      <c r="F47" s="239"/>
      <c r="G47" s="239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6" t="n">
        <f aca="false">K47-L47</f>
        <v>122.920864561025</v>
      </c>
      <c r="P47" s="333"/>
    </row>
    <row r="48" customFormat="false" ht="31.8" hidden="false" customHeight="false" outlineLevel="0" collapsed="false">
      <c r="A48" s="254" t="s">
        <v>205</v>
      </c>
      <c r="B48" s="331"/>
      <c r="C48" s="331"/>
      <c r="D48" s="255"/>
      <c r="E48" s="255"/>
      <c r="F48" s="255"/>
      <c r="G48" s="255"/>
      <c r="H48" s="256"/>
      <c r="J48" s="63" t="s">
        <v>295</v>
      </c>
      <c r="K48" s="50" t="n">
        <f aca="false">IF(B26="YES", K47+K42, K47)</f>
        <v>922.920864561026</v>
      </c>
      <c r="L48" s="50"/>
      <c r="P48" s="333"/>
    </row>
    <row r="49" customFormat="false" ht="17.35" hidden="false" customHeight="false" outlineLevel="0" collapsed="false">
      <c r="A49" s="221"/>
      <c r="B49" s="257"/>
      <c r="C49" s="257"/>
      <c r="D49" s="331"/>
      <c r="E49" s="331"/>
      <c r="F49" s="331"/>
      <c r="G49" s="331"/>
      <c r="H49" s="11"/>
      <c r="J49" s="50" t="s">
        <v>296</v>
      </c>
      <c r="K49" s="50"/>
      <c r="L49" s="50" t="n">
        <v>800</v>
      </c>
      <c r="P49" s="333"/>
    </row>
    <row r="50" customFormat="false" ht="19.7" hidden="false" customHeight="false" outlineLevel="0" collapsed="false">
      <c r="A50" s="326" t="s">
        <v>81</v>
      </c>
      <c r="B50" s="259" t="s">
        <v>82</v>
      </c>
      <c r="C50" s="259"/>
      <c r="D50" s="259"/>
      <c r="E50" s="331"/>
      <c r="F50" s="331"/>
      <c r="G50" s="331"/>
      <c r="H50" s="11"/>
      <c r="I50" s="50"/>
      <c r="J50" s="50"/>
      <c r="K50" s="50"/>
      <c r="P50" s="333"/>
    </row>
    <row r="51" customFormat="false" ht="19.5" hidden="false" customHeight="true" outlineLevel="0" collapsed="false">
      <c r="A51" s="326"/>
      <c r="B51" s="260" t="n">
        <f aca="false">K30</f>
        <v>10000</v>
      </c>
      <c r="C51" s="260"/>
      <c r="D51" s="260"/>
      <c r="E51" s="331"/>
      <c r="F51" s="331"/>
      <c r="G51" s="331"/>
      <c r="H51" s="11"/>
      <c r="I51" s="50"/>
      <c r="J51" s="50"/>
      <c r="K51" s="50"/>
      <c r="P51" s="333"/>
    </row>
    <row r="52" customFormat="false" ht="17.35" hidden="false" customHeight="false" outlineLevel="0" collapsed="false">
      <c r="A52" s="261" t="n">
        <f aca="false">K29</f>
        <v>36</v>
      </c>
      <c r="B52" s="75" t="n">
        <f aca="false">K48</f>
        <v>922.920864561026</v>
      </c>
      <c r="C52" s="75"/>
      <c r="D52" s="75"/>
      <c r="E52" s="331"/>
      <c r="F52" s="331"/>
      <c r="G52" s="331"/>
      <c r="H52" s="11"/>
      <c r="I52" s="50"/>
      <c r="J52" s="50"/>
      <c r="K52" s="50"/>
      <c r="P52" s="333"/>
    </row>
    <row r="53" customFormat="false" ht="17.35" hidden="false" customHeight="false" outlineLevel="0" collapsed="false">
      <c r="A53" s="221"/>
      <c r="B53" s="331"/>
      <c r="C53" s="331"/>
      <c r="D53" s="331"/>
      <c r="E53" s="331"/>
      <c r="F53" s="331"/>
      <c r="G53" s="331"/>
      <c r="H53" s="11"/>
      <c r="I53" s="50"/>
      <c r="J53" s="50"/>
      <c r="K53" s="50"/>
      <c r="P53" s="333"/>
    </row>
    <row r="54" customFormat="false" ht="17.35" hidden="false" customHeight="false" outlineLevel="0" collapsed="false">
      <c r="A54" s="249"/>
      <c r="B54" s="250"/>
      <c r="C54" s="250"/>
      <c r="D54" s="250"/>
      <c r="E54" s="250"/>
      <c r="F54" s="250"/>
      <c r="G54" s="250"/>
      <c r="H54" s="84"/>
      <c r="I54" s="50"/>
      <c r="J54" s="50"/>
      <c r="K54" s="50"/>
      <c r="P54" s="333"/>
    </row>
    <row r="55" customFormat="false" ht="17.35" hidden="false" customHeight="false" outlineLevel="0" collapsed="false">
      <c r="A55" s="236"/>
      <c r="B55" s="236"/>
      <c r="C55" s="236"/>
      <c r="D55" s="236"/>
      <c r="E55" s="236"/>
      <c r="F55" s="236"/>
      <c r="G55" s="236"/>
      <c r="H55" s="236"/>
      <c r="J55" s="50"/>
      <c r="K55" s="50"/>
      <c r="P55" s="333"/>
    </row>
    <row r="56" customFormat="false" ht="17.35" hidden="false" customHeight="false" outlineLevel="0" collapsed="false">
      <c r="A56" s="236"/>
      <c r="B56" s="236"/>
      <c r="C56" s="236"/>
      <c r="D56" s="236"/>
      <c r="E56" s="236"/>
      <c r="F56" s="236"/>
      <c r="G56" s="236"/>
      <c r="H56" s="236"/>
      <c r="J56" s="50"/>
      <c r="K56" s="50"/>
      <c r="P56" s="333"/>
    </row>
    <row r="57" customFormat="false" ht="17.35" hidden="false" customHeight="false" outlineLevel="0" collapsed="false">
      <c r="A57" s="238"/>
      <c r="B57" s="239"/>
      <c r="C57" s="239"/>
      <c r="D57" s="239"/>
      <c r="E57" s="262"/>
      <c r="F57" s="262"/>
      <c r="G57" s="262"/>
      <c r="H57" s="102"/>
      <c r="J57" s="238"/>
      <c r="K57" s="239"/>
      <c r="L57" s="239"/>
      <c r="M57" s="239"/>
      <c r="N57" s="262"/>
      <c r="O57" s="262"/>
      <c r="P57" s="262"/>
      <c r="Q57" s="102"/>
      <c r="S57" s="238"/>
      <c r="T57" s="239"/>
      <c r="U57" s="239"/>
      <c r="V57" s="239"/>
      <c r="W57" s="262"/>
      <c r="X57" s="262"/>
      <c r="Y57" s="262"/>
      <c r="Z57" s="102"/>
      <c r="AB57" s="238"/>
      <c r="AC57" s="239"/>
      <c r="AD57" s="239"/>
      <c r="AE57" s="239"/>
      <c r="AF57" s="262"/>
      <c r="AG57" s="262"/>
      <c r="AH57" s="262"/>
      <c r="AI57" s="102"/>
    </row>
    <row r="58" customFormat="false" ht="17.35" hidden="false" customHeight="false" outlineLevel="0" collapsed="false">
      <c r="A58" s="221" t="s">
        <v>83</v>
      </c>
      <c r="B58" s="331" t="n">
        <v>1</v>
      </c>
      <c r="C58" s="331"/>
      <c r="D58" s="331"/>
      <c r="E58" s="342"/>
      <c r="F58" s="342"/>
      <c r="G58" s="342"/>
      <c r="H58" s="11"/>
      <c r="J58" s="221" t="s">
        <v>83</v>
      </c>
      <c r="K58" s="331" t="n">
        <v>1</v>
      </c>
      <c r="L58" s="331"/>
      <c r="M58" s="331"/>
      <c r="N58" s="342"/>
      <c r="O58" s="342"/>
      <c r="P58" s="342"/>
      <c r="Q58" s="11"/>
      <c r="S58" s="221" t="s">
        <v>83</v>
      </c>
      <c r="T58" s="331" t="n">
        <v>1</v>
      </c>
      <c r="U58" s="331"/>
      <c r="V58" s="331"/>
      <c r="W58" s="342"/>
      <c r="X58" s="342"/>
      <c r="Y58" s="342"/>
      <c r="Z58" s="11"/>
      <c r="AB58" s="221" t="s">
        <v>83</v>
      </c>
      <c r="AC58" s="331" t="n">
        <v>1</v>
      </c>
      <c r="AD58" s="331"/>
      <c r="AE58" s="331"/>
      <c r="AF58" s="342"/>
      <c r="AG58" s="342"/>
      <c r="AH58" s="342"/>
      <c r="AI58" s="11"/>
    </row>
    <row r="59" customFormat="false" ht="17.35" hidden="false" customHeight="false" outlineLevel="0" collapsed="false">
      <c r="A59" s="221" t="s">
        <v>84</v>
      </c>
      <c r="B59" s="331" t="n">
        <f aca="false">K29-B58</f>
        <v>35</v>
      </c>
      <c r="C59" s="331"/>
      <c r="D59" s="331"/>
      <c r="E59" s="342"/>
      <c r="F59" s="342"/>
      <c r="G59" s="342"/>
      <c r="H59" s="11"/>
      <c r="J59" s="221" t="s">
        <v>84</v>
      </c>
      <c r="K59" s="331" t="n">
        <f aca="false">K29-K58</f>
        <v>35</v>
      </c>
      <c r="L59" s="331"/>
      <c r="M59" s="331"/>
      <c r="N59" s="342"/>
      <c r="O59" s="342"/>
      <c r="P59" s="342"/>
      <c r="Q59" s="11"/>
      <c r="S59" s="221" t="s">
        <v>84</v>
      </c>
      <c r="T59" s="331" t="n">
        <f aca="false">K29-T58</f>
        <v>35</v>
      </c>
      <c r="U59" s="331"/>
      <c r="V59" s="331"/>
      <c r="W59" s="342"/>
      <c r="X59" s="342"/>
      <c r="Y59" s="342"/>
      <c r="Z59" s="11"/>
      <c r="AB59" s="221" t="s">
        <v>84</v>
      </c>
      <c r="AC59" s="331" t="n">
        <f aca="false">K29-AC58</f>
        <v>35</v>
      </c>
      <c r="AD59" s="331"/>
      <c r="AE59" s="331"/>
      <c r="AF59" s="342"/>
      <c r="AG59" s="342"/>
      <c r="AH59" s="342"/>
      <c r="AI59" s="11"/>
    </row>
    <row r="60" customFormat="false" ht="17.35" hidden="false" customHeight="false" outlineLevel="0" collapsed="false">
      <c r="A60" s="263" t="s">
        <v>206</v>
      </c>
      <c r="B60" s="88" t="n">
        <v>10</v>
      </c>
      <c r="C60" s="331"/>
      <c r="D60" s="331"/>
      <c r="E60" s="342"/>
      <c r="F60" s="342"/>
      <c r="G60" s="342"/>
      <c r="H60" s="11"/>
      <c r="J60" s="263" t="s">
        <v>206</v>
      </c>
      <c r="K60" s="88" t="n">
        <v>20</v>
      </c>
      <c r="L60" s="331"/>
      <c r="M60" s="331"/>
      <c r="N60" s="342"/>
      <c r="O60" s="342"/>
      <c r="P60" s="342"/>
      <c r="Q60" s="11"/>
      <c r="S60" s="263" t="s">
        <v>206</v>
      </c>
      <c r="T60" s="88" t="n">
        <v>10</v>
      </c>
      <c r="U60" s="331"/>
      <c r="V60" s="331"/>
      <c r="W60" s="342"/>
      <c r="X60" s="342"/>
      <c r="Y60" s="342"/>
      <c r="Z60" s="11"/>
      <c r="AB60" s="263" t="s">
        <v>206</v>
      </c>
      <c r="AC60" s="88" t="n">
        <v>10</v>
      </c>
      <c r="AD60" s="331"/>
      <c r="AE60" s="331"/>
      <c r="AF60" s="342"/>
      <c r="AG60" s="342"/>
      <c r="AH60" s="342"/>
      <c r="AI60" s="11"/>
    </row>
    <row r="61" customFormat="false" ht="17.35" hidden="false" customHeight="false" outlineLevel="0" collapsed="false">
      <c r="A61" s="221" t="s">
        <v>21</v>
      </c>
      <c r="B61" s="331" t="n">
        <f aca="false">J18</f>
        <v>57225</v>
      </c>
      <c r="C61" s="331"/>
      <c r="D61" s="331"/>
      <c r="E61" s="342"/>
      <c r="F61" s="342"/>
      <c r="G61" s="342"/>
      <c r="H61" s="11"/>
      <c r="J61" s="221" t="s">
        <v>21</v>
      </c>
      <c r="K61" s="331" t="n">
        <f aca="false">J18</f>
        <v>57225</v>
      </c>
      <c r="L61" s="331"/>
      <c r="M61" s="331"/>
      <c r="N61" s="342"/>
      <c r="O61" s="342"/>
      <c r="P61" s="342"/>
      <c r="Q61" s="11"/>
      <c r="S61" s="221" t="s">
        <v>21</v>
      </c>
      <c r="T61" s="331" t="n">
        <f aca="false">J18</f>
        <v>57225</v>
      </c>
      <c r="U61" s="331"/>
      <c r="V61" s="331"/>
      <c r="W61" s="342"/>
      <c r="X61" s="342"/>
      <c r="Y61" s="342"/>
      <c r="Z61" s="11"/>
      <c r="AB61" s="221" t="s">
        <v>21</v>
      </c>
      <c r="AC61" s="331" t="n">
        <f aca="false">J18</f>
        <v>57225</v>
      </c>
      <c r="AD61" s="331"/>
      <c r="AE61" s="331"/>
      <c r="AF61" s="342"/>
      <c r="AG61" s="342"/>
      <c r="AH61" s="342"/>
      <c r="AI61" s="11"/>
    </row>
    <row r="62" customFormat="false" ht="17.35" hidden="false" customHeight="false" outlineLevel="0" collapsed="false">
      <c r="A62" s="264" t="s">
        <v>207</v>
      </c>
      <c r="B62" s="343" t="n">
        <v>0</v>
      </c>
      <c r="C62" s="331"/>
      <c r="D62" s="331"/>
      <c r="E62" s="342"/>
      <c r="F62" s="342"/>
      <c r="G62" s="342"/>
      <c r="H62" s="11"/>
      <c r="J62" s="264" t="s">
        <v>207</v>
      </c>
      <c r="K62" s="343" t="n">
        <v>0.06</v>
      </c>
      <c r="L62" s="331"/>
      <c r="M62" s="331"/>
      <c r="N62" s="342"/>
      <c r="O62" s="342"/>
      <c r="P62" s="342"/>
      <c r="Q62" s="11"/>
      <c r="S62" s="264" t="s">
        <v>207</v>
      </c>
      <c r="T62" s="343" t="n">
        <f aca="false">IF(AND(K29&gt;= 12, K29&lt;=24), 0.0105, IF(AND(K29&gt;=48), -0.0075, 0))</f>
        <v>0</v>
      </c>
      <c r="U62" s="331"/>
      <c r="V62" s="331"/>
      <c r="W62" s="342"/>
      <c r="X62" s="342"/>
      <c r="Y62" s="342"/>
      <c r="Z62" s="11"/>
      <c r="AB62" s="264" t="s">
        <v>207</v>
      </c>
      <c r="AC62" s="343" t="n">
        <f aca="false">IF(AND(K29&gt;= 12, K29&lt;=24), 0.0105, IF(AND(K29&gt;=48), -0.0075, 0))</f>
        <v>0</v>
      </c>
      <c r="AD62" s="331"/>
      <c r="AE62" s="331"/>
      <c r="AF62" s="342"/>
      <c r="AG62" s="342"/>
      <c r="AH62" s="342"/>
      <c r="AI62" s="11"/>
    </row>
    <row r="63" customFormat="false" ht="17.35" hidden="false" customHeight="false" outlineLevel="0" collapsed="false">
      <c r="A63" s="218" t="s">
        <v>208</v>
      </c>
      <c r="B63" s="345" t="n">
        <v>0.065</v>
      </c>
      <c r="C63" s="331"/>
      <c r="D63" s="331"/>
      <c r="E63" s="342"/>
      <c r="F63" s="342"/>
      <c r="G63" s="342"/>
      <c r="H63" s="11"/>
      <c r="J63" s="218" t="s">
        <v>208</v>
      </c>
      <c r="K63" s="345" t="n">
        <v>0.08</v>
      </c>
      <c r="L63" s="331"/>
      <c r="M63" s="331"/>
      <c r="N63" s="342"/>
      <c r="O63" s="342"/>
      <c r="P63" s="342"/>
      <c r="Q63" s="11"/>
      <c r="S63" s="218" t="s">
        <v>208</v>
      </c>
      <c r="T63" s="345" t="n">
        <v>0.059</v>
      </c>
      <c r="U63" s="331"/>
      <c r="V63" s="331"/>
      <c r="W63" s="342"/>
      <c r="X63" s="342"/>
      <c r="Y63" s="342"/>
      <c r="Z63" s="11"/>
      <c r="AB63" s="218" t="s">
        <v>208</v>
      </c>
      <c r="AC63" s="345" t="n">
        <v>0.059</v>
      </c>
      <c r="AD63" s="331"/>
      <c r="AE63" s="331"/>
      <c r="AF63" s="342"/>
      <c r="AG63" s="342"/>
      <c r="AH63" s="342"/>
      <c r="AI63" s="11"/>
    </row>
    <row r="64" customFormat="false" ht="17.35" hidden="false" customHeight="false" outlineLevel="0" collapsed="false">
      <c r="A64" s="267" t="s">
        <v>209</v>
      </c>
      <c r="B64" s="346" t="n">
        <v>0.024</v>
      </c>
      <c r="C64" s="331"/>
      <c r="D64" s="331"/>
      <c r="E64" s="342"/>
      <c r="F64" s="342"/>
      <c r="G64" s="342"/>
      <c r="H64" s="11"/>
      <c r="J64" s="267" t="s">
        <v>209</v>
      </c>
      <c r="K64" s="346" t="n">
        <v>0.1</v>
      </c>
      <c r="L64" s="331"/>
      <c r="M64" s="331"/>
      <c r="N64" s="342"/>
      <c r="O64" s="342"/>
      <c r="P64" s="342"/>
      <c r="Q64" s="11"/>
      <c r="S64" s="267" t="s">
        <v>209</v>
      </c>
      <c r="T64" s="346" t="n">
        <f aca="false">IF(T108=AP108, 2.4%, 7.2%)</f>
        <v>0.072</v>
      </c>
      <c r="U64" s="331"/>
      <c r="V64" s="331"/>
      <c r="W64" s="342"/>
      <c r="X64" s="342"/>
      <c r="Y64" s="342"/>
      <c r="Z64" s="11"/>
      <c r="AB64" s="267" t="s">
        <v>209</v>
      </c>
      <c r="AC64" s="346" t="n">
        <f aca="false">IF(AC108=AP108, 2.4%, 7.2%)</f>
        <v>0.072</v>
      </c>
      <c r="AD64" s="331"/>
      <c r="AE64" s="331"/>
      <c r="AF64" s="342"/>
      <c r="AG64" s="342"/>
      <c r="AH64" s="342"/>
      <c r="AI64" s="11"/>
    </row>
    <row r="65" customFormat="false" ht="17.35" hidden="false" customHeight="false" outlineLevel="0" collapsed="false">
      <c r="A65" s="249" t="s">
        <v>87</v>
      </c>
      <c r="B65" s="84" t="n">
        <f aca="false">(B89*B59)-(K47*K29)</f>
        <v>9431.52556441513</v>
      </c>
      <c r="C65" s="331"/>
      <c r="D65" s="331"/>
      <c r="E65" s="342"/>
      <c r="F65" s="342"/>
      <c r="G65" s="342"/>
      <c r="H65" s="11"/>
      <c r="J65" s="249" t="s">
        <v>87</v>
      </c>
      <c r="K65" s="84" t="n">
        <f aca="false">(K89*K59)-(K47*K29)</f>
        <v>18480.8061357562</v>
      </c>
      <c r="L65" s="331"/>
      <c r="M65" s="331"/>
      <c r="N65" s="342"/>
      <c r="O65" s="342"/>
      <c r="P65" s="342"/>
      <c r="Q65" s="11"/>
      <c r="S65" s="249" t="s">
        <v>87</v>
      </c>
      <c r="T65" s="84" t="n">
        <f aca="false">(T89*T59)-(K47*K29)</f>
        <v>-756.0974340266</v>
      </c>
      <c r="U65" s="331"/>
      <c r="V65" s="331"/>
      <c r="W65" s="342"/>
      <c r="X65" s="342"/>
      <c r="Y65" s="342"/>
      <c r="Z65" s="11"/>
      <c r="AB65" s="249" t="s">
        <v>87</v>
      </c>
      <c r="AC65" s="84" t="n">
        <f aca="false">(AC89*AC59)-(K47*K29)</f>
        <v>-756.0974340266</v>
      </c>
      <c r="AD65" s="331"/>
      <c r="AE65" s="331"/>
      <c r="AF65" s="342"/>
      <c r="AG65" s="342"/>
      <c r="AH65" s="342"/>
      <c r="AI65" s="11"/>
    </row>
    <row r="66" customFormat="false" ht="17.35" hidden="false" customHeight="false" outlineLevel="0" collapsed="false">
      <c r="A66" s="264" t="s">
        <v>88</v>
      </c>
      <c r="B66" s="343" t="n">
        <v>0.005</v>
      </c>
      <c r="C66" s="331"/>
      <c r="D66" s="331"/>
      <c r="E66" s="342"/>
      <c r="F66" s="342"/>
      <c r="G66" s="342"/>
      <c r="H66" s="11"/>
      <c r="J66" s="264" t="s">
        <v>88</v>
      </c>
      <c r="K66" s="343" t="n">
        <v>0.05</v>
      </c>
      <c r="L66" s="331"/>
      <c r="M66" s="331"/>
      <c r="N66" s="342"/>
      <c r="O66" s="342"/>
      <c r="P66" s="342"/>
      <c r="Q66" s="11"/>
      <c r="S66" s="264" t="s">
        <v>88</v>
      </c>
      <c r="T66" s="343" t="n">
        <v>0.005</v>
      </c>
      <c r="U66" s="331"/>
      <c r="V66" s="331"/>
      <c r="W66" s="342"/>
      <c r="X66" s="342"/>
      <c r="Y66" s="342"/>
      <c r="Z66" s="11"/>
      <c r="AB66" s="264" t="s">
        <v>88</v>
      </c>
      <c r="AC66" s="343" t="n">
        <v>0.005</v>
      </c>
      <c r="AD66" s="331"/>
      <c r="AE66" s="331"/>
      <c r="AF66" s="342"/>
      <c r="AG66" s="342"/>
      <c r="AH66" s="342"/>
      <c r="AI66" s="11"/>
    </row>
    <row r="67" customFormat="false" ht="17.35" hidden="false" customHeight="false" outlineLevel="0" collapsed="false">
      <c r="A67" s="221" t="s">
        <v>89</v>
      </c>
      <c r="B67" s="347" t="n">
        <f aca="false">B66+(B66*0.5*(K29/12-1))</f>
        <v>0.01</v>
      </c>
      <c r="C67" s="331"/>
      <c r="D67" s="331"/>
      <c r="E67" s="342"/>
      <c r="F67" s="342"/>
      <c r="G67" s="342"/>
      <c r="H67" s="11"/>
      <c r="J67" s="221" t="s">
        <v>89</v>
      </c>
      <c r="K67" s="347" t="n">
        <f aca="false">K66+(K66*0.25*(K29/12-1))</f>
        <v>0.075</v>
      </c>
      <c r="L67" s="331"/>
      <c r="M67" s="331"/>
      <c r="N67" s="342"/>
      <c r="O67" s="342"/>
      <c r="P67" s="342"/>
      <c r="Q67" s="11"/>
      <c r="S67" s="221" t="s">
        <v>89</v>
      </c>
      <c r="T67" s="347" t="n">
        <f aca="false">T66+(T66*0.5*(K29/12-1))</f>
        <v>0.01</v>
      </c>
      <c r="U67" s="331"/>
      <c r="V67" s="331"/>
      <c r="W67" s="342"/>
      <c r="X67" s="342"/>
      <c r="Y67" s="342"/>
      <c r="Z67" s="11"/>
      <c r="AB67" s="221" t="s">
        <v>89</v>
      </c>
      <c r="AC67" s="347" t="n">
        <f aca="false">AC66+(AC66*0.5*(K29/12-1))</f>
        <v>0.01</v>
      </c>
      <c r="AD67" s="331"/>
      <c r="AE67" s="331"/>
      <c r="AF67" s="342"/>
      <c r="AG67" s="342"/>
      <c r="AH67" s="342"/>
      <c r="AI67" s="11"/>
    </row>
    <row r="68" customFormat="false" ht="17.35" hidden="false" customHeight="false" outlineLevel="0" collapsed="false">
      <c r="A68" s="249" t="s">
        <v>90</v>
      </c>
      <c r="B68" s="84" t="n">
        <f aca="false">(G158*B67)</f>
        <v>585.25</v>
      </c>
      <c r="C68" s="331"/>
      <c r="D68" s="331"/>
      <c r="E68" s="342"/>
      <c r="F68" s="342"/>
      <c r="G68" s="342"/>
      <c r="H68" s="11"/>
      <c r="J68" s="249" t="s">
        <v>90</v>
      </c>
      <c r="K68" s="84" t="n">
        <f aca="false">K61*K67</f>
        <v>4291.875</v>
      </c>
      <c r="L68" s="331"/>
      <c r="M68" s="331"/>
      <c r="N68" s="342"/>
      <c r="O68" s="342"/>
      <c r="P68" s="342"/>
      <c r="Q68" s="11"/>
      <c r="S68" s="249" t="s">
        <v>90</v>
      </c>
      <c r="T68" s="84" t="n">
        <f aca="false">T61*T67</f>
        <v>572.25</v>
      </c>
      <c r="U68" s="331"/>
      <c r="V68" s="331"/>
      <c r="W68" s="342"/>
      <c r="X68" s="342"/>
      <c r="Y68" s="342"/>
      <c r="Z68" s="11"/>
      <c r="AB68" s="249" t="s">
        <v>90</v>
      </c>
      <c r="AC68" s="84" t="n">
        <f aca="false">AH158*AC67</f>
        <v>454.68749</v>
      </c>
      <c r="AD68" s="331"/>
      <c r="AE68" s="331"/>
      <c r="AF68" s="342"/>
      <c r="AG68" s="342"/>
      <c r="AH68" s="342"/>
      <c r="AI68" s="11"/>
    </row>
    <row r="69" customFormat="false" ht="17.35" hidden="false" customHeight="false" outlineLevel="0" collapsed="false">
      <c r="A69" s="264" t="s">
        <v>91</v>
      </c>
      <c r="B69" s="343" t="n">
        <v>0</v>
      </c>
      <c r="C69" s="331"/>
      <c r="D69" s="331"/>
      <c r="E69" s="342"/>
      <c r="F69" s="342"/>
      <c r="G69" s="342"/>
      <c r="H69" s="11"/>
      <c r="J69" s="264" t="s">
        <v>91</v>
      </c>
      <c r="K69" s="343" t="n">
        <v>0</v>
      </c>
      <c r="L69" s="331"/>
      <c r="M69" s="331"/>
      <c r="N69" s="342"/>
      <c r="O69" s="342"/>
      <c r="P69" s="342"/>
      <c r="Q69" s="11"/>
      <c r="S69" s="264" t="s">
        <v>91</v>
      </c>
      <c r="T69" s="343" t="n">
        <v>0</v>
      </c>
      <c r="U69" s="331"/>
      <c r="V69" s="331"/>
      <c r="W69" s="342"/>
      <c r="X69" s="342"/>
      <c r="Y69" s="342"/>
      <c r="Z69" s="11"/>
      <c r="AB69" s="264" t="s">
        <v>91</v>
      </c>
      <c r="AC69" s="343" t="n">
        <v>0</v>
      </c>
      <c r="AD69" s="331"/>
      <c r="AE69" s="331"/>
      <c r="AF69" s="342"/>
      <c r="AG69" s="342"/>
      <c r="AH69" s="342"/>
      <c r="AI69" s="11"/>
    </row>
    <row r="70" customFormat="false" ht="17.35" hidden="false" customHeight="false" outlineLevel="0" collapsed="false">
      <c r="A70" s="218" t="s">
        <v>92</v>
      </c>
      <c r="B70" s="345" t="n">
        <v>0</v>
      </c>
      <c r="C70" s="331"/>
      <c r="D70" s="331"/>
      <c r="E70" s="342"/>
      <c r="F70" s="342"/>
      <c r="G70" s="342"/>
      <c r="H70" s="11"/>
      <c r="J70" s="218" t="s">
        <v>92</v>
      </c>
      <c r="K70" s="345" t="n">
        <v>0</v>
      </c>
      <c r="L70" s="331"/>
      <c r="M70" s="331"/>
      <c r="N70" s="342"/>
      <c r="O70" s="342"/>
      <c r="P70" s="342"/>
      <c r="Q70" s="11"/>
      <c r="S70" s="218" t="s">
        <v>92</v>
      </c>
      <c r="T70" s="345" t="n">
        <v>0</v>
      </c>
      <c r="U70" s="331"/>
      <c r="V70" s="331"/>
      <c r="W70" s="342"/>
      <c r="X70" s="342"/>
      <c r="Y70" s="342"/>
      <c r="Z70" s="11"/>
      <c r="AB70" s="218" t="s">
        <v>92</v>
      </c>
      <c r="AC70" s="345" t="n">
        <v>0</v>
      </c>
      <c r="AD70" s="331"/>
      <c r="AE70" s="331"/>
      <c r="AF70" s="342"/>
      <c r="AG70" s="342"/>
      <c r="AH70" s="342"/>
      <c r="AI70" s="11"/>
    </row>
    <row r="71" customFormat="false" ht="17.35" hidden="false" customHeight="false" outlineLevel="0" collapsed="false">
      <c r="A71" s="249" t="s">
        <v>93</v>
      </c>
      <c r="B71" s="349" t="n">
        <f aca="false">B69*(1+B70)</f>
        <v>0</v>
      </c>
      <c r="C71" s="331"/>
      <c r="D71" s="331"/>
      <c r="E71" s="342"/>
      <c r="F71" s="342"/>
      <c r="G71" s="342"/>
      <c r="H71" s="11"/>
      <c r="J71" s="249" t="s">
        <v>93</v>
      </c>
      <c r="K71" s="349" t="n">
        <f aca="false">K69*(1+K70)</f>
        <v>0</v>
      </c>
      <c r="L71" s="331"/>
      <c r="M71" s="331"/>
      <c r="N71" s="342"/>
      <c r="O71" s="342"/>
      <c r="P71" s="342"/>
      <c r="Q71" s="11"/>
      <c r="S71" s="249" t="s">
        <v>93</v>
      </c>
      <c r="T71" s="349" t="n">
        <f aca="false">T69*(1+T70)</f>
        <v>0</v>
      </c>
      <c r="U71" s="331"/>
      <c r="V71" s="331"/>
      <c r="W71" s="342"/>
      <c r="X71" s="342"/>
      <c r="Y71" s="342"/>
      <c r="Z71" s="11"/>
      <c r="AB71" s="249" t="s">
        <v>93</v>
      </c>
      <c r="AC71" s="349" t="n">
        <f aca="false">AC69*(1+AC70)</f>
        <v>0</v>
      </c>
      <c r="AD71" s="331"/>
      <c r="AE71" s="331"/>
      <c r="AF71" s="342"/>
      <c r="AG71" s="342"/>
      <c r="AH71" s="342"/>
      <c r="AI71" s="11"/>
    </row>
    <row r="72" customFormat="false" ht="17.35" hidden="false" customHeight="false" outlineLevel="0" collapsed="false">
      <c r="A72" s="264" t="s">
        <v>94</v>
      </c>
      <c r="B72" s="87" t="n">
        <v>0</v>
      </c>
      <c r="C72" s="331"/>
      <c r="D72" s="331"/>
      <c r="E72" s="342"/>
      <c r="F72" s="342"/>
      <c r="G72" s="342"/>
      <c r="H72" s="11"/>
      <c r="J72" s="264" t="s">
        <v>94</v>
      </c>
      <c r="K72" s="87" t="n">
        <v>0</v>
      </c>
      <c r="L72" s="331"/>
      <c r="M72" s="331"/>
      <c r="N72" s="342"/>
      <c r="O72" s="342"/>
      <c r="P72" s="342"/>
      <c r="Q72" s="11"/>
      <c r="S72" s="264" t="s">
        <v>94</v>
      </c>
      <c r="T72" s="87" t="n">
        <v>0</v>
      </c>
      <c r="U72" s="331"/>
      <c r="V72" s="331"/>
      <c r="W72" s="342"/>
      <c r="X72" s="342"/>
      <c r="Y72" s="342"/>
      <c r="Z72" s="11"/>
      <c r="AB72" s="264" t="s">
        <v>94</v>
      </c>
      <c r="AC72" s="87" t="n">
        <v>0</v>
      </c>
      <c r="AD72" s="331"/>
      <c r="AE72" s="331"/>
      <c r="AF72" s="342"/>
      <c r="AG72" s="342"/>
      <c r="AH72" s="342"/>
      <c r="AI72" s="11"/>
    </row>
    <row r="73" customFormat="false" ht="17.35" hidden="false" customHeight="false" outlineLevel="0" collapsed="false">
      <c r="A73" s="218" t="s">
        <v>95</v>
      </c>
      <c r="B73" s="88" t="n">
        <v>0</v>
      </c>
      <c r="C73" s="331"/>
      <c r="D73" s="331"/>
      <c r="E73" s="342"/>
      <c r="F73" s="342"/>
      <c r="G73" s="342"/>
      <c r="H73" s="11"/>
      <c r="J73" s="218" t="s">
        <v>95</v>
      </c>
      <c r="K73" s="88" t="n">
        <v>0</v>
      </c>
      <c r="L73" s="331"/>
      <c r="M73" s="331"/>
      <c r="N73" s="342"/>
      <c r="O73" s="342"/>
      <c r="P73" s="342"/>
      <c r="Q73" s="11"/>
      <c r="S73" s="218" t="s">
        <v>95</v>
      </c>
      <c r="T73" s="88" t="n">
        <v>0</v>
      </c>
      <c r="U73" s="331"/>
      <c r="V73" s="331"/>
      <c r="W73" s="342"/>
      <c r="X73" s="342"/>
      <c r="Y73" s="342"/>
      <c r="Z73" s="11"/>
      <c r="AB73" s="218" t="s">
        <v>95</v>
      </c>
      <c r="AC73" s="88" t="n">
        <v>0</v>
      </c>
      <c r="AD73" s="331"/>
      <c r="AE73" s="331"/>
      <c r="AF73" s="342"/>
      <c r="AG73" s="342"/>
      <c r="AH73" s="342"/>
      <c r="AI73" s="11"/>
    </row>
    <row r="74" customFormat="false" ht="17.35" hidden="false" customHeight="false" outlineLevel="0" collapsed="false">
      <c r="A74" s="249" t="s">
        <v>96</v>
      </c>
      <c r="B74" s="84" t="n">
        <f aca="false">B73*K29</f>
        <v>0</v>
      </c>
      <c r="C74" s="331"/>
      <c r="D74" s="331" t="n">
        <f aca="false">B74+B72</f>
        <v>0</v>
      </c>
      <c r="E74" s="342"/>
      <c r="F74" s="342"/>
      <c r="G74" s="342"/>
      <c r="H74" s="11"/>
      <c r="J74" s="249" t="s">
        <v>96</v>
      </c>
      <c r="K74" s="84" t="n">
        <f aca="false">K73*K29</f>
        <v>0</v>
      </c>
      <c r="L74" s="331"/>
      <c r="M74" s="331" t="n">
        <f aca="false">K74+K72</f>
        <v>0</v>
      </c>
      <c r="N74" s="342"/>
      <c r="O74" s="342"/>
      <c r="P74" s="342"/>
      <c r="Q74" s="11"/>
      <c r="S74" s="249" t="s">
        <v>96</v>
      </c>
      <c r="T74" s="84" t="n">
        <f aca="false">T73*K29</f>
        <v>0</v>
      </c>
      <c r="U74" s="331"/>
      <c r="V74" s="331" t="n">
        <f aca="false">T74+T72</f>
        <v>0</v>
      </c>
      <c r="W74" s="342"/>
      <c r="X74" s="342"/>
      <c r="Y74" s="342"/>
      <c r="Z74" s="11"/>
      <c r="AB74" s="249" t="s">
        <v>96</v>
      </c>
      <c r="AC74" s="84" t="n">
        <f aca="false">AC73*K29</f>
        <v>0</v>
      </c>
      <c r="AD74" s="331"/>
      <c r="AE74" s="331" t="n">
        <f aca="false">AC74+AC72</f>
        <v>0</v>
      </c>
      <c r="AF74" s="342"/>
      <c r="AG74" s="342"/>
      <c r="AH74" s="342"/>
      <c r="AI74" s="11"/>
    </row>
    <row r="75" customFormat="false" ht="17.35" hidden="false" customHeight="false" outlineLevel="0" collapsed="false">
      <c r="A75" s="218" t="s">
        <v>103</v>
      </c>
      <c r="B75" s="88" t="n">
        <v>0</v>
      </c>
      <c r="C75" s="331"/>
      <c r="D75" s="331" t="n">
        <f aca="false">B75</f>
        <v>0</v>
      </c>
      <c r="E75" s="342"/>
      <c r="F75" s="342"/>
      <c r="G75" s="342"/>
      <c r="H75" s="11"/>
      <c r="J75" s="218" t="s">
        <v>103</v>
      </c>
      <c r="K75" s="88" t="n">
        <v>0</v>
      </c>
      <c r="L75" s="331"/>
      <c r="M75" s="331" t="n">
        <f aca="false">K75</f>
        <v>0</v>
      </c>
      <c r="N75" s="342"/>
      <c r="O75" s="342"/>
      <c r="P75" s="342"/>
      <c r="Q75" s="11"/>
      <c r="S75" s="218" t="s">
        <v>103</v>
      </c>
      <c r="T75" s="88" t="n">
        <v>0</v>
      </c>
      <c r="U75" s="331"/>
      <c r="V75" s="331" t="n">
        <f aca="false">T75</f>
        <v>0</v>
      </c>
      <c r="W75" s="342"/>
      <c r="X75" s="342"/>
      <c r="Y75" s="342"/>
      <c r="Z75" s="11"/>
      <c r="AB75" s="218" t="s">
        <v>103</v>
      </c>
      <c r="AC75" s="88" t="n">
        <v>0</v>
      </c>
      <c r="AD75" s="331"/>
      <c r="AE75" s="331" t="n">
        <f aca="false">AC75</f>
        <v>0</v>
      </c>
      <c r="AF75" s="342"/>
      <c r="AG75" s="342"/>
      <c r="AH75" s="342"/>
      <c r="AI75" s="11"/>
    </row>
    <row r="76" customFormat="false" ht="17.35" hidden="false" customHeight="false" outlineLevel="0" collapsed="false">
      <c r="A76" s="267" t="s">
        <v>104</v>
      </c>
      <c r="B76" s="97" t="n">
        <v>0</v>
      </c>
      <c r="C76" s="331"/>
      <c r="D76" s="331" t="n">
        <f aca="false">B76</f>
        <v>0</v>
      </c>
      <c r="E76" s="342"/>
      <c r="F76" s="331"/>
      <c r="G76" s="342"/>
      <c r="H76" s="11"/>
      <c r="J76" s="267" t="s">
        <v>104</v>
      </c>
      <c r="K76" s="97" t="n">
        <v>0</v>
      </c>
      <c r="L76" s="331"/>
      <c r="M76" s="331" t="n">
        <f aca="false">K76</f>
        <v>0</v>
      </c>
      <c r="N76" s="342"/>
      <c r="O76" s="342"/>
      <c r="P76" s="342"/>
      <c r="Q76" s="11"/>
      <c r="S76" s="267" t="s">
        <v>104</v>
      </c>
      <c r="T76" s="97" t="n">
        <v>0</v>
      </c>
      <c r="U76" s="331"/>
      <c r="V76" s="331" t="n">
        <f aca="false">T76</f>
        <v>0</v>
      </c>
      <c r="W76" s="342"/>
      <c r="X76" s="342"/>
      <c r="Y76" s="342"/>
      <c r="Z76" s="11"/>
      <c r="AB76" s="267" t="s">
        <v>104</v>
      </c>
      <c r="AC76" s="97" t="n">
        <v>0</v>
      </c>
      <c r="AD76" s="331"/>
      <c r="AE76" s="331" t="n">
        <f aca="false">AC76</f>
        <v>0</v>
      </c>
      <c r="AF76" s="342"/>
      <c r="AG76" s="342"/>
      <c r="AH76" s="342"/>
      <c r="AI76" s="11"/>
    </row>
    <row r="77" customFormat="false" ht="17.35" hidden="false" customHeight="false" outlineLevel="0" collapsed="false">
      <c r="A77" s="271" t="s">
        <v>105</v>
      </c>
      <c r="B77" s="272" t="n">
        <f aca="false">SUM(D65:D76)</f>
        <v>0</v>
      </c>
      <c r="C77" s="331"/>
      <c r="D77" s="331"/>
      <c r="E77" s="342"/>
      <c r="F77" s="331"/>
      <c r="G77" s="331"/>
      <c r="H77" s="11"/>
      <c r="J77" s="271" t="s">
        <v>105</v>
      </c>
      <c r="K77" s="272" t="n">
        <f aca="false">SUM(M65:M76)</f>
        <v>0</v>
      </c>
      <c r="L77" s="331"/>
      <c r="M77" s="331"/>
      <c r="N77" s="342"/>
      <c r="O77" s="342"/>
      <c r="P77" s="342"/>
      <c r="Q77" s="11"/>
      <c r="S77" s="271" t="s">
        <v>105</v>
      </c>
      <c r="T77" s="272" t="n">
        <f aca="false">SUM(V65:V76)</f>
        <v>0</v>
      </c>
      <c r="U77" s="331"/>
      <c r="V77" s="331"/>
      <c r="W77" s="342"/>
      <c r="X77" s="342"/>
      <c r="Y77" s="342"/>
      <c r="Z77" s="11"/>
      <c r="AB77" s="271" t="s">
        <v>105</v>
      </c>
      <c r="AC77" s="272" t="n">
        <f aca="false">SUM(AE65:AE76)</f>
        <v>0</v>
      </c>
      <c r="AD77" s="331"/>
      <c r="AE77" s="331"/>
      <c r="AF77" s="342"/>
      <c r="AG77" s="342"/>
      <c r="AH77" s="342"/>
      <c r="AI77" s="11"/>
    </row>
    <row r="78" customFormat="false" ht="17.35" hidden="false" customHeight="false" outlineLevel="0" collapsed="false">
      <c r="A78" s="221" t="s">
        <v>106</v>
      </c>
      <c r="B78" s="11" t="n">
        <f aca="false">B77/K29</f>
        <v>0</v>
      </c>
      <c r="C78" s="331"/>
      <c r="D78" s="331"/>
      <c r="E78" s="342"/>
      <c r="F78" s="342"/>
      <c r="G78" s="342"/>
      <c r="H78" s="11"/>
      <c r="J78" s="221" t="s">
        <v>106</v>
      </c>
      <c r="K78" s="11" t="n">
        <f aca="false">K77/K29</f>
        <v>0</v>
      </c>
      <c r="L78" s="331"/>
      <c r="M78" s="331"/>
      <c r="N78" s="342"/>
      <c r="O78" s="342"/>
      <c r="P78" s="342"/>
      <c r="Q78" s="11"/>
      <c r="S78" s="221" t="s">
        <v>106</v>
      </c>
      <c r="T78" s="11" t="n">
        <f aca="false">T77/K29</f>
        <v>0</v>
      </c>
      <c r="U78" s="331"/>
      <c r="V78" s="331"/>
      <c r="W78" s="342"/>
      <c r="X78" s="342"/>
      <c r="Y78" s="342"/>
      <c r="Z78" s="11"/>
      <c r="AB78" s="221" t="s">
        <v>106</v>
      </c>
      <c r="AC78" s="11" t="n">
        <f aca="false">AC77/K29</f>
        <v>0</v>
      </c>
      <c r="AD78" s="331"/>
      <c r="AE78" s="331"/>
      <c r="AF78" s="342"/>
      <c r="AG78" s="342"/>
      <c r="AH78" s="342"/>
      <c r="AI78" s="11"/>
    </row>
    <row r="79" customFormat="false" ht="17.35" hidden="false" customHeight="false" outlineLevel="0" collapsed="false">
      <c r="A79" s="273" t="s">
        <v>107</v>
      </c>
      <c r="B79" s="101" t="n">
        <f aca="false">K47</f>
        <v>922.920864561026</v>
      </c>
      <c r="C79" s="331"/>
      <c r="D79" s="331"/>
      <c r="E79" s="342"/>
      <c r="F79" s="342"/>
      <c r="G79" s="342"/>
      <c r="H79" s="11"/>
      <c r="J79" s="273" t="s">
        <v>107</v>
      </c>
      <c r="K79" s="101" t="n">
        <f aca="false">K47</f>
        <v>922.920864561026</v>
      </c>
      <c r="L79" s="331"/>
      <c r="M79" s="331"/>
      <c r="N79" s="342"/>
      <c r="O79" s="342"/>
      <c r="P79" s="342"/>
      <c r="Q79" s="11"/>
      <c r="S79" s="273" t="s">
        <v>107</v>
      </c>
      <c r="T79" s="101" t="n">
        <f aca="false">B52</f>
        <v>922.920864561026</v>
      </c>
      <c r="U79" s="331"/>
      <c r="V79" s="331"/>
      <c r="W79" s="342"/>
      <c r="X79" s="342"/>
      <c r="Y79" s="342"/>
      <c r="Z79" s="11"/>
      <c r="AB79" s="273" t="s">
        <v>107</v>
      </c>
      <c r="AC79" s="101" t="n">
        <f aca="false">B52</f>
        <v>922.920864561026</v>
      </c>
      <c r="AD79" s="331"/>
      <c r="AE79" s="331"/>
      <c r="AF79" s="342"/>
      <c r="AG79" s="342"/>
      <c r="AH79" s="342"/>
      <c r="AI79" s="11"/>
    </row>
    <row r="80" customFormat="false" ht="17.35" hidden="false" customHeight="false" outlineLevel="0" collapsed="false">
      <c r="A80" s="221"/>
      <c r="B80" s="331"/>
      <c r="C80" s="331"/>
      <c r="D80" s="331"/>
      <c r="E80" s="342"/>
      <c r="F80" s="342"/>
      <c r="G80" s="342"/>
      <c r="H80" s="11"/>
      <c r="J80" s="221"/>
      <c r="K80" s="331"/>
      <c r="L80" s="331"/>
      <c r="M80" s="331"/>
      <c r="N80" s="342"/>
      <c r="O80" s="342"/>
      <c r="P80" s="342"/>
      <c r="Q80" s="11"/>
      <c r="S80" s="221"/>
      <c r="T80" s="331"/>
      <c r="U80" s="331"/>
      <c r="V80" s="331"/>
      <c r="W80" s="342"/>
      <c r="X80" s="342"/>
      <c r="Y80" s="342"/>
      <c r="Z80" s="11"/>
      <c r="AB80" s="221"/>
      <c r="AC80" s="331"/>
      <c r="AD80" s="331"/>
      <c r="AE80" s="331"/>
      <c r="AF80" s="342"/>
      <c r="AG80" s="342"/>
      <c r="AH80" s="342"/>
      <c r="AI80" s="11"/>
    </row>
    <row r="81" customFormat="false" ht="17.35" hidden="false" customHeight="false" outlineLevel="0" collapsed="false">
      <c r="A81" s="238" t="s">
        <v>210</v>
      </c>
      <c r="B81" s="102" t="n">
        <f aca="false">G158</f>
        <v>58525</v>
      </c>
      <c r="C81" s="331"/>
      <c r="D81" s="331"/>
      <c r="E81" s="342"/>
      <c r="F81" s="342"/>
      <c r="G81" s="342"/>
      <c r="H81" s="11"/>
      <c r="J81" s="238" t="s">
        <v>210</v>
      </c>
      <c r="K81" s="102" t="n">
        <f aca="false">P158</f>
        <v>37655</v>
      </c>
      <c r="L81" s="331"/>
      <c r="M81" s="331"/>
      <c r="N81" s="342"/>
      <c r="O81" s="342"/>
      <c r="P81" s="342"/>
      <c r="Q81" s="11"/>
      <c r="S81" s="238" t="s">
        <v>210</v>
      </c>
      <c r="T81" s="102" t="n">
        <f aca="false">Y158</f>
        <v>45468.749</v>
      </c>
      <c r="U81" s="331"/>
      <c r="V81" s="331"/>
      <c r="W81" s="342"/>
      <c r="X81" s="342"/>
      <c r="Y81" s="342"/>
      <c r="Z81" s="11"/>
      <c r="AB81" s="238" t="s">
        <v>210</v>
      </c>
      <c r="AC81" s="102" t="n">
        <f aca="false">AH158</f>
        <v>45468.749</v>
      </c>
      <c r="AD81" s="331"/>
      <c r="AE81" s="331"/>
      <c r="AF81" s="342"/>
      <c r="AG81" s="342"/>
      <c r="AH81" s="342"/>
      <c r="AI81" s="11"/>
    </row>
    <row r="82" customFormat="false" ht="17.35" hidden="false" customHeight="false" outlineLevel="0" collapsed="false">
      <c r="A82" s="221" t="s">
        <v>211</v>
      </c>
      <c r="B82" s="11" t="n">
        <f aca="false">IF(A111 = "Yes", A40, 0)</f>
        <v>27500</v>
      </c>
      <c r="C82" s="331"/>
      <c r="D82" s="331"/>
      <c r="E82" s="342"/>
      <c r="F82" s="342"/>
      <c r="G82" s="342"/>
      <c r="H82" s="11"/>
      <c r="J82" s="221" t="s">
        <v>211</v>
      </c>
      <c r="K82" s="11" t="n">
        <f aca="false">IF(J111 = "YES", A40, 0)</f>
        <v>0</v>
      </c>
      <c r="L82" s="331"/>
      <c r="M82" s="331"/>
      <c r="N82" s="342"/>
      <c r="O82" s="342"/>
      <c r="P82" s="342"/>
      <c r="Q82" s="11"/>
      <c r="S82" s="221" t="s">
        <v>211</v>
      </c>
      <c r="T82" s="11" t="n">
        <f aca="false">A40</f>
        <v>27500</v>
      </c>
      <c r="U82" s="331"/>
      <c r="V82" s="331"/>
      <c r="W82" s="342"/>
      <c r="X82" s="342"/>
      <c r="Y82" s="342"/>
      <c r="Z82" s="11"/>
      <c r="AB82" s="221" t="s">
        <v>211</v>
      </c>
      <c r="AC82" s="11" t="n">
        <f aca="false">A40</f>
        <v>27500</v>
      </c>
      <c r="AD82" s="331"/>
      <c r="AE82" s="331"/>
      <c r="AF82" s="342"/>
      <c r="AG82" s="342"/>
      <c r="AH82" s="342"/>
      <c r="AI82" s="11"/>
    </row>
    <row r="83" customFormat="false" ht="17.35" hidden="false" customHeight="false" outlineLevel="0" collapsed="false">
      <c r="A83" s="221" t="s">
        <v>212</v>
      </c>
      <c r="B83" s="350" t="n">
        <f aca="false">B62+B63+B64</f>
        <v>0.089</v>
      </c>
      <c r="C83" s="331"/>
      <c r="D83" s="331"/>
      <c r="E83" s="342"/>
      <c r="F83" s="342"/>
      <c r="G83" s="342"/>
      <c r="H83" s="11"/>
      <c r="J83" s="221" t="s">
        <v>212</v>
      </c>
      <c r="K83" s="347" t="n">
        <f aca="false">K62+K63+K64</f>
        <v>0.24</v>
      </c>
      <c r="L83" s="331"/>
      <c r="M83" s="331"/>
      <c r="N83" s="342"/>
      <c r="O83" s="342"/>
      <c r="P83" s="342"/>
      <c r="Q83" s="11"/>
      <c r="S83" s="221" t="s">
        <v>212</v>
      </c>
      <c r="T83" s="347" t="n">
        <f aca="false">T62+T63+T64</f>
        <v>0.131</v>
      </c>
      <c r="U83" s="331"/>
      <c r="V83" s="331"/>
      <c r="W83" s="342"/>
      <c r="X83" s="342"/>
      <c r="Y83" s="342"/>
      <c r="Z83" s="11"/>
      <c r="AB83" s="221" t="s">
        <v>212</v>
      </c>
      <c r="AC83" s="347" t="n">
        <f aca="false">AC62+AC63+AC64</f>
        <v>0.131</v>
      </c>
      <c r="AD83" s="331"/>
      <c r="AE83" s="331"/>
      <c r="AF83" s="342"/>
      <c r="AG83" s="342"/>
      <c r="AH83" s="342"/>
      <c r="AI83" s="11"/>
    </row>
    <row r="84" customFormat="false" ht="17.35" hidden="false" customHeight="false" outlineLevel="0" collapsed="false">
      <c r="A84" s="221" t="s">
        <v>213</v>
      </c>
      <c r="B84" s="347" t="n">
        <f aca="false">B83/12</f>
        <v>0.00741666666666667</v>
      </c>
      <c r="C84" s="331"/>
      <c r="D84" s="331"/>
      <c r="E84" s="342"/>
      <c r="F84" s="342"/>
      <c r="G84" s="342"/>
      <c r="H84" s="11"/>
      <c r="J84" s="221" t="s">
        <v>213</v>
      </c>
      <c r="K84" s="347" t="n">
        <f aca="false">K83/12</f>
        <v>0.02</v>
      </c>
      <c r="L84" s="331"/>
      <c r="M84" s="331"/>
      <c r="N84" s="342"/>
      <c r="O84" s="342"/>
      <c r="P84" s="342"/>
      <c r="Q84" s="11"/>
      <c r="S84" s="221" t="s">
        <v>213</v>
      </c>
      <c r="T84" s="347" t="n">
        <f aca="false">T83/12</f>
        <v>0.0109166666666667</v>
      </c>
      <c r="U84" s="331"/>
      <c r="V84" s="331"/>
      <c r="W84" s="342"/>
      <c r="X84" s="342"/>
      <c r="Y84" s="342"/>
      <c r="Z84" s="11"/>
      <c r="AB84" s="221" t="s">
        <v>213</v>
      </c>
      <c r="AC84" s="347" t="n">
        <f aca="false">AC83/12</f>
        <v>0.0109166666666667</v>
      </c>
      <c r="AD84" s="331"/>
      <c r="AE84" s="331"/>
      <c r="AF84" s="342"/>
      <c r="AG84" s="342"/>
      <c r="AH84" s="342"/>
      <c r="AI84" s="11"/>
    </row>
    <row r="85" customFormat="false" ht="17.35" hidden="false" customHeight="false" outlineLevel="0" collapsed="false">
      <c r="A85" s="221" t="s">
        <v>214</v>
      </c>
      <c r="B85" s="11" t="n">
        <f aca="false">IF(B82=0, (B59+B58), (B59))</f>
        <v>35</v>
      </c>
      <c r="C85" s="331"/>
      <c r="D85" s="331"/>
      <c r="E85" s="342"/>
      <c r="F85" s="342"/>
      <c r="G85" s="342"/>
      <c r="H85" s="11"/>
      <c r="J85" s="221" t="s">
        <v>214</v>
      </c>
      <c r="K85" s="11" t="n">
        <f aca="false">IF(K82=0, (K59+K58), (K59))</f>
        <v>36</v>
      </c>
      <c r="L85" s="331"/>
      <c r="M85" s="331"/>
      <c r="N85" s="342"/>
      <c r="O85" s="342"/>
      <c r="P85" s="342"/>
      <c r="Q85" s="11"/>
      <c r="S85" s="221" t="s">
        <v>214</v>
      </c>
      <c r="T85" s="11" t="n">
        <f aca="false">T59</f>
        <v>35</v>
      </c>
      <c r="U85" s="331"/>
      <c r="V85" s="331"/>
      <c r="W85" s="342"/>
      <c r="X85" s="342"/>
      <c r="Y85" s="342"/>
      <c r="Z85" s="11"/>
      <c r="AB85" s="221" t="s">
        <v>214</v>
      </c>
      <c r="AC85" s="11" t="n">
        <f aca="false">AC59</f>
        <v>35</v>
      </c>
      <c r="AD85" s="331"/>
      <c r="AE85" s="331"/>
      <c r="AF85" s="342"/>
      <c r="AG85" s="342"/>
      <c r="AH85" s="342"/>
      <c r="AI85" s="11"/>
    </row>
    <row r="86" customFormat="false" ht="17.35" hidden="false" customHeight="false" outlineLevel="0" collapsed="false">
      <c r="A86" s="221" t="s">
        <v>215</v>
      </c>
      <c r="B86" s="11" t="n">
        <f aca="false">(B82/((1+B84)^(B85+1)))</f>
        <v>21076.7652577131</v>
      </c>
      <c r="C86" s="331"/>
      <c r="D86" s="331"/>
      <c r="E86" s="342"/>
      <c r="F86" s="342"/>
      <c r="G86" s="342"/>
      <c r="H86" s="11"/>
      <c r="J86" s="221" t="s">
        <v>215</v>
      </c>
      <c r="K86" s="11" t="n">
        <f aca="false">(K82/((1+K84)^(K85+1)))</f>
        <v>0</v>
      </c>
      <c r="L86" s="331"/>
      <c r="M86" s="331"/>
      <c r="N86" s="342"/>
      <c r="O86" s="342"/>
      <c r="P86" s="342"/>
      <c r="Q86" s="11"/>
      <c r="S86" s="221" t="s">
        <v>215</v>
      </c>
      <c r="T86" s="11" t="n">
        <f aca="false">(T82/((1+T84)^(T85+1)))</f>
        <v>18602.8658097623</v>
      </c>
      <c r="U86" s="331"/>
      <c r="V86" s="331"/>
      <c r="W86" s="342"/>
      <c r="X86" s="342"/>
      <c r="Y86" s="342"/>
      <c r="Z86" s="11"/>
      <c r="AB86" s="221" t="s">
        <v>215</v>
      </c>
      <c r="AC86" s="11" t="n">
        <f aca="false">(AC82/((1+AC84)^(AC85+1)))</f>
        <v>18602.8658097623</v>
      </c>
      <c r="AD86" s="331"/>
      <c r="AE86" s="331"/>
      <c r="AF86" s="342"/>
      <c r="AG86" s="342"/>
      <c r="AH86" s="342"/>
      <c r="AI86" s="11"/>
    </row>
    <row r="87" customFormat="false" ht="17.35" hidden="false" customHeight="false" outlineLevel="0" collapsed="false">
      <c r="A87" s="221" t="s">
        <v>216</v>
      </c>
      <c r="B87" s="11" t="n">
        <f aca="false">((1-(1/((1+B84)^B85)))/B84)</f>
        <v>30.7264493562845</v>
      </c>
      <c r="C87" s="331"/>
      <c r="D87" s="331"/>
      <c r="E87" s="342"/>
      <c r="F87" s="342"/>
      <c r="G87" s="342"/>
      <c r="H87" s="11"/>
      <c r="J87" s="221" t="s">
        <v>216</v>
      </c>
      <c r="K87" s="11" t="n">
        <f aca="false">((1-(1/((1+K84)^K85)))/K84)</f>
        <v>25.4888424823874</v>
      </c>
      <c r="L87" s="331"/>
      <c r="M87" s="331"/>
      <c r="N87" s="342"/>
      <c r="O87" s="342"/>
      <c r="P87" s="342"/>
      <c r="Q87" s="11"/>
      <c r="S87" s="221" t="s">
        <v>216</v>
      </c>
      <c r="T87" s="11" t="n">
        <f aca="false">((1-(1/((1+T84)^T85)))/T84)</f>
        <v>28.9600651941078</v>
      </c>
      <c r="U87" s="331"/>
      <c r="V87" s="331"/>
      <c r="W87" s="342"/>
      <c r="X87" s="342"/>
      <c r="Y87" s="342"/>
      <c r="Z87" s="11"/>
      <c r="AB87" s="221" t="s">
        <v>216</v>
      </c>
      <c r="AC87" s="11" t="n">
        <f aca="false">((1-(1/((1+AC84)^AC85)))/AC84)</f>
        <v>28.9600651941078</v>
      </c>
      <c r="AD87" s="331"/>
      <c r="AE87" s="331"/>
      <c r="AF87" s="342"/>
      <c r="AG87" s="342"/>
      <c r="AH87" s="342"/>
      <c r="AI87" s="11"/>
    </row>
    <row r="88" customFormat="false" ht="17.35" hidden="false" customHeight="false" outlineLevel="0" collapsed="false">
      <c r="A88" s="221" t="s">
        <v>217</v>
      </c>
      <c r="B88" s="11" t="n">
        <f aca="false">B81-B86</f>
        <v>37448.2347422869</v>
      </c>
      <c r="C88" s="331"/>
      <c r="D88" s="331"/>
      <c r="E88" s="342"/>
      <c r="F88" s="342"/>
      <c r="G88" s="342"/>
      <c r="H88" s="11"/>
      <c r="J88" s="221" t="s">
        <v>217</v>
      </c>
      <c r="K88" s="11" t="n">
        <f aca="false">K81-K86</f>
        <v>37655</v>
      </c>
      <c r="L88" s="331"/>
      <c r="M88" s="331"/>
      <c r="N88" s="342"/>
      <c r="O88" s="342"/>
      <c r="P88" s="342"/>
      <c r="Q88" s="11"/>
      <c r="S88" s="221" t="s">
        <v>217</v>
      </c>
      <c r="T88" s="11" t="n">
        <f aca="false">T81-T86</f>
        <v>26865.8831902377</v>
      </c>
      <c r="U88" s="331"/>
      <c r="V88" s="331"/>
      <c r="W88" s="342"/>
      <c r="X88" s="342"/>
      <c r="Y88" s="342"/>
      <c r="Z88" s="11"/>
      <c r="AB88" s="221" t="s">
        <v>217</v>
      </c>
      <c r="AC88" s="11" t="n">
        <f aca="false">AC81-AC86</f>
        <v>26865.8831902377</v>
      </c>
      <c r="AD88" s="331"/>
      <c r="AE88" s="331"/>
      <c r="AF88" s="342"/>
      <c r="AG88" s="342"/>
      <c r="AH88" s="342"/>
      <c r="AI88" s="11"/>
    </row>
    <row r="89" customFormat="false" ht="17.35" hidden="false" customHeight="false" outlineLevel="0" collapsed="false">
      <c r="A89" s="221" t="s">
        <v>218</v>
      </c>
      <c r="B89" s="11" t="n">
        <f aca="false">(B88/B87)</f>
        <v>1218.7621911032</v>
      </c>
      <c r="C89" s="331"/>
      <c r="D89" s="331"/>
      <c r="E89" s="342"/>
      <c r="F89" s="342"/>
      <c r="G89" s="342"/>
      <c r="H89" s="11"/>
      <c r="J89" s="221" t="s">
        <v>218</v>
      </c>
      <c r="K89" s="11" t="n">
        <f aca="false">(K88/K87)</f>
        <v>1477.31306457009</v>
      </c>
      <c r="L89" s="331"/>
      <c r="M89" s="331"/>
      <c r="N89" s="342"/>
      <c r="O89" s="342"/>
      <c r="P89" s="342"/>
      <c r="Q89" s="11"/>
      <c r="S89" s="221" t="s">
        <v>218</v>
      </c>
      <c r="T89" s="11" t="n">
        <f aca="false">(T88/T87)</f>
        <v>927.687248290581</v>
      </c>
      <c r="U89" s="331"/>
      <c r="V89" s="331"/>
      <c r="W89" s="342"/>
      <c r="X89" s="342"/>
      <c r="Y89" s="342"/>
      <c r="Z89" s="11"/>
      <c r="AB89" s="221" t="s">
        <v>218</v>
      </c>
      <c r="AC89" s="11" t="n">
        <f aca="false">(AC88/AC87)</f>
        <v>927.687248290581</v>
      </c>
      <c r="AD89" s="331"/>
      <c r="AE89" s="331"/>
      <c r="AF89" s="342"/>
      <c r="AG89" s="342"/>
      <c r="AH89" s="342"/>
      <c r="AI89" s="11"/>
    </row>
    <row r="90" customFormat="false" ht="17.35" hidden="false" customHeight="false" outlineLevel="0" collapsed="false">
      <c r="A90" s="221" t="s">
        <v>108</v>
      </c>
      <c r="B90" s="11" t="n">
        <f aca="false">((B89*(B85))+B77)</f>
        <v>42656.676688612</v>
      </c>
      <c r="C90" s="331"/>
      <c r="D90" s="331"/>
      <c r="E90" s="342"/>
      <c r="F90" s="342"/>
      <c r="G90" s="342"/>
      <c r="H90" s="11"/>
      <c r="J90" s="221" t="s">
        <v>108</v>
      </c>
      <c r="K90" s="11" t="n">
        <f aca="false">((K89*(K85))+K77)</f>
        <v>53183.2703245232</v>
      </c>
      <c r="L90" s="331"/>
      <c r="M90" s="331"/>
      <c r="N90" s="342"/>
      <c r="O90" s="342"/>
      <c r="P90" s="342"/>
      <c r="Q90" s="11"/>
      <c r="S90" s="221" t="s">
        <v>108</v>
      </c>
      <c r="T90" s="11" t="n">
        <f aca="false">(T89*(T85))+T77</f>
        <v>32469.0536901703</v>
      </c>
      <c r="U90" s="331"/>
      <c r="V90" s="331"/>
      <c r="W90" s="342"/>
      <c r="X90" s="342"/>
      <c r="Y90" s="342"/>
      <c r="Z90" s="11"/>
      <c r="AB90" s="221" t="s">
        <v>108</v>
      </c>
      <c r="AC90" s="11" t="n">
        <f aca="false">(AC89*(AC59))+AC77</f>
        <v>32469.0536901703</v>
      </c>
      <c r="AD90" s="331"/>
      <c r="AE90" s="331"/>
      <c r="AF90" s="342"/>
      <c r="AG90" s="342"/>
      <c r="AH90" s="342"/>
      <c r="AI90" s="11"/>
    </row>
    <row r="91" customFormat="false" ht="17.35" hidden="false" customHeight="false" outlineLevel="0" collapsed="false">
      <c r="A91" s="221" t="s">
        <v>109</v>
      </c>
      <c r="B91" s="11" t="n">
        <f aca="false">(((B89*(B85))+B77)/(1-B71))*B71</f>
        <v>0</v>
      </c>
      <c r="C91" s="331"/>
      <c r="D91" s="331"/>
      <c r="E91" s="342"/>
      <c r="F91" s="342"/>
      <c r="G91" s="342"/>
      <c r="H91" s="11"/>
      <c r="J91" s="221" t="s">
        <v>109</v>
      </c>
      <c r="K91" s="11" t="n">
        <f aca="false">(K90/(1-K71))*K71</f>
        <v>0</v>
      </c>
      <c r="L91" s="331"/>
      <c r="M91" s="331"/>
      <c r="N91" s="342"/>
      <c r="O91" s="342"/>
      <c r="P91" s="342"/>
      <c r="Q91" s="11"/>
      <c r="S91" s="221" t="s">
        <v>109</v>
      </c>
      <c r="T91" s="11" t="n">
        <f aca="false">(T90/(1-T71))*T71</f>
        <v>0</v>
      </c>
      <c r="U91" s="331"/>
      <c r="V91" s="331"/>
      <c r="W91" s="342"/>
      <c r="X91" s="342"/>
      <c r="Y91" s="342"/>
      <c r="Z91" s="11"/>
      <c r="AB91" s="221" t="s">
        <v>109</v>
      </c>
      <c r="AC91" s="11" t="n">
        <f aca="false">(AC90/(1-AC71))*AC71</f>
        <v>0</v>
      </c>
      <c r="AD91" s="331"/>
      <c r="AE91" s="331"/>
      <c r="AF91" s="342"/>
      <c r="AG91" s="342"/>
      <c r="AH91" s="342"/>
      <c r="AI91" s="11"/>
    </row>
    <row r="92" customFormat="false" ht="17.35" hidden="false" customHeight="false" outlineLevel="0" collapsed="false">
      <c r="A92" s="249" t="s">
        <v>110</v>
      </c>
      <c r="B92" s="84" t="n">
        <f aca="false">(B90+B91)</f>
        <v>42656.676688612</v>
      </c>
      <c r="C92" s="331"/>
      <c r="D92" s="331"/>
      <c r="E92" s="342"/>
      <c r="F92" s="342"/>
      <c r="G92" s="342"/>
      <c r="H92" s="11"/>
      <c r="J92" s="249" t="s">
        <v>110</v>
      </c>
      <c r="K92" s="84" t="n">
        <f aca="false">(K90+K91)</f>
        <v>53183.2703245232</v>
      </c>
      <c r="L92" s="331"/>
      <c r="M92" s="331"/>
      <c r="N92" s="342"/>
      <c r="O92" s="342"/>
      <c r="P92" s="342"/>
      <c r="Q92" s="11"/>
      <c r="S92" s="249" t="s">
        <v>110</v>
      </c>
      <c r="T92" s="84" t="n">
        <f aca="false">(T90+T91)</f>
        <v>32469.0536901703</v>
      </c>
      <c r="U92" s="331"/>
      <c r="V92" s="331"/>
      <c r="W92" s="342"/>
      <c r="X92" s="342"/>
      <c r="Y92" s="342"/>
      <c r="Z92" s="11"/>
      <c r="AB92" s="249" t="s">
        <v>110</v>
      </c>
      <c r="AC92" s="84" t="n">
        <f aca="false">(AC90+AC91)</f>
        <v>32469.0536901703</v>
      </c>
      <c r="AD92" s="331"/>
      <c r="AE92" s="331"/>
      <c r="AF92" s="342"/>
      <c r="AG92" s="342"/>
      <c r="AH92" s="342"/>
      <c r="AI92" s="11"/>
    </row>
    <row r="93" customFormat="false" ht="17.35" hidden="false" customHeight="false" outlineLevel="0" collapsed="false">
      <c r="A93" s="221"/>
      <c r="B93" s="331"/>
      <c r="C93" s="331"/>
      <c r="D93" s="331"/>
      <c r="E93" s="342"/>
      <c r="F93" s="342"/>
      <c r="G93" s="342"/>
      <c r="H93" s="11"/>
      <c r="J93" s="221"/>
      <c r="K93" s="331"/>
      <c r="L93" s="331"/>
      <c r="M93" s="331"/>
      <c r="N93" s="342"/>
      <c r="O93" s="342"/>
      <c r="P93" s="342"/>
      <c r="Q93" s="11"/>
      <c r="S93" s="221"/>
      <c r="T93" s="331"/>
      <c r="U93" s="331"/>
      <c r="V93" s="331"/>
      <c r="W93" s="342"/>
      <c r="X93" s="342"/>
      <c r="Y93" s="342"/>
      <c r="Z93" s="11"/>
      <c r="AB93" s="221"/>
      <c r="AC93" s="331"/>
      <c r="AD93" s="331"/>
      <c r="AE93" s="331"/>
      <c r="AF93" s="342"/>
      <c r="AG93" s="342"/>
      <c r="AH93" s="342"/>
      <c r="AI93" s="11"/>
    </row>
    <row r="94" customFormat="false" ht="17.35" hidden="false" customHeight="false" outlineLevel="0" collapsed="false">
      <c r="A94" s="271" t="s">
        <v>65</v>
      </c>
      <c r="B94" s="351" t="str">
        <f aca="false">IF(B26="YES",((E40/B85)*(1+A108)),"0")</f>
        <v>0</v>
      </c>
      <c r="C94" s="331"/>
      <c r="D94" s="331"/>
      <c r="E94" s="342"/>
      <c r="F94" s="342"/>
      <c r="G94" s="342"/>
      <c r="H94" s="11"/>
      <c r="J94" s="271" t="s">
        <v>65</v>
      </c>
      <c r="K94" s="272" t="n">
        <f aca="false">((E40/K85)*(1+J108))*1.2</f>
        <v>0</v>
      </c>
      <c r="L94" s="331"/>
      <c r="M94" s="331"/>
      <c r="N94" s="342"/>
      <c r="O94" s="342"/>
      <c r="P94" s="342"/>
      <c r="Q94" s="11"/>
      <c r="S94" s="271" t="s">
        <v>65</v>
      </c>
      <c r="T94" s="272" t="n">
        <f aca="false">((E40/T85)*(1+S108))</f>
        <v>0</v>
      </c>
      <c r="U94" s="331"/>
      <c r="V94" s="331"/>
      <c r="W94" s="342"/>
      <c r="X94" s="342"/>
      <c r="Y94" s="342"/>
      <c r="Z94" s="11"/>
      <c r="AB94" s="271" t="s">
        <v>65</v>
      </c>
      <c r="AC94" s="272" t="n">
        <f aca="false">((E40/AC85)*(1+AB108))*1.2</f>
        <v>0</v>
      </c>
      <c r="AD94" s="331"/>
      <c r="AE94" s="331"/>
      <c r="AF94" s="342"/>
      <c r="AG94" s="342"/>
      <c r="AH94" s="342"/>
      <c r="AI94" s="11"/>
    </row>
    <row r="95" customFormat="false" ht="17.35" hidden="false" customHeight="false" outlineLevel="0" collapsed="false">
      <c r="A95" s="274" t="s">
        <v>111</v>
      </c>
      <c r="B95" s="275" t="n">
        <f aca="false">B92/(B85)</f>
        <v>1218.7621911032</v>
      </c>
      <c r="C95" s="331"/>
      <c r="D95" s="331"/>
      <c r="E95" s="342"/>
      <c r="F95" s="342"/>
      <c r="G95" s="342"/>
      <c r="H95" s="11"/>
      <c r="J95" s="274" t="s">
        <v>111</v>
      </c>
      <c r="K95" s="275" t="n">
        <f aca="false">K92/(K85)</f>
        <v>1477.31306457009</v>
      </c>
      <c r="L95" s="331"/>
      <c r="M95" s="331"/>
      <c r="N95" s="342"/>
      <c r="O95" s="342"/>
      <c r="P95" s="342"/>
      <c r="Q95" s="11"/>
      <c r="S95" s="274" t="s">
        <v>111</v>
      </c>
      <c r="T95" s="275" t="n">
        <f aca="false">T92/(T85)</f>
        <v>927.687248290581</v>
      </c>
      <c r="U95" s="331"/>
      <c r="V95" s="331"/>
      <c r="W95" s="342"/>
      <c r="X95" s="342"/>
      <c r="Y95" s="342"/>
      <c r="Z95" s="11"/>
      <c r="AB95" s="274" t="s">
        <v>111</v>
      </c>
      <c r="AC95" s="275" t="n">
        <f aca="false">AC92/(AC59)</f>
        <v>927.687248290581</v>
      </c>
      <c r="AD95" s="331"/>
      <c r="AE95" s="331"/>
      <c r="AF95" s="342"/>
      <c r="AG95" s="342"/>
      <c r="AH95" s="342"/>
      <c r="AI95" s="11"/>
    </row>
    <row r="96" customFormat="false" ht="17.35" hidden="false" customHeight="false" outlineLevel="0" collapsed="false">
      <c r="A96" s="276" t="s">
        <v>112</v>
      </c>
      <c r="B96" s="277" t="n">
        <f aca="false">B94+B95</f>
        <v>1218.7621911032</v>
      </c>
      <c r="C96" s="331"/>
      <c r="D96" s="331"/>
      <c r="E96" s="342"/>
      <c r="F96" s="342"/>
      <c r="G96" s="342"/>
      <c r="H96" s="11"/>
      <c r="J96" s="276" t="s">
        <v>112</v>
      </c>
      <c r="K96" s="277" t="n">
        <f aca="false">(K94+K95)</f>
        <v>1477.31306457009</v>
      </c>
      <c r="L96" s="331"/>
      <c r="M96" s="331"/>
      <c r="N96" s="342"/>
      <c r="O96" s="342"/>
      <c r="P96" s="342"/>
      <c r="Q96" s="11"/>
      <c r="S96" s="276" t="s">
        <v>112</v>
      </c>
      <c r="T96" s="277" t="n">
        <f aca="false">T94+T95</f>
        <v>927.687248290581</v>
      </c>
      <c r="U96" s="331"/>
      <c r="V96" s="331"/>
      <c r="W96" s="342"/>
      <c r="X96" s="342"/>
      <c r="Y96" s="342"/>
      <c r="Z96" s="11"/>
      <c r="AB96" s="276" t="s">
        <v>112</v>
      </c>
      <c r="AC96" s="277" t="n">
        <f aca="false">AC94+AC95</f>
        <v>927.687248290581</v>
      </c>
      <c r="AD96" s="331"/>
      <c r="AE96" s="331"/>
      <c r="AF96" s="342"/>
      <c r="AG96" s="342"/>
      <c r="AH96" s="342"/>
      <c r="AI96" s="11"/>
    </row>
    <row r="97" customFormat="false" ht="17.35" hidden="false" customHeight="false" outlineLevel="0" collapsed="false">
      <c r="A97" s="249"/>
      <c r="B97" s="250"/>
      <c r="C97" s="250"/>
      <c r="D97" s="250"/>
      <c r="E97" s="278"/>
      <c r="F97" s="278"/>
      <c r="G97" s="278"/>
      <c r="H97" s="84"/>
      <c r="J97" s="249"/>
      <c r="K97" s="250"/>
      <c r="L97" s="250"/>
      <c r="M97" s="250"/>
      <c r="N97" s="278"/>
      <c r="O97" s="278"/>
      <c r="P97" s="278"/>
      <c r="Q97" s="84"/>
      <c r="S97" s="249"/>
      <c r="T97" s="250"/>
      <c r="U97" s="250"/>
      <c r="V97" s="250"/>
      <c r="W97" s="278"/>
      <c r="X97" s="278"/>
      <c r="Y97" s="278"/>
      <c r="Z97" s="84"/>
      <c r="AB97" s="249"/>
      <c r="AC97" s="250"/>
      <c r="AD97" s="250"/>
      <c r="AE97" s="250"/>
      <c r="AF97" s="278"/>
      <c r="AG97" s="278"/>
      <c r="AH97" s="278"/>
      <c r="AI97" s="84"/>
    </row>
    <row r="98" customFormat="false" ht="13.8" hidden="false" customHeight="false" outlineLevel="0" collapsed="false">
      <c r="A98" s="236"/>
      <c r="B98" s="236"/>
      <c r="C98" s="236"/>
      <c r="D98" s="236"/>
      <c r="E98" s="236"/>
      <c r="F98" s="236"/>
      <c r="G98" s="236"/>
      <c r="H98" s="236"/>
      <c r="J98" s="236"/>
      <c r="K98" s="236"/>
      <c r="L98" s="236"/>
      <c r="M98" s="236"/>
      <c r="N98" s="236"/>
      <c r="O98" s="236"/>
      <c r="P98" s="236"/>
      <c r="Q98" s="236"/>
      <c r="S98" s="236"/>
      <c r="T98" s="236"/>
      <c r="U98" s="236"/>
      <c r="V98" s="236"/>
      <c r="W98" s="236"/>
      <c r="X98" s="236"/>
      <c r="Y98" s="236"/>
      <c r="Z98" s="236"/>
      <c r="AB98" s="236"/>
      <c r="AC98" s="236"/>
      <c r="AD98" s="236"/>
      <c r="AE98" s="236"/>
      <c r="AF98" s="236"/>
      <c r="AG98" s="236"/>
      <c r="AH98" s="236"/>
      <c r="AI98" s="236"/>
    </row>
    <row r="99" customFormat="false" ht="13.8" hidden="false" customHeight="false" outlineLevel="0" collapsed="false">
      <c r="A99" s="236"/>
      <c r="B99" s="236"/>
      <c r="C99" s="236"/>
      <c r="D99" s="236"/>
      <c r="E99" s="236"/>
      <c r="F99" s="236"/>
      <c r="G99" s="236"/>
      <c r="H99" s="236"/>
      <c r="J99" s="236"/>
      <c r="K99" s="236"/>
      <c r="L99" s="236"/>
      <c r="M99" s="236"/>
      <c r="N99" s="236"/>
      <c r="O99" s="236"/>
      <c r="P99" s="236"/>
      <c r="Q99" s="236"/>
      <c r="S99" s="236"/>
      <c r="T99" s="236"/>
      <c r="U99" s="236"/>
      <c r="V99" s="236"/>
      <c r="W99" s="236"/>
      <c r="X99" s="236"/>
      <c r="Y99" s="236"/>
      <c r="Z99" s="236"/>
      <c r="AB99" s="236"/>
      <c r="AC99" s="236"/>
      <c r="AD99" s="236"/>
      <c r="AE99" s="236"/>
      <c r="AF99" s="236"/>
      <c r="AG99" s="236"/>
      <c r="AH99" s="236"/>
      <c r="AI99" s="236"/>
    </row>
    <row r="100" customFormat="false" ht="47.25" hidden="false" customHeight="true" outlineLevel="0" collapsed="false">
      <c r="A100" s="217" t="s">
        <v>220</v>
      </c>
      <c r="B100" s="217"/>
      <c r="C100" s="217"/>
      <c r="D100" s="217"/>
      <c r="E100" s="217"/>
      <c r="F100" s="217"/>
      <c r="G100" s="217"/>
      <c r="H100" s="217"/>
      <c r="J100" s="217" t="s">
        <v>221</v>
      </c>
      <c r="K100" s="217"/>
      <c r="L100" s="217"/>
      <c r="M100" s="217"/>
      <c r="N100" s="217"/>
      <c r="O100" s="217"/>
      <c r="P100" s="217"/>
      <c r="Q100" s="217"/>
      <c r="S100" s="217" t="s">
        <v>222</v>
      </c>
      <c r="T100" s="217"/>
      <c r="U100" s="217"/>
      <c r="V100" s="217"/>
      <c r="W100" s="217"/>
      <c r="X100" s="217"/>
      <c r="Y100" s="217"/>
      <c r="Z100" s="217"/>
      <c r="AB100" s="217" t="s">
        <v>223</v>
      </c>
      <c r="AC100" s="217"/>
      <c r="AD100" s="217"/>
      <c r="AE100" s="217"/>
      <c r="AF100" s="217"/>
      <c r="AG100" s="217"/>
      <c r="AH100" s="217"/>
      <c r="AI100" s="217"/>
    </row>
    <row r="101" customFormat="false" ht="17.35" hidden="false" customHeight="false" outlineLevel="0" collapsed="false">
      <c r="A101" s="238"/>
      <c r="B101" s="239"/>
      <c r="C101" s="239"/>
      <c r="D101" s="239"/>
      <c r="E101" s="262"/>
      <c r="F101" s="262"/>
      <c r="G101" s="262"/>
      <c r="H101" s="279"/>
      <c r="J101" s="238"/>
      <c r="K101" s="239"/>
      <c r="L101" s="239"/>
      <c r="M101" s="239"/>
      <c r="N101" s="262"/>
      <c r="O101" s="262"/>
      <c r="P101" s="262"/>
      <c r="Q101" s="279"/>
      <c r="S101" s="238"/>
      <c r="T101" s="239"/>
      <c r="U101" s="239"/>
      <c r="V101" s="239"/>
      <c r="W101" s="262"/>
      <c r="X101" s="262"/>
      <c r="Y101" s="262"/>
      <c r="Z101" s="279"/>
      <c r="AB101" s="238"/>
      <c r="AC101" s="239"/>
      <c r="AD101" s="239"/>
      <c r="AE101" s="239"/>
      <c r="AF101" s="262"/>
      <c r="AG101" s="262"/>
      <c r="AH101" s="262"/>
      <c r="AI101" s="279"/>
    </row>
    <row r="102" customFormat="false" ht="22.05" hidden="false" customHeight="false" outlineLevel="0" collapsed="false">
      <c r="A102" s="240" t="s">
        <v>116</v>
      </c>
      <c r="B102" s="240"/>
      <c r="C102" s="240"/>
      <c r="D102" s="240"/>
      <c r="E102" s="240"/>
      <c r="F102" s="240"/>
      <c r="G102" s="240"/>
      <c r="H102" s="240"/>
      <c r="J102" s="240" t="s">
        <v>116</v>
      </c>
      <c r="K102" s="240"/>
      <c r="L102" s="240"/>
      <c r="M102" s="240"/>
      <c r="N102" s="240"/>
      <c r="O102" s="240"/>
      <c r="P102" s="240"/>
      <c r="Q102" s="240"/>
      <c r="S102" s="240" t="s">
        <v>116</v>
      </c>
      <c r="T102" s="240"/>
      <c r="U102" s="240"/>
      <c r="V102" s="240"/>
      <c r="W102" s="240"/>
      <c r="X102" s="240"/>
      <c r="Y102" s="240"/>
      <c r="Z102" s="240"/>
      <c r="AB102" s="240" t="s">
        <v>116</v>
      </c>
      <c r="AC102" s="240"/>
      <c r="AD102" s="240"/>
      <c r="AE102" s="240"/>
      <c r="AF102" s="240"/>
      <c r="AG102" s="240"/>
      <c r="AH102" s="240"/>
      <c r="AI102" s="240"/>
    </row>
    <row r="103" customFormat="false" ht="17.35" hidden="false" customHeight="false" outlineLevel="0" collapsed="false">
      <c r="A103" s="221"/>
      <c r="B103" s="331"/>
      <c r="C103" s="331"/>
      <c r="D103" s="331"/>
      <c r="E103" s="342"/>
      <c r="F103" s="342"/>
      <c r="G103" s="342"/>
      <c r="H103" s="280"/>
      <c r="J103" s="221"/>
      <c r="K103" s="331"/>
      <c r="L103" s="331"/>
      <c r="M103" s="331"/>
      <c r="N103" s="342"/>
      <c r="O103" s="342"/>
      <c r="P103" s="342"/>
      <c r="Q103" s="280"/>
      <c r="S103" s="221"/>
      <c r="T103" s="331"/>
      <c r="U103" s="331"/>
      <c r="V103" s="331"/>
      <c r="W103" s="342"/>
      <c r="X103" s="342"/>
      <c r="Y103" s="342"/>
      <c r="Z103" s="280"/>
      <c r="AB103" s="221"/>
      <c r="AC103" s="331"/>
      <c r="AD103" s="331"/>
      <c r="AE103" s="331"/>
      <c r="AF103" s="342"/>
      <c r="AG103" s="342"/>
      <c r="AH103" s="342"/>
      <c r="AI103" s="280"/>
    </row>
    <row r="104" customFormat="false" ht="17.35" hidden="false" customHeight="false" outlineLevel="0" collapsed="false">
      <c r="A104" s="221" t="s">
        <v>118</v>
      </c>
      <c r="B104" s="331" t="s">
        <v>30</v>
      </c>
      <c r="C104" s="331"/>
      <c r="D104" s="331"/>
      <c r="E104" s="331" t="s">
        <v>130</v>
      </c>
      <c r="F104" s="331"/>
      <c r="G104" s="331"/>
      <c r="H104" s="11"/>
      <c r="J104" s="221" t="s">
        <v>118</v>
      </c>
      <c r="K104" s="331" t="s">
        <v>30</v>
      </c>
      <c r="L104" s="331"/>
      <c r="M104" s="331"/>
      <c r="N104" s="331" t="s">
        <v>130</v>
      </c>
      <c r="O104" s="331"/>
      <c r="P104" s="331"/>
      <c r="Q104" s="11"/>
      <c r="S104" s="221" t="s">
        <v>118</v>
      </c>
      <c r="T104" s="331" t="s">
        <v>30</v>
      </c>
      <c r="U104" s="331"/>
      <c r="V104" s="331"/>
      <c r="W104" s="331" t="s">
        <v>130</v>
      </c>
      <c r="X104" s="331"/>
      <c r="Y104" s="331"/>
      <c r="Z104" s="11"/>
      <c r="AB104" s="221" t="s">
        <v>118</v>
      </c>
      <c r="AC104" s="331" t="s">
        <v>30</v>
      </c>
      <c r="AD104" s="331"/>
      <c r="AE104" s="331"/>
      <c r="AF104" s="331" t="s">
        <v>130</v>
      </c>
      <c r="AG104" s="331"/>
      <c r="AH104" s="331"/>
      <c r="AI104" s="11"/>
    </row>
    <row r="105" customFormat="false" ht="17.35" hidden="false" customHeight="false" outlineLevel="0" collapsed="false">
      <c r="A105" s="241" t="s">
        <v>224</v>
      </c>
      <c r="B105" s="215" t="s">
        <v>117</v>
      </c>
      <c r="C105" s="215"/>
      <c r="D105" s="215"/>
      <c r="E105" s="42" t="s">
        <v>26</v>
      </c>
      <c r="F105" s="42"/>
      <c r="G105" s="42"/>
      <c r="H105" s="280"/>
      <c r="J105" s="241" t="s">
        <v>224</v>
      </c>
      <c r="K105" s="215" t="s">
        <v>117</v>
      </c>
      <c r="L105" s="215"/>
      <c r="M105" s="215"/>
      <c r="N105" s="42" t="s">
        <v>25</v>
      </c>
      <c r="O105" s="42"/>
      <c r="P105" s="42"/>
      <c r="Q105" s="280"/>
      <c r="S105" s="241" t="s">
        <v>224</v>
      </c>
      <c r="T105" s="215" t="s">
        <v>117</v>
      </c>
      <c r="U105" s="215"/>
      <c r="V105" s="215"/>
      <c r="W105" s="42" t="s">
        <v>25</v>
      </c>
      <c r="X105" s="42"/>
      <c r="Y105" s="42"/>
      <c r="Z105" s="280"/>
      <c r="AB105" s="241" t="s">
        <v>224</v>
      </c>
      <c r="AC105" s="215" t="s">
        <v>117</v>
      </c>
      <c r="AD105" s="215"/>
      <c r="AE105" s="215"/>
      <c r="AF105" s="42" t="s">
        <v>25</v>
      </c>
      <c r="AG105" s="42"/>
      <c r="AH105" s="42"/>
      <c r="AI105" s="280"/>
    </row>
    <row r="106" customFormat="false" ht="17.35" hidden="false" customHeight="false" outlineLevel="0" collapsed="false">
      <c r="A106" s="221"/>
      <c r="B106" s="331"/>
      <c r="C106" s="331"/>
      <c r="D106" s="342"/>
      <c r="E106" s="331"/>
      <c r="F106" s="331"/>
      <c r="G106" s="342"/>
      <c r="H106" s="11"/>
      <c r="J106" s="221"/>
      <c r="K106" s="331"/>
      <c r="L106" s="331"/>
      <c r="M106" s="342"/>
      <c r="N106" s="331"/>
      <c r="O106" s="331"/>
      <c r="P106" s="342"/>
      <c r="Q106" s="11"/>
      <c r="S106" s="221"/>
      <c r="T106" s="331"/>
      <c r="U106" s="331"/>
      <c r="V106" s="342"/>
      <c r="W106" s="331"/>
      <c r="X106" s="331"/>
      <c r="Y106" s="342"/>
      <c r="Z106" s="11"/>
      <c r="AB106" s="221"/>
      <c r="AC106" s="331"/>
      <c r="AD106" s="331"/>
      <c r="AE106" s="342"/>
      <c r="AF106" s="331"/>
      <c r="AG106" s="331"/>
      <c r="AH106" s="342"/>
      <c r="AI106" s="11"/>
    </row>
    <row r="107" customFormat="false" ht="17.35" hidden="false" customHeight="false" outlineLevel="0" collapsed="false">
      <c r="A107" s="221" t="s">
        <v>131</v>
      </c>
      <c r="B107" s="331" t="s">
        <v>225</v>
      </c>
      <c r="C107" s="331"/>
      <c r="D107" s="342"/>
      <c r="E107" s="331" t="s">
        <v>226</v>
      </c>
      <c r="F107" s="331"/>
      <c r="G107" s="342"/>
      <c r="H107" s="280"/>
      <c r="J107" s="221" t="s">
        <v>131</v>
      </c>
      <c r="K107" s="331" t="s">
        <v>225</v>
      </c>
      <c r="L107" s="331"/>
      <c r="M107" s="342"/>
      <c r="N107" s="331" t="s">
        <v>226</v>
      </c>
      <c r="O107" s="331"/>
      <c r="P107" s="342"/>
      <c r="Q107" s="280"/>
      <c r="S107" s="221" t="s">
        <v>131</v>
      </c>
      <c r="T107" s="331" t="s">
        <v>225</v>
      </c>
      <c r="U107" s="331"/>
      <c r="V107" s="342"/>
      <c r="W107" s="331" t="s">
        <v>226</v>
      </c>
      <c r="X107" s="331"/>
      <c r="Y107" s="342"/>
      <c r="Z107" s="280"/>
      <c r="AB107" s="221" t="s">
        <v>131</v>
      </c>
      <c r="AC107" s="331" t="s">
        <v>225</v>
      </c>
      <c r="AD107" s="331"/>
      <c r="AE107" s="342"/>
      <c r="AF107" s="331" t="s">
        <v>226</v>
      </c>
      <c r="AG107" s="331"/>
      <c r="AH107" s="342"/>
      <c r="AI107" s="280"/>
    </row>
    <row r="108" customFormat="false" ht="17.35" hidden="false" customHeight="false" outlineLevel="0" collapsed="false">
      <c r="A108" s="281" t="n">
        <v>0.2</v>
      </c>
      <c r="B108" s="112" t="s">
        <v>297</v>
      </c>
      <c r="C108" s="112"/>
      <c r="D108" s="112"/>
      <c r="E108" s="282" t="n">
        <f aca="false">B83</f>
        <v>0.089</v>
      </c>
      <c r="F108" s="282"/>
      <c r="G108" s="282"/>
      <c r="H108" s="246"/>
      <c r="J108" s="281" t="n">
        <v>0.3</v>
      </c>
      <c r="K108" s="112" t="s">
        <v>227</v>
      </c>
      <c r="L108" s="112"/>
      <c r="M108" s="112"/>
      <c r="N108" s="282" t="n">
        <f aca="false">K83</f>
        <v>0.24</v>
      </c>
      <c r="O108" s="282"/>
      <c r="P108" s="282"/>
      <c r="Q108" s="246"/>
      <c r="S108" s="281" t="n">
        <v>0.2</v>
      </c>
      <c r="T108" s="112" t="s">
        <v>228</v>
      </c>
      <c r="U108" s="112"/>
      <c r="V108" s="112"/>
      <c r="W108" s="282" t="n">
        <f aca="false">T83</f>
        <v>0.131</v>
      </c>
      <c r="X108" s="282"/>
      <c r="Y108" s="282"/>
      <c r="Z108" s="246"/>
      <c r="AB108" s="281" t="n">
        <v>0.2</v>
      </c>
      <c r="AC108" s="112" t="s">
        <v>228</v>
      </c>
      <c r="AD108" s="112"/>
      <c r="AE108" s="112"/>
      <c r="AF108" s="283" t="n">
        <f aca="false">AC83</f>
        <v>0.131</v>
      </c>
      <c r="AG108" s="283"/>
      <c r="AH108" s="283"/>
      <c r="AI108" s="246"/>
      <c r="AP108" s="216" t="s">
        <v>229</v>
      </c>
    </row>
    <row r="109" customFormat="false" ht="17.35" hidden="false" customHeight="false" outlineLevel="0" collapsed="false">
      <c r="A109" s="221"/>
      <c r="B109" s="331"/>
      <c r="C109" s="331"/>
      <c r="D109" s="331"/>
      <c r="E109" s="331"/>
      <c r="F109" s="331"/>
      <c r="G109" s="331"/>
      <c r="H109" s="11"/>
      <c r="J109" s="221"/>
      <c r="K109" s="331"/>
      <c r="L109" s="331"/>
      <c r="M109" s="331"/>
      <c r="N109" s="331"/>
      <c r="O109" s="331"/>
      <c r="P109" s="331"/>
      <c r="Q109" s="11"/>
      <c r="S109" s="221"/>
      <c r="T109" s="331"/>
      <c r="U109" s="331"/>
      <c r="V109" s="331"/>
      <c r="W109" s="331"/>
      <c r="X109" s="331"/>
      <c r="Y109" s="331"/>
      <c r="Z109" s="11"/>
      <c r="AB109" s="221"/>
      <c r="AC109" s="331"/>
      <c r="AD109" s="331"/>
      <c r="AE109" s="331"/>
      <c r="AF109" s="331"/>
      <c r="AG109" s="331"/>
      <c r="AH109" s="331"/>
      <c r="AI109" s="11"/>
      <c r="AP109" s="216" t="s">
        <v>227</v>
      </c>
    </row>
    <row r="110" customFormat="false" ht="17.35" hidden="false" customHeight="false" outlineLevel="0" collapsed="false">
      <c r="A110" s="221" t="s">
        <v>230</v>
      </c>
      <c r="B110" s="331" t="s">
        <v>142</v>
      </c>
      <c r="C110" s="331"/>
      <c r="D110" s="331"/>
      <c r="E110" s="331" t="s">
        <v>231</v>
      </c>
      <c r="F110" s="331"/>
      <c r="G110" s="331"/>
      <c r="H110" s="11"/>
      <c r="J110" s="221" t="s">
        <v>230</v>
      </c>
      <c r="K110" s="331" t="s">
        <v>142</v>
      </c>
      <c r="L110" s="331"/>
      <c r="M110" s="331"/>
      <c r="N110" s="331" t="s">
        <v>231</v>
      </c>
      <c r="O110" s="331"/>
      <c r="P110" s="331"/>
      <c r="Q110" s="11"/>
      <c r="S110" s="221" t="s">
        <v>230</v>
      </c>
      <c r="T110" s="331" t="s">
        <v>142</v>
      </c>
      <c r="U110" s="331"/>
      <c r="V110" s="331"/>
      <c r="W110" s="331" t="s">
        <v>231</v>
      </c>
      <c r="X110" s="331"/>
      <c r="Y110" s="331"/>
      <c r="Z110" s="11"/>
      <c r="AB110" s="221" t="s">
        <v>230</v>
      </c>
      <c r="AC110" s="331" t="s">
        <v>142</v>
      </c>
      <c r="AD110" s="331"/>
      <c r="AE110" s="331"/>
      <c r="AF110" s="331" t="s">
        <v>231</v>
      </c>
      <c r="AG110" s="331"/>
      <c r="AH110" s="331"/>
      <c r="AI110" s="11"/>
    </row>
    <row r="111" customFormat="false" ht="17.35" hidden="false" customHeight="false" outlineLevel="0" collapsed="false">
      <c r="A111" s="242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80"/>
      <c r="J111" s="242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80"/>
      <c r="S111" s="242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80"/>
      <c r="AB111" s="242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80"/>
    </row>
    <row r="112" customFormat="false" ht="17.35" hidden="false" customHeight="false" outlineLevel="0" collapsed="false">
      <c r="A112" s="221"/>
      <c r="B112" s="331"/>
      <c r="C112" s="331"/>
      <c r="D112" s="331"/>
      <c r="E112" s="331"/>
      <c r="F112" s="331"/>
      <c r="G112" s="342"/>
      <c r="H112" s="280"/>
      <c r="J112" s="221"/>
      <c r="K112" s="331"/>
      <c r="L112" s="331"/>
      <c r="M112" s="331"/>
      <c r="N112" s="331"/>
      <c r="O112" s="331"/>
      <c r="P112" s="342"/>
      <c r="Q112" s="280"/>
      <c r="S112" s="221"/>
      <c r="T112" s="331"/>
      <c r="U112" s="331"/>
      <c r="V112" s="331"/>
      <c r="W112" s="331"/>
      <c r="X112" s="331"/>
      <c r="Y112" s="342"/>
      <c r="Z112" s="280"/>
      <c r="AB112" s="221"/>
      <c r="AC112" s="331"/>
      <c r="AD112" s="331"/>
      <c r="AE112" s="331"/>
      <c r="AF112" s="331"/>
      <c r="AG112" s="331"/>
      <c r="AH112" s="342"/>
      <c r="AI112" s="280"/>
    </row>
    <row r="113" customFormat="false" ht="17.35" hidden="false" customHeight="false" outlineLevel="0" collapsed="false">
      <c r="A113" s="51" t="s">
        <v>232</v>
      </c>
      <c r="B113" s="331" t="s">
        <v>163</v>
      </c>
      <c r="C113" s="331"/>
      <c r="D113" s="331"/>
      <c r="E113" s="331" t="s">
        <v>132</v>
      </c>
      <c r="F113" s="331"/>
      <c r="G113" s="342"/>
      <c r="H113" s="280"/>
      <c r="J113" s="51" t="s">
        <v>232</v>
      </c>
      <c r="K113" s="331" t="s">
        <v>163</v>
      </c>
      <c r="L113" s="331"/>
      <c r="M113" s="331"/>
      <c r="N113" s="331" t="s">
        <v>132</v>
      </c>
      <c r="O113" s="331"/>
      <c r="P113" s="342"/>
      <c r="Q113" s="280"/>
      <c r="S113" s="51" t="s">
        <v>232</v>
      </c>
      <c r="T113" s="331" t="s">
        <v>163</v>
      </c>
      <c r="U113" s="331"/>
      <c r="V113" s="331"/>
      <c r="W113" s="331" t="s">
        <v>132</v>
      </c>
      <c r="X113" s="331"/>
      <c r="Y113" s="342"/>
      <c r="Z113" s="280"/>
      <c r="AB113" s="51" t="s">
        <v>232</v>
      </c>
      <c r="AC113" s="331" t="s">
        <v>163</v>
      </c>
      <c r="AD113" s="331"/>
      <c r="AE113" s="331"/>
      <c r="AF113" s="331" t="s">
        <v>132</v>
      </c>
      <c r="AG113" s="331"/>
      <c r="AH113" s="342"/>
      <c r="AI113" s="28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80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80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80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80"/>
    </row>
    <row r="115" customFormat="false" ht="13.8" hidden="false" customHeight="false" outlineLevel="0" collapsed="false">
      <c r="A115" s="284"/>
      <c r="B115" s="342"/>
      <c r="C115" s="342"/>
      <c r="D115" s="342"/>
      <c r="E115" s="342"/>
      <c r="F115" s="342"/>
      <c r="G115" s="342"/>
      <c r="H115" s="280"/>
      <c r="J115" s="284"/>
      <c r="K115" s="342"/>
      <c r="L115" s="342"/>
      <c r="M115" s="342"/>
      <c r="N115" s="342"/>
      <c r="O115" s="342"/>
      <c r="P115" s="342"/>
      <c r="Q115" s="280"/>
      <c r="S115" s="284"/>
      <c r="T115" s="342"/>
      <c r="U115" s="342"/>
      <c r="V115" s="342"/>
      <c r="W115" s="342"/>
      <c r="X115" s="342"/>
      <c r="Y115" s="342"/>
      <c r="Z115" s="280"/>
      <c r="AB115" s="284"/>
      <c r="AC115" s="342"/>
      <c r="AD115" s="342"/>
      <c r="AE115" s="342"/>
      <c r="AF115" s="342"/>
      <c r="AG115" s="342"/>
      <c r="AH115" s="342"/>
      <c r="AI115" s="280"/>
    </row>
    <row r="116" customFormat="false" ht="13.8" hidden="false" customHeight="false" outlineLevel="0" collapsed="false">
      <c r="A116" s="284"/>
      <c r="B116" s="342"/>
      <c r="C116" s="342"/>
      <c r="D116" s="342"/>
      <c r="E116" s="342"/>
      <c r="F116" s="342"/>
      <c r="G116" s="342"/>
      <c r="H116" s="280"/>
      <c r="J116" s="284"/>
      <c r="K116" s="342"/>
      <c r="L116" s="342"/>
      <c r="M116" s="342"/>
      <c r="N116" s="342"/>
      <c r="O116" s="342"/>
      <c r="P116" s="342"/>
      <c r="Q116" s="280"/>
      <c r="S116" s="284"/>
      <c r="T116" s="342"/>
      <c r="U116" s="342"/>
      <c r="V116" s="342"/>
      <c r="W116" s="342"/>
      <c r="X116" s="342"/>
      <c r="Y116" s="342"/>
      <c r="Z116" s="280"/>
      <c r="AB116" s="284"/>
      <c r="AC116" s="342"/>
      <c r="AD116" s="342"/>
      <c r="AE116" s="342"/>
      <c r="AF116" s="342"/>
      <c r="AG116" s="342"/>
      <c r="AH116" s="342"/>
      <c r="AI116" s="280"/>
    </row>
    <row r="117" customFormat="false" ht="22.05" hidden="false" customHeight="false" outlineLevel="0" collapsed="false">
      <c r="A117" s="240" t="s">
        <v>233</v>
      </c>
      <c r="B117" s="240"/>
      <c r="C117" s="240"/>
      <c r="D117" s="240"/>
      <c r="E117" s="240"/>
      <c r="F117" s="240"/>
      <c r="G117" s="240"/>
      <c r="H117" s="240"/>
      <c r="J117" s="240" t="s">
        <v>233</v>
      </c>
      <c r="K117" s="240"/>
      <c r="L117" s="240"/>
      <c r="M117" s="240"/>
      <c r="N117" s="240"/>
      <c r="O117" s="240"/>
      <c r="P117" s="240"/>
      <c r="Q117" s="240"/>
      <c r="S117" s="240" t="s">
        <v>233</v>
      </c>
      <c r="T117" s="240"/>
      <c r="U117" s="240"/>
      <c r="V117" s="240"/>
      <c r="W117" s="240"/>
      <c r="X117" s="240"/>
      <c r="Y117" s="240"/>
      <c r="Z117" s="240"/>
      <c r="AB117" s="240" t="s">
        <v>233</v>
      </c>
      <c r="AC117" s="240"/>
      <c r="AD117" s="240"/>
      <c r="AE117" s="240"/>
      <c r="AF117" s="240"/>
      <c r="AG117" s="240"/>
      <c r="AH117" s="240"/>
      <c r="AI117" s="240"/>
    </row>
    <row r="118" customFormat="false" ht="13.8" hidden="false" customHeight="false" outlineLevel="0" collapsed="false">
      <c r="A118" s="284"/>
      <c r="B118" s="342"/>
      <c r="C118" s="342"/>
      <c r="D118" s="342"/>
      <c r="E118" s="342"/>
      <c r="F118" s="342"/>
      <c r="G118" s="342"/>
      <c r="H118" s="280"/>
      <c r="J118" s="284"/>
      <c r="K118" s="342"/>
      <c r="L118" s="342"/>
      <c r="M118" s="342"/>
      <c r="N118" s="342"/>
      <c r="O118" s="342"/>
      <c r="P118" s="342"/>
      <c r="Q118" s="280"/>
      <c r="S118" s="284"/>
      <c r="T118" s="342"/>
      <c r="U118" s="342"/>
      <c r="V118" s="342"/>
      <c r="W118" s="342"/>
      <c r="X118" s="342"/>
      <c r="Y118" s="342"/>
      <c r="Z118" s="280"/>
      <c r="AB118" s="284"/>
      <c r="AC118" s="342"/>
      <c r="AD118" s="342"/>
      <c r="AE118" s="342"/>
      <c r="AF118" s="342"/>
      <c r="AG118" s="342"/>
      <c r="AH118" s="342"/>
      <c r="AI118" s="280"/>
    </row>
    <row r="119" customFormat="false" ht="19.7" hidden="false" customHeight="false" outlineLevel="0" collapsed="false">
      <c r="A119" s="264"/>
      <c r="B119" s="285" t="s">
        <v>1</v>
      </c>
      <c r="C119" s="285"/>
      <c r="D119" s="285" t="s">
        <v>2</v>
      </c>
      <c r="E119" s="285"/>
      <c r="F119" s="285" t="s">
        <v>3</v>
      </c>
      <c r="G119" s="285"/>
      <c r="H119" s="286" t="s">
        <v>4</v>
      </c>
      <c r="J119" s="264"/>
      <c r="K119" s="285" t="s">
        <v>1</v>
      </c>
      <c r="L119" s="285"/>
      <c r="M119" s="285" t="s">
        <v>2</v>
      </c>
      <c r="N119" s="285"/>
      <c r="O119" s="285" t="s">
        <v>3</v>
      </c>
      <c r="P119" s="285"/>
      <c r="Q119" s="286" t="s">
        <v>4</v>
      </c>
      <c r="S119" s="264"/>
      <c r="T119" s="285" t="s">
        <v>1</v>
      </c>
      <c r="U119" s="285"/>
      <c r="V119" s="285" t="s">
        <v>2</v>
      </c>
      <c r="W119" s="285"/>
      <c r="X119" s="285" t="s">
        <v>3</v>
      </c>
      <c r="Y119" s="285"/>
      <c r="Z119" s="286" t="s">
        <v>4</v>
      </c>
      <c r="AB119" s="264"/>
      <c r="AC119" s="285" t="s">
        <v>1</v>
      </c>
      <c r="AD119" s="285"/>
      <c r="AE119" s="285" t="s">
        <v>2</v>
      </c>
      <c r="AF119" s="285"/>
      <c r="AG119" s="285" t="s">
        <v>3</v>
      </c>
      <c r="AH119" s="285"/>
      <c r="AI119" s="286" t="s">
        <v>4</v>
      </c>
    </row>
    <row r="120" customFormat="false" ht="19.7" hidden="false" customHeight="false" outlineLevel="0" collapsed="false">
      <c r="A120" s="218"/>
      <c r="B120" s="287" t="s">
        <v>234</v>
      </c>
      <c r="C120" s="288" t="s">
        <v>235</v>
      </c>
      <c r="D120" s="287" t="s">
        <v>234</v>
      </c>
      <c r="E120" s="289" t="s">
        <v>235</v>
      </c>
      <c r="F120" s="287" t="s">
        <v>234</v>
      </c>
      <c r="G120" s="289" t="s">
        <v>235</v>
      </c>
      <c r="H120" s="290"/>
      <c r="J120" s="218"/>
      <c r="K120" s="287" t="s">
        <v>234</v>
      </c>
      <c r="L120" s="288" t="s">
        <v>235</v>
      </c>
      <c r="M120" s="287" t="s">
        <v>234</v>
      </c>
      <c r="N120" s="289" t="s">
        <v>235</v>
      </c>
      <c r="O120" s="287" t="s">
        <v>234</v>
      </c>
      <c r="P120" s="289" t="s">
        <v>235</v>
      </c>
      <c r="Q120" s="290"/>
      <c r="S120" s="218"/>
      <c r="T120" s="287" t="s">
        <v>234</v>
      </c>
      <c r="U120" s="288" t="s">
        <v>235</v>
      </c>
      <c r="V120" s="287" t="s">
        <v>234</v>
      </c>
      <c r="W120" s="289" t="s">
        <v>235</v>
      </c>
      <c r="X120" s="287" t="s">
        <v>234</v>
      </c>
      <c r="Y120" s="289" t="s">
        <v>235</v>
      </c>
      <c r="Z120" s="290"/>
      <c r="AB120" s="218"/>
      <c r="AC120" s="287" t="s">
        <v>234</v>
      </c>
      <c r="AD120" s="288" t="s">
        <v>235</v>
      </c>
      <c r="AE120" s="287" t="s">
        <v>234</v>
      </c>
      <c r="AF120" s="289" t="s">
        <v>235</v>
      </c>
      <c r="AG120" s="287" t="s">
        <v>234</v>
      </c>
      <c r="AH120" s="289" t="s">
        <v>235</v>
      </c>
      <c r="AI120" s="290"/>
    </row>
    <row r="121" customFormat="false" ht="17.35" hidden="false" customHeight="false" outlineLevel="0" collapsed="false">
      <c r="A121" s="238" t="s">
        <v>5</v>
      </c>
      <c r="B121" s="353" t="n">
        <f aca="false">B3</f>
        <v>46854.17</v>
      </c>
      <c r="C121" s="354" t="n">
        <f aca="false">B121</f>
        <v>46854.17</v>
      </c>
      <c r="D121" s="353" t="n">
        <f aca="false">D3</f>
        <v>0</v>
      </c>
      <c r="E121" s="354" t="n">
        <f aca="false">D121</f>
        <v>0</v>
      </c>
      <c r="F121" s="353" t="n">
        <f aca="false">F3</f>
        <v>833.33</v>
      </c>
      <c r="G121" s="354" t="n">
        <f aca="false">F121</f>
        <v>833.33</v>
      </c>
      <c r="H121" s="291" t="n">
        <f aca="false">H3</f>
        <v>0</v>
      </c>
      <c r="J121" s="238" t="s">
        <v>5</v>
      </c>
      <c r="K121" s="353" t="n">
        <f aca="false">B3</f>
        <v>46854.17</v>
      </c>
      <c r="L121" s="354" t="n">
        <v>28629.17</v>
      </c>
      <c r="M121" s="353" t="n">
        <f aca="false">D3</f>
        <v>0</v>
      </c>
      <c r="N121" s="354" t="n">
        <f aca="false">M121</f>
        <v>0</v>
      </c>
      <c r="O121" s="353" t="n">
        <f aca="false">F3</f>
        <v>833.33</v>
      </c>
      <c r="P121" s="354" t="n">
        <f aca="false">O121</f>
        <v>833.33</v>
      </c>
      <c r="Q121" s="291" t="n">
        <f aca="false">H3</f>
        <v>0</v>
      </c>
      <c r="S121" s="238" t="s">
        <v>5</v>
      </c>
      <c r="T121" s="353" t="n">
        <f aca="false">B3</f>
        <v>46854.17</v>
      </c>
      <c r="U121" s="354" t="n">
        <f aca="false">T121</f>
        <v>46854.17</v>
      </c>
      <c r="V121" s="353" t="n">
        <f aca="false">D3</f>
        <v>0</v>
      </c>
      <c r="W121" s="354" t="n">
        <f aca="false">V121</f>
        <v>0</v>
      </c>
      <c r="X121" s="353" t="n">
        <f aca="false">F3</f>
        <v>833.33</v>
      </c>
      <c r="Y121" s="354" t="n">
        <f aca="false">X121</f>
        <v>833.33</v>
      </c>
      <c r="Z121" s="291" t="n">
        <f aca="false">H3</f>
        <v>0</v>
      </c>
      <c r="AB121" s="238" t="s">
        <v>5</v>
      </c>
      <c r="AC121" s="353" t="n">
        <f aca="false">B3</f>
        <v>46854.17</v>
      </c>
      <c r="AD121" s="354" t="n">
        <f aca="false">AC121</f>
        <v>46854.17</v>
      </c>
      <c r="AE121" s="353" t="n">
        <f aca="false">D3</f>
        <v>0</v>
      </c>
      <c r="AF121" s="354" t="n">
        <f aca="false">AE121</f>
        <v>0</v>
      </c>
      <c r="AG121" s="353" t="n">
        <f aca="false">F3</f>
        <v>833.33</v>
      </c>
      <c r="AH121" s="354" t="n">
        <f aca="false">AG121</f>
        <v>833.33</v>
      </c>
      <c r="AI121" s="291" t="n">
        <f aca="false">H3</f>
        <v>0</v>
      </c>
    </row>
    <row r="122" customFormat="false" ht="17.35" hidden="false" customHeight="false" outlineLevel="0" collapsed="false">
      <c r="A122" s="221" t="s">
        <v>6</v>
      </c>
      <c r="B122" s="355" t="n">
        <f aca="false">B4</f>
        <v>0</v>
      </c>
      <c r="C122" s="329" t="n">
        <v>0</v>
      </c>
      <c r="D122" s="355" t="n">
        <f aca="false">D4</f>
        <v>0</v>
      </c>
      <c r="E122" s="329" t="n">
        <v>0</v>
      </c>
      <c r="F122" s="355" t="n">
        <f aca="false">F4</f>
        <v>0</v>
      </c>
      <c r="G122" s="356" t="n">
        <v>0</v>
      </c>
      <c r="H122" s="330"/>
      <c r="J122" s="221" t="s">
        <v>6</v>
      </c>
      <c r="K122" s="355" t="n">
        <f aca="false">B4</f>
        <v>0</v>
      </c>
      <c r="L122" s="329" t="n">
        <v>0</v>
      </c>
      <c r="M122" s="355" t="n">
        <f aca="false">D4</f>
        <v>0</v>
      </c>
      <c r="N122" s="329" t="n">
        <f aca="false">M122</f>
        <v>0</v>
      </c>
      <c r="O122" s="355" t="n">
        <f aca="false">F4</f>
        <v>0</v>
      </c>
      <c r="P122" s="356" t="n">
        <f aca="false">O122</f>
        <v>0</v>
      </c>
      <c r="Q122" s="330"/>
      <c r="S122" s="221" t="s">
        <v>6</v>
      </c>
      <c r="T122" s="355" t="n">
        <f aca="false">B4</f>
        <v>0</v>
      </c>
      <c r="U122" s="329" t="n">
        <v>0.25</v>
      </c>
      <c r="V122" s="355" t="n">
        <f aca="false">D4</f>
        <v>0</v>
      </c>
      <c r="W122" s="329" t="n">
        <f aca="false">V122</f>
        <v>0</v>
      </c>
      <c r="X122" s="355" t="n">
        <f aca="false">F4</f>
        <v>0</v>
      </c>
      <c r="Y122" s="356" t="n">
        <f aca="false">X122</f>
        <v>0</v>
      </c>
      <c r="Z122" s="330"/>
      <c r="AB122" s="221" t="s">
        <v>6</v>
      </c>
      <c r="AC122" s="355" t="n">
        <f aca="false">B4</f>
        <v>0</v>
      </c>
      <c r="AD122" s="329" t="n">
        <v>0.25</v>
      </c>
      <c r="AE122" s="355" t="n">
        <f aca="false">D4</f>
        <v>0</v>
      </c>
      <c r="AF122" s="329" t="n">
        <f aca="false">AE122</f>
        <v>0</v>
      </c>
      <c r="AG122" s="355" t="n">
        <f aca="false">F4</f>
        <v>0</v>
      </c>
      <c r="AH122" s="356" t="n">
        <f aca="false">AG122</f>
        <v>0</v>
      </c>
      <c r="AI122" s="330"/>
    </row>
    <row r="123" customFormat="false" ht="17.35" hidden="false" customHeight="false" outlineLevel="0" collapsed="false">
      <c r="A123" s="221" t="s">
        <v>7</v>
      </c>
      <c r="B123" s="357" t="n">
        <f aca="false">B5</f>
        <v>0</v>
      </c>
      <c r="C123" s="354" t="n">
        <v>0</v>
      </c>
      <c r="D123" s="357" t="n">
        <f aca="false">D5</f>
        <v>0</v>
      </c>
      <c r="E123" s="354" t="n">
        <v>0</v>
      </c>
      <c r="F123" s="357" t="n">
        <f aca="false">F5</f>
        <v>0</v>
      </c>
      <c r="G123" s="354" t="n">
        <v>0</v>
      </c>
      <c r="H123" s="11"/>
      <c r="J123" s="221" t="s">
        <v>7</v>
      </c>
      <c r="K123" s="357" t="n">
        <f aca="false">B5</f>
        <v>0</v>
      </c>
      <c r="L123" s="354" t="n">
        <v>0</v>
      </c>
      <c r="M123" s="357" t="n">
        <f aca="false">D5</f>
        <v>0</v>
      </c>
      <c r="N123" s="354" t="n">
        <f aca="false">M123</f>
        <v>0</v>
      </c>
      <c r="O123" s="357" t="n">
        <f aca="false">F5</f>
        <v>0</v>
      </c>
      <c r="P123" s="354" t="n">
        <f aca="false">O123</f>
        <v>0</v>
      </c>
      <c r="Q123" s="11"/>
      <c r="S123" s="221" t="s">
        <v>7</v>
      </c>
      <c r="T123" s="357" t="n">
        <f aca="false">B5</f>
        <v>0</v>
      </c>
      <c r="U123" s="354" t="n">
        <v>0</v>
      </c>
      <c r="V123" s="357" t="n">
        <f aca="false">D5</f>
        <v>0</v>
      </c>
      <c r="W123" s="354" t="n">
        <f aca="false">V123</f>
        <v>0</v>
      </c>
      <c r="X123" s="357" t="n">
        <f aca="false">F5</f>
        <v>0</v>
      </c>
      <c r="Y123" s="354" t="n">
        <f aca="false">X123</f>
        <v>0</v>
      </c>
      <c r="Z123" s="11"/>
      <c r="AB123" s="221" t="s">
        <v>7</v>
      </c>
      <c r="AC123" s="357" t="n">
        <f aca="false">B5</f>
        <v>0</v>
      </c>
      <c r="AD123" s="354" t="n">
        <v>0</v>
      </c>
      <c r="AE123" s="357" t="n">
        <f aca="false">D5</f>
        <v>0</v>
      </c>
      <c r="AF123" s="354" t="n">
        <f aca="false">AE123</f>
        <v>0</v>
      </c>
      <c r="AG123" s="357" t="n">
        <f aca="false">F5</f>
        <v>0</v>
      </c>
      <c r="AH123" s="354" t="n">
        <f aca="false">AG123</f>
        <v>0</v>
      </c>
      <c r="AI123" s="11"/>
    </row>
    <row r="124" customFormat="false" ht="17.35" hidden="false" customHeight="false" outlineLevel="0" collapsed="false">
      <c r="A124" s="221" t="s">
        <v>8</v>
      </c>
      <c r="B124" s="357" t="n">
        <f aca="false">(B121*B122)+B123</f>
        <v>0</v>
      </c>
      <c r="C124" s="203" t="n">
        <f aca="false">(C121*C122/100)+C123</f>
        <v>0</v>
      </c>
      <c r="D124" s="357" t="n">
        <f aca="false">(D121*D122)+D123</f>
        <v>0</v>
      </c>
      <c r="E124" s="203" t="n">
        <f aca="false">(E121*E122/100)+E123</f>
        <v>0</v>
      </c>
      <c r="F124" s="357" t="n">
        <f aca="false">(F121*F122)+F123</f>
        <v>0</v>
      </c>
      <c r="G124" s="203" t="n">
        <f aca="false">(G121*G122/100)+G123</f>
        <v>0</v>
      </c>
      <c r="H124" s="11"/>
      <c r="J124" s="221" t="s">
        <v>8</v>
      </c>
      <c r="K124" s="357" t="n">
        <f aca="false">(K121*K122)+K123</f>
        <v>0</v>
      </c>
      <c r="L124" s="203" t="n">
        <f aca="false">(L121*L122)+L123</f>
        <v>0</v>
      </c>
      <c r="M124" s="357" t="n">
        <f aca="false">(M121*M122)+M123</f>
        <v>0</v>
      </c>
      <c r="N124" s="203" t="n">
        <f aca="false">(N121*N122)+N123</f>
        <v>0</v>
      </c>
      <c r="O124" s="357" t="n">
        <f aca="false">(O121*O122)+O123</f>
        <v>0</v>
      </c>
      <c r="P124" s="203" t="n">
        <f aca="false">(P121*P122)+P123</f>
        <v>0</v>
      </c>
      <c r="Q124" s="11"/>
      <c r="S124" s="221" t="s">
        <v>8</v>
      </c>
      <c r="T124" s="357" t="n">
        <f aca="false">(T121*T122)+T123</f>
        <v>0</v>
      </c>
      <c r="U124" s="203" t="n">
        <f aca="false">(U121*U122)+U123</f>
        <v>11713.5425</v>
      </c>
      <c r="V124" s="357" t="n">
        <f aca="false">(V121*V122)+V123</f>
        <v>0</v>
      </c>
      <c r="W124" s="203" t="n">
        <f aca="false">(W121*W122)+W123</f>
        <v>0</v>
      </c>
      <c r="X124" s="357" t="n">
        <f aca="false">(X121*X122)+X123</f>
        <v>0</v>
      </c>
      <c r="Y124" s="203" t="n">
        <f aca="false">(Y121*Y122)+Y123</f>
        <v>0</v>
      </c>
      <c r="Z124" s="11"/>
      <c r="AB124" s="221" t="s">
        <v>8</v>
      </c>
      <c r="AC124" s="357" t="n">
        <f aca="false">(AC121*AC122)+AC123</f>
        <v>0</v>
      </c>
      <c r="AD124" s="203" t="n">
        <f aca="false">(AD121*AD122)+AD123</f>
        <v>11713.5425</v>
      </c>
      <c r="AE124" s="357" t="n">
        <f aca="false">(AE121*AE122)+AE123</f>
        <v>0</v>
      </c>
      <c r="AF124" s="203" t="n">
        <f aca="false">(AF121*AF122)+AF123</f>
        <v>0</v>
      </c>
      <c r="AG124" s="357" t="n">
        <f aca="false">(AG121*AG122)+AG123</f>
        <v>0</v>
      </c>
      <c r="AH124" s="203" t="n">
        <f aca="false">(AH121*AH122)+AH123</f>
        <v>0</v>
      </c>
      <c r="AI124" s="11"/>
    </row>
    <row r="125" customFormat="false" ht="17.35" hidden="false" customHeight="false" outlineLevel="0" collapsed="false">
      <c r="A125" s="249" t="s">
        <v>9</v>
      </c>
      <c r="B125" s="358" t="n">
        <f aca="false">B121-B124</f>
        <v>46854.17</v>
      </c>
      <c r="C125" s="185" t="n">
        <f aca="false">C121-C124</f>
        <v>46854.17</v>
      </c>
      <c r="D125" s="358" t="n">
        <f aca="false">D121-D124</f>
        <v>0</v>
      </c>
      <c r="E125" s="185" t="n">
        <f aca="false">E121-E124</f>
        <v>0</v>
      </c>
      <c r="F125" s="358" t="n">
        <f aca="false">F121-F124</f>
        <v>833.33</v>
      </c>
      <c r="G125" s="185" t="n">
        <f aca="false">G121-G124</f>
        <v>833.33</v>
      </c>
      <c r="H125" s="84"/>
      <c r="J125" s="249" t="s">
        <v>9</v>
      </c>
      <c r="K125" s="358" t="n">
        <f aca="false">K121-K124</f>
        <v>46854.17</v>
      </c>
      <c r="L125" s="185" t="n">
        <f aca="false">L121-L124</f>
        <v>28629.17</v>
      </c>
      <c r="M125" s="358" t="n">
        <f aca="false">M121-M124</f>
        <v>0</v>
      </c>
      <c r="N125" s="185" t="n">
        <f aca="false">N121-N124</f>
        <v>0</v>
      </c>
      <c r="O125" s="358" t="n">
        <f aca="false">O121-O124</f>
        <v>833.33</v>
      </c>
      <c r="P125" s="185" t="n">
        <f aca="false">P121-P124</f>
        <v>833.33</v>
      </c>
      <c r="Q125" s="84"/>
      <c r="S125" s="249" t="s">
        <v>9</v>
      </c>
      <c r="T125" s="358" t="n">
        <f aca="false">T121-T124</f>
        <v>46854.17</v>
      </c>
      <c r="U125" s="185" t="n">
        <f aca="false">U121-U124</f>
        <v>35140.6275</v>
      </c>
      <c r="V125" s="358" t="n">
        <f aca="false">V121-V124</f>
        <v>0</v>
      </c>
      <c r="W125" s="185" t="n">
        <f aca="false">W121-W124</f>
        <v>0</v>
      </c>
      <c r="X125" s="358" t="n">
        <f aca="false">X121-X124</f>
        <v>833.33</v>
      </c>
      <c r="Y125" s="185" t="n">
        <f aca="false">Y121-Y124</f>
        <v>833.33</v>
      </c>
      <c r="Z125" s="84"/>
      <c r="AB125" s="249" t="s">
        <v>9</v>
      </c>
      <c r="AC125" s="358" t="n">
        <f aca="false">AC121-AC124</f>
        <v>46854.17</v>
      </c>
      <c r="AD125" s="185" t="n">
        <f aca="false">AD121-AD124</f>
        <v>35140.6275</v>
      </c>
      <c r="AE125" s="358" t="n">
        <f aca="false">AE121-AE124</f>
        <v>0</v>
      </c>
      <c r="AF125" s="185" t="n">
        <f aca="false">AF121-AF124</f>
        <v>0</v>
      </c>
      <c r="AG125" s="358" t="n">
        <f aca="false">AG121-AG124</f>
        <v>833.33</v>
      </c>
      <c r="AH125" s="185" t="n">
        <f aca="false">AH121-AH124</f>
        <v>833.33</v>
      </c>
      <c r="AI125" s="84"/>
    </row>
    <row r="126" customFormat="false" ht="17.35" hidden="false" customHeight="false" outlineLevel="0" collapsed="false">
      <c r="A126" s="221"/>
      <c r="B126" s="331"/>
      <c r="C126" s="331"/>
      <c r="D126" s="331"/>
      <c r="E126" s="331"/>
      <c r="F126" s="331"/>
      <c r="G126" s="331"/>
      <c r="H126" s="11"/>
      <c r="J126" s="221"/>
      <c r="K126" s="331"/>
      <c r="L126" s="331"/>
      <c r="M126" s="331"/>
      <c r="N126" s="331"/>
      <c r="O126" s="331"/>
      <c r="P126" s="331"/>
      <c r="Q126" s="11"/>
      <c r="S126" s="221"/>
      <c r="T126" s="331"/>
      <c r="U126" s="331"/>
      <c r="V126" s="331"/>
      <c r="W126" s="331"/>
      <c r="X126" s="331"/>
      <c r="Y126" s="331"/>
      <c r="Z126" s="11"/>
      <c r="AB126" s="221"/>
      <c r="AC126" s="331"/>
      <c r="AD126" s="331"/>
      <c r="AE126" s="331"/>
      <c r="AF126" s="331"/>
      <c r="AG126" s="331"/>
      <c r="AH126" s="331"/>
      <c r="AI126" s="11"/>
    </row>
    <row r="127" customFormat="false" ht="19.7" hidden="false" customHeight="false" outlineLevel="0" collapsed="false">
      <c r="A127" s="294"/>
      <c r="B127" s="359"/>
      <c r="C127" s="359"/>
      <c r="D127" s="359"/>
      <c r="E127" s="359"/>
      <c r="F127" s="359"/>
      <c r="G127" s="332" t="s">
        <v>234</v>
      </c>
      <c r="H127" s="296" t="s">
        <v>235</v>
      </c>
      <c r="J127" s="294"/>
      <c r="K127" s="359"/>
      <c r="L127" s="359"/>
      <c r="M127" s="359"/>
      <c r="N127" s="359"/>
      <c r="O127" s="359"/>
      <c r="P127" s="332" t="s">
        <v>234</v>
      </c>
      <c r="Q127" s="296" t="s">
        <v>235</v>
      </c>
      <c r="S127" s="294"/>
      <c r="T127" s="359"/>
      <c r="U127" s="359"/>
      <c r="V127" s="359"/>
      <c r="W127" s="359"/>
      <c r="X127" s="359"/>
      <c r="Y127" s="332" t="s">
        <v>234</v>
      </c>
      <c r="Z127" s="296" t="s">
        <v>235</v>
      </c>
      <c r="AB127" s="294"/>
      <c r="AC127" s="359"/>
      <c r="AD127" s="359"/>
      <c r="AE127" s="359"/>
      <c r="AF127" s="359"/>
      <c r="AG127" s="359"/>
      <c r="AH127" s="332" t="s">
        <v>234</v>
      </c>
      <c r="AI127" s="296" t="s">
        <v>235</v>
      </c>
    </row>
    <row r="128" customFormat="false" ht="17.35" hidden="false" customHeight="false" outlineLevel="0" collapsed="false">
      <c r="A128" s="297" t="s">
        <v>236</v>
      </c>
      <c r="B128" s="298"/>
      <c r="C128" s="298"/>
      <c r="D128" s="298"/>
      <c r="E128" s="298"/>
      <c r="F128" s="298"/>
      <c r="G128" s="299" t="n">
        <f aca="false">H121</f>
        <v>0</v>
      </c>
      <c r="H128" s="300" t="n">
        <f aca="false">SUM(H131:H133)</f>
        <v>0</v>
      </c>
      <c r="J128" s="297" t="s">
        <v>236</v>
      </c>
      <c r="K128" s="298"/>
      <c r="L128" s="298"/>
      <c r="M128" s="298"/>
      <c r="N128" s="298"/>
      <c r="O128" s="298"/>
      <c r="P128" s="299" t="n">
        <f aca="false">Q121</f>
        <v>0</v>
      </c>
      <c r="Q128" s="300" t="n">
        <f aca="false">SUM(Q131:Q133)</f>
        <v>0</v>
      </c>
      <c r="S128" s="297" t="s">
        <v>236</v>
      </c>
      <c r="T128" s="298"/>
      <c r="U128" s="298"/>
      <c r="V128" s="298"/>
      <c r="W128" s="298"/>
      <c r="X128" s="298"/>
      <c r="Y128" s="299" t="n">
        <f aca="false">Z121</f>
        <v>0</v>
      </c>
      <c r="Z128" s="300" t="n">
        <f aca="false">SUM(Z131:Z133)</f>
        <v>0</v>
      </c>
      <c r="AB128" s="297" t="s">
        <v>236</v>
      </c>
      <c r="AC128" s="298"/>
      <c r="AD128" s="298"/>
      <c r="AE128" s="298"/>
      <c r="AF128" s="298"/>
      <c r="AG128" s="298"/>
      <c r="AH128" s="299" t="n">
        <f aca="false">AI121</f>
        <v>0</v>
      </c>
      <c r="AI128" s="300" t="n">
        <f aca="false">SUM(AI131:AI133)</f>
        <v>0</v>
      </c>
    </row>
    <row r="129" customFormat="false" ht="17.35" hidden="false" customHeight="false" outlineLevel="0" collapsed="false">
      <c r="A129" s="221"/>
      <c r="B129" s="331"/>
      <c r="C129" s="331"/>
      <c r="D129" s="331"/>
      <c r="E129" s="331"/>
      <c r="F129" s="331"/>
      <c r="G129" s="304"/>
      <c r="H129" s="302"/>
      <c r="J129" s="221"/>
      <c r="K129" s="331"/>
      <c r="L129" s="331"/>
      <c r="M129" s="331"/>
      <c r="N129" s="331"/>
      <c r="O129" s="331"/>
      <c r="P129" s="304"/>
      <c r="Q129" s="302"/>
      <c r="S129" s="221"/>
      <c r="T129" s="331"/>
      <c r="U129" s="331"/>
      <c r="V129" s="331"/>
      <c r="W129" s="331"/>
      <c r="X129" s="331"/>
      <c r="Y129" s="304"/>
      <c r="Z129" s="302"/>
      <c r="AB129" s="221"/>
      <c r="AC129" s="331"/>
      <c r="AD129" s="331"/>
      <c r="AE129" s="331"/>
      <c r="AF129" s="331"/>
      <c r="AG129" s="331"/>
      <c r="AH129" s="304"/>
      <c r="AI129" s="302"/>
    </row>
    <row r="130" customFormat="false" ht="17.35" hidden="false" customHeight="false" outlineLevel="0" collapsed="false">
      <c r="A130" s="303" t="s">
        <v>237</v>
      </c>
      <c r="B130" s="304" t="s">
        <v>238</v>
      </c>
      <c r="C130" s="304"/>
      <c r="D130" s="304" t="s">
        <v>239</v>
      </c>
      <c r="E130" s="304"/>
      <c r="F130" s="304" t="s">
        <v>7</v>
      </c>
      <c r="G130" s="304"/>
      <c r="H130" s="302" t="s">
        <v>235</v>
      </c>
      <c r="J130" s="303" t="s">
        <v>237</v>
      </c>
      <c r="K130" s="304" t="s">
        <v>238</v>
      </c>
      <c r="L130" s="304"/>
      <c r="M130" s="304" t="s">
        <v>239</v>
      </c>
      <c r="N130" s="304"/>
      <c r="O130" s="304" t="s">
        <v>7</v>
      </c>
      <c r="P130" s="304"/>
      <c r="Q130" s="302" t="s">
        <v>235</v>
      </c>
      <c r="S130" s="303" t="s">
        <v>237</v>
      </c>
      <c r="T130" s="304" t="s">
        <v>238</v>
      </c>
      <c r="U130" s="304"/>
      <c r="V130" s="304" t="s">
        <v>239</v>
      </c>
      <c r="W130" s="304"/>
      <c r="X130" s="304" t="s">
        <v>7</v>
      </c>
      <c r="Y130" s="304"/>
      <c r="Z130" s="302" t="s">
        <v>235</v>
      </c>
      <c r="AB130" s="303" t="s">
        <v>237</v>
      </c>
      <c r="AC130" s="304" t="s">
        <v>238</v>
      </c>
      <c r="AD130" s="304"/>
      <c r="AE130" s="304" t="s">
        <v>239</v>
      </c>
      <c r="AF130" s="304"/>
      <c r="AG130" s="304" t="s">
        <v>7</v>
      </c>
      <c r="AH130" s="304"/>
      <c r="AI130" s="302" t="s">
        <v>235</v>
      </c>
    </row>
    <row r="131" customFormat="false" ht="17.35" hidden="false" customHeight="false" outlineLevel="0" collapsed="false">
      <c r="A131" s="221" t="s">
        <v>240</v>
      </c>
      <c r="B131" s="306" t="n">
        <f aca="false">G128</f>
        <v>0</v>
      </c>
      <c r="C131" s="306"/>
      <c r="D131" s="307" t="n">
        <v>0</v>
      </c>
      <c r="E131" s="307"/>
      <c r="F131" s="306" t="n">
        <v>0</v>
      </c>
      <c r="G131" s="306"/>
      <c r="H131" s="308" t="n">
        <f aca="false">(B131-(B131*D131))-F131</f>
        <v>0</v>
      </c>
      <c r="J131" s="221" t="s">
        <v>240</v>
      </c>
      <c r="K131" s="306" t="n">
        <f aca="false">P128</f>
        <v>0</v>
      </c>
      <c r="L131" s="306"/>
      <c r="M131" s="307" t="n">
        <v>0</v>
      </c>
      <c r="N131" s="307"/>
      <c r="O131" s="306" t="n">
        <v>0</v>
      </c>
      <c r="P131" s="306"/>
      <c r="Q131" s="308" t="n">
        <f aca="false">(K131-(K131*M131))-O131</f>
        <v>0</v>
      </c>
      <c r="S131" s="221" t="s">
        <v>240</v>
      </c>
      <c r="T131" s="306" t="n">
        <f aca="false">Y128</f>
        <v>0</v>
      </c>
      <c r="U131" s="306"/>
      <c r="V131" s="307" t="n">
        <v>0</v>
      </c>
      <c r="W131" s="307"/>
      <c r="X131" s="306" t="n">
        <v>0</v>
      </c>
      <c r="Y131" s="306"/>
      <c r="Z131" s="308" t="n">
        <f aca="false">(T131-(T131*V131))-X131</f>
        <v>0</v>
      </c>
      <c r="AB131" s="221" t="s">
        <v>240</v>
      </c>
      <c r="AC131" s="306" t="n">
        <f aca="false">AH128</f>
        <v>0</v>
      </c>
      <c r="AD131" s="306"/>
      <c r="AE131" s="307" t="n">
        <v>0</v>
      </c>
      <c r="AF131" s="307"/>
      <c r="AG131" s="306" t="n">
        <v>0</v>
      </c>
      <c r="AH131" s="306"/>
      <c r="AI131" s="308" t="n">
        <f aca="false">(AC131-(AC131*AE131))-AG131</f>
        <v>0</v>
      </c>
    </row>
    <row r="132" customFormat="false" ht="17.35" hidden="false" customHeight="false" outlineLevel="0" collapsed="false">
      <c r="A132" s="221" t="s">
        <v>241</v>
      </c>
      <c r="B132" s="306" t="n">
        <v>0</v>
      </c>
      <c r="C132" s="306"/>
      <c r="D132" s="307" t="n">
        <v>0</v>
      </c>
      <c r="E132" s="307"/>
      <c r="F132" s="306" t="n">
        <v>0</v>
      </c>
      <c r="G132" s="306"/>
      <c r="H132" s="308" t="n">
        <f aca="false">(B132-(B132*D132))-F132</f>
        <v>0</v>
      </c>
      <c r="J132" s="221" t="s">
        <v>241</v>
      </c>
      <c r="K132" s="306" t="n">
        <v>0</v>
      </c>
      <c r="L132" s="306"/>
      <c r="M132" s="307" t="n">
        <v>0</v>
      </c>
      <c r="N132" s="307"/>
      <c r="O132" s="306" t="n">
        <v>0</v>
      </c>
      <c r="P132" s="306"/>
      <c r="Q132" s="308" t="n">
        <f aca="false">(K132-(K132*M132))-O132</f>
        <v>0</v>
      </c>
      <c r="S132" s="221" t="s">
        <v>241</v>
      </c>
      <c r="T132" s="306" t="n">
        <v>0</v>
      </c>
      <c r="U132" s="306"/>
      <c r="V132" s="307" t="n">
        <v>0</v>
      </c>
      <c r="W132" s="307"/>
      <c r="X132" s="306" t="n">
        <v>0</v>
      </c>
      <c r="Y132" s="306"/>
      <c r="Z132" s="308" t="n">
        <f aca="false">(T132-(T132*V132))-X132</f>
        <v>0</v>
      </c>
      <c r="AB132" s="221" t="s">
        <v>241</v>
      </c>
      <c r="AC132" s="306" t="n">
        <v>0</v>
      </c>
      <c r="AD132" s="306"/>
      <c r="AE132" s="307" t="n">
        <v>0</v>
      </c>
      <c r="AF132" s="307"/>
      <c r="AG132" s="306" t="n">
        <v>0</v>
      </c>
      <c r="AH132" s="306"/>
      <c r="AI132" s="308" t="n">
        <f aca="false">(AC132-(AC132*AE132))-AG132</f>
        <v>0</v>
      </c>
    </row>
    <row r="133" customFormat="false" ht="17.35" hidden="false" customHeight="false" outlineLevel="0" collapsed="false">
      <c r="A133" s="221" t="s">
        <v>242</v>
      </c>
      <c r="B133" s="306" t="n">
        <v>0</v>
      </c>
      <c r="C133" s="306"/>
      <c r="D133" s="307" t="n">
        <v>0</v>
      </c>
      <c r="E133" s="307"/>
      <c r="F133" s="306" t="n">
        <v>0</v>
      </c>
      <c r="G133" s="306"/>
      <c r="H133" s="308" t="n">
        <f aca="false">(B133-(B133*D133))-F133</f>
        <v>0</v>
      </c>
      <c r="J133" s="221" t="s">
        <v>242</v>
      </c>
      <c r="K133" s="306" t="n">
        <v>0</v>
      </c>
      <c r="L133" s="306"/>
      <c r="M133" s="307" t="n">
        <v>0</v>
      </c>
      <c r="N133" s="307"/>
      <c r="O133" s="306" t="n">
        <v>0</v>
      </c>
      <c r="P133" s="306"/>
      <c r="Q133" s="308" t="n">
        <f aca="false">(K133-(K133*M133))-O133</f>
        <v>0</v>
      </c>
      <c r="S133" s="221" t="s">
        <v>242</v>
      </c>
      <c r="T133" s="306" t="n">
        <v>0</v>
      </c>
      <c r="U133" s="306"/>
      <c r="V133" s="307" t="n">
        <v>0</v>
      </c>
      <c r="W133" s="307"/>
      <c r="X133" s="306" t="n">
        <v>0</v>
      </c>
      <c r="Y133" s="306"/>
      <c r="Z133" s="308" t="n">
        <f aca="false">(T133-(T133*V133))-X133</f>
        <v>0</v>
      </c>
      <c r="AB133" s="221" t="s">
        <v>242</v>
      </c>
      <c r="AC133" s="306" t="n">
        <v>0</v>
      </c>
      <c r="AD133" s="306"/>
      <c r="AE133" s="307" t="n">
        <v>0</v>
      </c>
      <c r="AF133" s="307"/>
      <c r="AG133" s="306" t="n">
        <v>0</v>
      </c>
      <c r="AH133" s="306"/>
      <c r="AI133" s="308" t="n">
        <f aca="false">(AC133-(AC133*AE133))-AG133</f>
        <v>0</v>
      </c>
    </row>
    <row r="134" customFormat="false" ht="17.35" hidden="false" customHeight="false" outlineLevel="0" collapsed="false">
      <c r="A134" s="221"/>
      <c r="B134" s="331"/>
      <c r="C134" s="331"/>
      <c r="D134" s="331"/>
      <c r="E134" s="331"/>
      <c r="F134" s="331"/>
      <c r="G134" s="304"/>
      <c r="H134" s="302"/>
      <c r="J134" s="221"/>
      <c r="K134" s="331"/>
      <c r="L134" s="331"/>
      <c r="M134" s="331"/>
      <c r="N134" s="331"/>
      <c r="O134" s="331"/>
      <c r="P134" s="304"/>
      <c r="Q134" s="302"/>
      <c r="S134" s="221"/>
      <c r="T134" s="331"/>
      <c r="U134" s="331"/>
      <c r="V134" s="331"/>
      <c r="W134" s="331"/>
      <c r="X134" s="331"/>
      <c r="Y134" s="304"/>
      <c r="Z134" s="302"/>
      <c r="AB134" s="221"/>
      <c r="AC134" s="331"/>
      <c r="AD134" s="331"/>
      <c r="AE134" s="331"/>
      <c r="AF134" s="331"/>
      <c r="AG134" s="331"/>
      <c r="AH134" s="304"/>
      <c r="AI134" s="302"/>
    </row>
    <row r="135" customFormat="false" ht="19.7" hidden="false" customHeight="false" outlineLevel="0" collapsed="false">
      <c r="A135" s="226" t="s">
        <v>10</v>
      </c>
      <c r="B135" s="226"/>
      <c r="C135" s="226"/>
      <c r="D135" s="226"/>
      <c r="E135" s="226"/>
      <c r="F135" s="226"/>
      <c r="G135" s="332" t="n">
        <f aca="false">H9</f>
        <v>47687.5</v>
      </c>
      <c r="H135" s="309" t="n">
        <f aca="false">C125+E125+G125+H128</f>
        <v>47687.5</v>
      </c>
      <c r="J135" s="226" t="s">
        <v>10</v>
      </c>
      <c r="K135" s="226"/>
      <c r="L135" s="226"/>
      <c r="M135" s="226"/>
      <c r="N135" s="226"/>
      <c r="O135" s="226"/>
      <c r="P135" s="332" t="n">
        <f aca="false">H9</f>
        <v>47687.5</v>
      </c>
      <c r="Q135" s="309" t="n">
        <f aca="false">L125+N125+P125+Q128</f>
        <v>29462.5</v>
      </c>
      <c r="S135" s="226" t="s">
        <v>10</v>
      </c>
      <c r="T135" s="226"/>
      <c r="U135" s="226"/>
      <c r="V135" s="226"/>
      <c r="W135" s="226"/>
      <c r="X135" s="226"/>
      <c r="Y135" s="332" t="n">
        <f aca="false">H9</f>
        <v>47687.5</v>
      </c>
      <c r="Z135" s="309" t="n">
        <f aca="false">U125+W125+Y125+Z128</f>
        <v>35973.9575</v>
      </c>
      <c r="AB135" s="226" t="s">
        <v>10</v>
      </c>
      <c r="AC135" s="226"/>
      <c r="AD135" s="226"/>
      <c r="AE135" s="226"/>
      <c r="AF135" s="226"/>
      <c r="AG135" s="226"/>
      <c r="AH135" s="332" t="n">
        <f aca="false">H9</f>
        <v>47687.5</v>
      </c>
      <c r="AI135" s="309" t="n">
        <f aca="false">AD125+AF125+AH125+AI128</f>
        <v>35973.9575</v>
      </c>
    </row>
    <row r="136" customFormat="false" ht="17.35" hidden="false" customHeight="false" outlineLevel="0" collapsed="false">
      <c r="A136" s="229" t="s">
        <v>11</v>
      </c>
      <c r="B136" s="229"/>
      <c r="C136" s="229"/>
      <c r="D136" s="229"/>
      <c r="E136" s="229"/>
      <c r="F136" s="229"/>
      <c r="G136" s="40" t="n">
        <f aca="false">H10</f>
        <v>550</v>
      </c>
      <c r="H136" s="11" t="n">
        <f aca="false">G136</f>
        <v>550</v>
      </c>
      <c r="J136" s="229" t="s">
        <v>11</v>
      </c>
      <c r="K136" s="229"/>
      <c r="L136" s="229"/>
      <c r="M136" s="229"/>
      <c r="N136" s="229"/>
      <c r="O136" s="229"/>
      <c r="P136" s="40" t="n">
        <f aca="false">H10</f>
        <v>550</v>
      </c>
      <c r="Q136" s="11" t="n">
        <f aca="false">P136</f>
        <v>550</v>
      </c>
      <c r="S136" s="229" t="s">
        <v>11</v>
      </c>
      <c r="T136" s="229"/>
      <c r="U136" s="229"/>
      <c r="V136" s="229"/>
      <c r="W136" s="229"/>
      <c r="X136" s="229"/>
      <c r="Y136" s="40" t="n">
        <f aca="false">H10</f>
        <v>550</v>
      </c>
      <c r="Z136" s="11" t="n">
        <f aca="false">Y136</f>
        <v>550</v>
      </c>
      <c r="AB136" s="229" t="s">
        <v>11</v>
      </c>
      <c r="AC136" s="229"/>
      <c r="AD136" s="229"/>
      <c r="AE136" s="229"/>
      <c r="AF136" s="229"/>
      <c r="AG136" s="229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9" t="s">
        <v>12</v>
      </c>
      <c r="B137" s="229"/>
      <c r="C137" s="229"/>
      <c r="D137" s="229"/>
      <c r="E137" s="229"/>
      <c r="F137" s="229"/>
      <c r="G137" s="40" t="n">
        <f aca="false">H11</f>
        <v>9647.5</v>
      </c>
      <c r="H137" s="11" t="n">
        <f aca="false">(H135+H136)*20%</f>
        <v>9647.5</v>
      </c>
      <c r="J137" s="229" t="s">
        <v>12</v>
      </c>
      <c r="K137" s="229"/>
      <c r="L137" s="229"/>
      <c r="M137" s="229"/>
      <c r="N137" s="229"/>
      <c r="O137" s="229"/>
      <c r="P137" s="40" t="n">
        <f aca="false">H11</f>
        <v>9647.5</v>
      </c>
      <c r="Q137" s="11" t="n">
        <f aca="false">(Q135+Q136)*20%</f>
        <v>6002.5</v>
      </c>
      <c r="S137" s="229" t="s">
        <v>12</v>
      </c>
      <c r="T137" s="229"/>
      <c r="U137" s="229"/>
      <c r="V137" s="229"/>
      <c r="W137" s="229"/>
      <c r="X137" s="229"/>
      <c r="Y137" s="40" t="n">
        <f aca="false">H11</f>
        <v>9647.5</v>
      </c>
      <c r="Z137" s="11" t="n">
        <f aca="false">(Z135+Z136)*20%</f>
        <v>7304.7915</v>
      </c>
      <c r="AB137" s="229" t="s">
        <v>12</v>
      </c>
      <c r="AC137" s="229"/>
      <c r="AD137" s="229"/>
      <c r="AE137" s="229"/>
      <c r="AF137" s="229"/>
      <c r="AG137" s="229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9" t="s">
        <v>13</v>
      </c>
      <c r="B138" s="229"/>
      <c r="C138" s="229"/>
      <c r="D138" s="229"/>
      <c r="E138" s="229"/>
      <c r="F138" s="229"/>
      <c r="G138" s="40" t="n">
        <f aca="false">H12</f>
        <v>0</v>
      </c>
      <c r="H138" s="11" t="n">
        <v>0</v>
      </c>
      <c r="J138" s="229" t="s">
        <v>13</v>
      </c>
      <c r="K138" s="229"/>
      <c r="L138" s="229"/>
      <c r="M138" s="229"/>
      <c r="N138" s="229"/>
      <c r="O138" s="229"/>
      <c r="P138" s="40" t="n">
        <f aca="false">H12</f>
        <v>0</v>
      </c>
      <c r="Q138" s="11" t="n">
        <f aca="false">P138</f>
        <v>0</v>
      </c>
      <c r="S138" s="229" t="s">
        <v>13</v>
      </c>
      <c r="T138" s="229"/>
      <c r="U138" s="229"/>
      <c r="V138" s="229"/>
      <c r="W138" s="229"/>
      <c r="X138" s="229"/>
      <c r="Y138" s="40" t="n">
        <f aca="false">H12</f>
        <v>0</v>
      </c>
      <c r="Z138" s="11" t="n">
        <f aca="false">Y138</f>
        <v>0</v>
      </c>
      <c r="AB138" s="229" t="s">
        <v>13</v>
      </c>
      <c r="AC138" s="229"/>
      <c r="AD138" s="229"/>
      <c r="AE138" s="229"/>
      <c r="AF138" s="229"/>
      <c r="AG138" s="229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9" t="s">
        <v>14</v>
      </c>
      <c r="B139" s="229"/>
      <c r="C139" s="229"/>
      <c r="D139" s="229"/>
      <c r="E139" s="229"/>
      <c r="F139" s="229"/>
      <c r="G139" s="40" t="n">
        <f aca="false">H13</f>
        <v>585</v>
      </c>
      <c r="H139" s="11" t="n">
        <f aca="false">G139</f>
        <v>585</v>
      </c>
      <c r="J139" s="229" t="s">
        <v>14</v>
      </c>
      <c r="K139" s="229"/>
      <c r="L139" s="229"/>
      <c r="M139" s="229"/>
      <c r="N139" s="229"/>
      <c r="O139" s="229"/>
      <c r="P139" s="40" t="n">
        <f aca="false">H13</f>
        <v>585</v>
      </c>
      <c r="Q139" s="11" t="n">
        <f aca="false">P139</f>
        <v>585</v>
      </c>
      <c r="S139" s="229" t="s">
        <v>14</v>
      </c>
      <c r="T139" s="229"/>
      <c r="U139" s="229"/>
      <c r="V139" s="229"/>
      <c r="W139" s="229"/>
      <c r="X139" s="229"/>
      <c r="Y139" s="40" t="n">
        <f aca="false">H13</f>
        <v>585</v>
      </c>
      <c r="Z139" s="11" t="n">
        <f aca="false">Y139</f>
        <v>585</v>
      </c>
      <c r="AB139" s="229" t="s">
        <v>14</v>
      </c>
      <c r="AC139" s="229"/>
      <c r="AD139" s="229"/>
      <c r="AE139" s="229"/>
      <c r="AF139" s="229"/>
      <c r="AG139" s="229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9" t="s">
        <v>15</v>
      </c>
      <c r="B140" s="229"/>
      <c r="C140" s="229"/>
      <c r="D140" s="229"/>
      <c r="E140" s="229"/>
      <c r="F140" s="229"/>
      <c r="G140" s="40" t="n">
        <f aca="false">H14</f>
        <v>55</v>
      </c>
      <c r="H140" s="11" t="n">
        <v>55</v>
      </c>
      <c r="J140" s="229" t="s">
        <v>15</v>
      </c>
      <c r="K140" s="229"/>
      <c r="L140" s="229"/>
      <c r="M140" s="229"/>
      <c r="N140" s="229"/>
      <c r="O140" s="229"/>
      <c r="P140" s="40" t="n">
        <f aca="false">H14</f>
        <v>55</v>
      </c>
      <c r="Q140" s="11" t="n">
        <v>55</v>
      </c>
      <c r="S140" s="229" t="s">
        <v>15</v>
      </c>
      <c r="T140" s="229"/>
      <c r="U140" s="229"/>
      <c r="V140" s="229"/>
      <c r="W140" s="229"/>
      <c r="X140" s="229"/>
      <c r="Y140" s="40" t="n">
        <f aca="false">H14</f>
        <v>55</v>
      </c>
      <c r="Z140" s="11" t="n">
        <v>55</v>
      </c>
      <c r="AB140" s="229" t="s">
        <v>15</v>
      </c>
      <c r="AC140" s="229"/>
      <c r="AD140" s="229"/>
      <c r="AE140" s="229"/>
      <c r="AF140" s="229"/>
      <c r="AG140" s="229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9" t="s">
        <v>17</v>
      </c>
      <c r="B141" s="229"/>
      <c r="C141" s="229"/>
      <c r="D141" s="229"/>
      <c r="E141" s="229"/>
      <c r="F141" s="229"/>
      <c r="G141" s="360" t="n">
        <f aca="false">H15</f>
        <v>58525</v>
      </c>
      <c r="H141" s="311" t="n">
        <f aca="false">(H135+H136+H139+H140+H137)-H138</f>
        <v>58525</v>
      </c>
      <c r="J141" s="229" t="s">
        <v>17</v>
      </c>
      <c r="K141" s="229"/>
      <c r="L141" s="229"/>
      <c r="M141" s="229"/>
      <c r="N141" s="229"/>
      <c r="O141" s="229"/>
      <c r="P141" s="360" t="n">
        <f aca="false">H15</f>
        <v>58525</v>
      </c>
      <c r="Q141" s="311" t="n">
        <f aca="false">(Q135+Q136+Q139+Q140+Q137)-Q138</f>
        <v>36655</v>
      </c>
      <c r="S141" s="229" t="s">
        <v>17</v>
      </c>
      <c r="T141" s="229"/>
      <c r="U141" s="229"/>
      <c r="V141" s="229"/>
      <c r="W141" s="229"/>
      <c r="X141" s="229"/>
      <c r="Y141" s="360" t="n">
        <f aca="false">H15</f>
        <v>58525</v>
      </c>
      <c r="Z141" s="311" t="n">
        <f aca="false">(Z135+Z136+Z139+Z140+Z137)-Z138</f>
        <v>44468.749</v>
      </c>
      <c r="AB141" s="229" t="s">
        <v>17</v>
      </c>
      <c r="AC141" s="229"/>
      <c r="AD141" s="229"/>
      <c r="AE141" s="229"/>
      <c r="AF141" s="229"/>
      <c r="AG141" s="229"/>
      <c r="AH141" s="360" t="n">
        <f aca="false">H15</f>
        <v>58525</v>
      </c>
      <c r="AI141" s="311" t="n">
        <f aca="false">(AI135+AI136+AI139+AI140+AI137)-AI138</f>
        <v>44468.749</v>
      </c>
    </row>
    <row r="142" customFormat="false" ht="17.35" hidden="false" customHeight="false" outlineLevel="0" collapsed="false">
      <c r="A142" s="229" t="s">
        <v>18</v>
      </c>
      <c r="B142" s="229"/>
      <c r="C142" s="229"/>
      <c r="D142" s="229"/>
      <c r="E142" s="229"/>
      <c r="F142" s="229"/>
      <c r="G142" s="40" t="n">
        <f aca="false">H16</f>
        <v>0</v>
      </c>
      <c r="H142" s="242" t="n">
        <f aca="false">G142</f>
        <v>0</v>
      </c>
      <c r="J142" s="229" t="s">
        <v>18</v>
      </c>
      <c r="K142" s="229"/>
      <c r="L142" s="229"/>
      <c r="M142" s="229"/>
      <c r="N142" s="229"/>
      <c r="O142" s="229"/>
      <c r="P142" s="40" t="n">
        <f aca="false">H16</f>
        <v>0</v>
      </c>
      <c r="Q142" s="242" t="n">
        <f aca="false">P142</f>
        <v>0</v>
      </c>
      <c r="S142" s="229" t="s">
        <v>18</v>
      </c>
      <c r="T142" s="229"/>
      <c r="U142" s="229"/>
      <c r="V142" s="229"/>
      <c r="W142" s="229"/>
      <c r="X142" s="229"/>
      <c r="Y142" s="40" t="n">
        <f aca="false">H16</f>
        <v>0</v>
      </c>
      <c r="Z142" s="242" t="n">
        <f aca="false">Y142</f>
        <v>0</v>
      </c>
      <c r="AB142" s="229" t="s">
        <v>18</v>
      </c>
      <c r="AC142" s="229"/>
      <c r="AD142" s="229"/>
      <c r="AE142" s="229"/>
      <c r="AF142" s="229"/>
      <c r="AG142" s="229"/>
      <c r="AH142" s="40" t="n">
        <f aca="false">H16</f>
        <v>0</v>
      </c>
      <c r="AI142" s="242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5"/>
      <c r="H143" s="11"/>
      <c r="J143" s="129" t="s">
        <v>20</v>
      </c>
      <c r="K143" s="129"/>
      <c r="L143" s="129"/>
      <c r="M143" s="129"/>
      <c r="N143" s="129"/>
      <c r="O143" s="129"/>
      <c r="P143" s="215"/>
      <c r="Q143" s="11"/>
      <c r="S143" s="129" t="s">
        <v>20</v>
      </c>
      <c r="T143" s="129"/>
      <c r="U143" s="129"/>
      <c r="V143" s="129"/>
      <c r="W143" s="129"/>
      <c r="X143" s="129"/>
      <c r="Y143" s="215"/>
      <c r="Z143" s="11"/>
      <c r="AB143" s="129" t="s">
        <v>20</v>
      </c>
      <c r="AC143" s="129"/>
      <c r="AD143" s="129"/>
      <c r="AE143" s="129"/>
      <c r="AF143" s="129"/>
      <c r="AG143" s="129"/>
      <c r="AH143" s="215"/>
      <c r="AI143" s="11"/>
    </row>
    <row r="144" customFormat="false" ht="17.35" hidden="false" customHeight="false" outlineLevel="0" collapsed="false">
      <c r="A144" s="232" t="s">
        <v>19</v>
      </c>
      <c r="B144" s="233" t="n">
        <v>0</v>
      </c>
      <c r="C144" s="233"/>
      <c r="D144" s="233"/>
      <c r="E144" s="233"/>
      <c r="F144" s="233"/>
      <c r="G144" s="40" t="n">
        <f aca="false">H18</f>
        <v>0</v>
      </c>
      <c r="H144" s="242" t="n">
        <v>0</v>
      </c>
      <c r="J144" s="232" t="s">
        <v>19</v>
      </c>
      <c r="K144" s="233" t="s">
        <v>23</v>
      </c>
      <c r="L144" s="233"/>
      <c r="M144" s="233"/>
      <c r="N144" s="233"/>
      <c r="O144" s="233"/>
      <c r="P144" s="40" t="n">
        <f aca="false">H18</f>
        <v>0</v>
      </c>
      <c r="Q144" s="242" t="n">
        <f aca="false">P144</f>
        <v>0</v>
      </c>
      <c r="S144" s="232" t="s">
        <v>19</v>
      </c>
      <c r="T144" s="233" t="s">
        <v>23</v>
      </c>
      <c r="U144" s="233"/>
      <c r="V144" s="233"/>
      <c r="W144" s="233"/>
      <c r="X144" s="233"/>
      <c r="Y144" s="40" t="n">
        <f aca="false">H18</f>
        <v>0</v>
      </c>
      <c r="Z144" s="242" t="n">
        <f aca="false">Y144</f>
        <v>0</v>
      </c>
      <c r="AB144" s="232" t="s">
        <v>19</v>
      </c>
      <c r="AC144" s="233" t="s">
        <v>23</v>
      </c>
      <c r="AD144" s="233"/>
      <c r="AE144" s="233"/>
      <c r="AF144" s="233"/>
      <c r="AG144" s="233"/>
      <c r="AH144" s="40" t="n">
        <f aca="false">H18</f>
        <v>0</v>
      </c>
      <c r="AI144" s="242" t="n">
        <f aca="false">AH144</f>
        <v>0</v>
      </c>
    </row>
    <row r="145" customFormat="false" ht="17.35" hidden="false" customHeight="false" outlineLevel="0" collapsed="false">
      <c r="A145" s="232" t="s">
        <v>22</v>
      </c>
      <c r="B145" s="233" t="s">
        <v>23</v>
      </c>
      <c r="C145" s="233"/>
      <c r="D145" s="233"/>
      <c r="E145" s="233"/>
      <c r="F145" s="233"/>
      <c r="G145" s="40" t="n">
        <f aca="false">H19</f>
        <v>0</v>
      </c>
      <c r="H145" s="242" t="n">
        <v>0</v>
      </c>
      <c r="I145" s="216" t="n">
        <f aca="false">(G142+G145+G146+G144)</f>
        <v>0</v>
      </c>
      <c r="J145" s="232" t="s">
        <v>22</v>
      </c>
      <c r="K145" s="233" t="s">
        <v>23</v>
      </c>
      <c r="L145" s="233"/>
      <c r="M145" s="233"/>
      <c r="N145" s="233"/>
      <c r="O145" s="233"/>
      <c r="P145" s="40" t="n">
        <f aca="false">H19</f>
        <v>0</v>
      </c>
      <c r="Q145" s="242" t="n">
        <f aca="false">P145</f>
        <v>0</v>
      </c>
      <c r="S145" s="232" t="s">
        <v>22</v>
      </c>
      <c r="T145" s="233" t="s">
        <v>23</v>
      </c>
      <c r="U145" s="233"/>
      <c r="V145" s="233"/>
      <c r="W145" s="233"/>
      <c r="X145" s="233"/>
      <c r="Y145" s="40" t="n">
        <f aca="false">H19</f>
        <v>0</v>
      </c>
      <c r="Z145" s="242" t="n">
        <f aca="false">Y145</f>
        <v>0</v>
      </c>
      <c r="AB145" s="232" t="s">
        <v>22</v>
      </c>
      <c r="AC145" s="233" t="s">
        <v>23</v>
      </c>
      <c r="AD145" s="233"/>
      <c r="AE145" s="233"/>
      <c r="AF145" s="233"/>
      <c r="AG145" s="233"/>
      <c r="AH145" s="40" t="n">
        <f aca="false">H19</f>
        <v>0</v>
      </c>
      <c r="AI145" s="242" t="n">
        <f aca="false">AH145</f>
        <v>0</v>
      </c>
    </row>
    <row r="146" customFormat="false" ht="17.35" hidden="false" customHeight="false" outlineLevel="0" collapsed="false">
      <c r="A146" s="313" t="s">
        <v>24</v>
      </c>
      <c r="B146" s="314" t="s">
        <v>23</v>
      </c>
      <c r="C146" s="314"/>
      <c r="D146" s="314"/>
      <c r="E146" s="314"/>
      <c r="F146" s="314"/>
      <c r="G146" s="40" t="n">
        <f aca="false">H20</f>
        <v>0</v>
      </c>
      <c r="H146" s="242" t="n">
        <v>0</v>
      </c>
      <c r="I146" s="216" t="n">
        <f aca="false">(H142+H144+H145+H146)</f>
        <v>0</v>
      </c>
      <c r="J146" s="313" t="s">
        <v>24</v>
      </c>
      <c r="K146" s="314" t="s">
        <v>23</v>
      </c>
      <c r="L146" s="314"/>
      <c r="M146" s="314"/>
      <c r="N146" s="314"/>
      <c r="O146" s="314"/>
      <c r="P146" s="40" t="n">
        <f aca="false">H20</f>
        <v>0</v>
      </c>
      <c r="Q146" s="242" t="n">
        <f aca="false">P146</f>
        <v>0</v>
      </c>
      <c r="S146" s="313" t="s">
        <v>24</v>
      </c>
      <c r="T146" s="314" t="s">
        <v>23</v>
      </c>
      <c r="U146" s="314"/>
      <c r="V146" s="314"/>
      <c r="W146" s="314"/>
      <c r="X146" s="314"/>
      <c r="Y146" s="40" t="n">
        <f aca="false">H20</f>
        <v>0</v>
      </c>
      <c r="Z146" s="242" t="n">
        <f aca="false">Y146</f>
        <v>0</v>
      </c>
      <c r="AB146" s="313" t="s">
        <v>24</v>
      </c>
      <c r="AC146" s="314" t="s">
        <v>23</v>
      </c>
      <c r="AD146" s="314"/>
      <c r="AE146" s="314"/>
      <c r="AF146" s="314"/>
      <c r="AG146" s="314"/>
      <c r="AH146" s="40" t="n">
        <f aca="false">H20</f>
        <v>0</v>
      </c>
      <c r="AI146" s="242" t="n">
        <f aca="false">AH146</f>
        <v>0</v>
      </c>
    </row>
    <row r="147" customFormat="false" ht="19.7" hidden="false" customHeight="false" outlineLevel="0" collapsed="false">
      <c r="A147" s="229" t="s">
        <v>27</v>
      </c>
      <c r="B147" s="229"/>
      <c r="C147" s="229"/>
      <c r="D147" s="229"/>
      <c r="E147" s="229"/>
      <c r="F147" s="229"/>
      <c r="G147" s="360" t="n">
        <f aca="false">G141-((G144*1.2)+(G145*1.2)+(G146*1.2)+(G142*1.2))</f>
        <v>58525</v>
      </c>
      <c r="H147" s="315" t="n">
        <f aca="false">H141-((H144*1.2)+(H145*1.2)+(H146*1.2)+(H142*1.2))</f>
        <v>58525</v>
      </c>
      <c r="J147" s="229" t="s">
        <v>27</v>
      </c>
      <c r="K147" s="229"/>
      <c r="L147" s="229"/>
      <c r="M147" s="229"/>
      <c r="N147" s="229"/>
      <c r="O147" s="229"/>
      <c r="P147" s="360" t="n">
        <f aca="false">P141-((P144*1.2)+(P145*1.2)+(P146*1.2)+(P142*1.2))</f>
        <v>58525</v>
      </c>
      <c r="Q147" s="315" t="n">
        <f aca="false">Q141-((Q144*1.2)+(Q145*1.2)+(Q146*1.2)+(Q142*1.2))</f>
        <v>36655</v>
      </c>
      <c r="S147" s="229" t="s">
        <v>27</v>
      </c>
      <c r="T147" s="229"/>
      <c r="U147" s="229"/>
      <c r="V147" s="229"/>
      <c r="W147" s="229"/>
      <c r="X147" s="229"/>
      <c r="Y147" s="360" t="n">
        <f aca="false">Y141-((Y144*1.2)+(Y145*1.2)+(Y146*1.2)+(Y142*1.2))</f>
        <v>58525</v>
      </c>
      <c r="Z147" s="315" t="n">
        <f aca="false">Z141-((Z144*1.2)+(Z145*1.2)+(Z146*1.2)+(Z142*1.2))</f>
        <v>44468.749</v>
      </c>
      <c r="AB147" s="229" t="s">
        <v>27</v>
      </c>
      <c r="AC147" s="229"/>
      <c r="AD147" s="229"/>
      <c r="AE147" s="229"/>
      <c r="AF147" s="229"/>
      <c r="AG147" s="229"/>
      <c r="AH147" s="360" t="n">
        <f aca="false">AH141-((AH144*1.2)+(AH145*1.2)+(AH146*1.2)+(AH142*1.2))</f>
        <v>58525</v>
      </c>
      <c r="AI147" s="31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9" t="s">
        <v>243</v>
      </c>
      <c r="B148" s="229"/>
      <c r="C148" s="229"/>
      <c r="D148" s="229"/>
      <c r="E148" s="229"/>
      <c r="F148" s="229"/>
      <c r="G148" s="40"/>
      <c r="H148" s="242" t="n">
        <f aca="false">((H147-G147)-(H137-G137))+((I146-I145)*0.2)</f>
        <v>0</v>
      </c>
      <c r="I148" s="216" t="n">
        <f aca="false">(H148-G81)/1.2</f>
        <v>0</v>
      </c>
      <c r="J148" s="229" t="s">
        <v>243</v>
      </c>
      <c r="K148" s="229"/>
      <c r="L148" s="229"/>
      <c r="M148" s="229"/>
      <c r="N148" s="229"/>
      <c r="O148" s="229"/>
      <c r="P148" s="40"/>
      <c r="Q148" s="242" t="n">
        <f aca="false">Q147-P147</f>
        <v>-21870</v>
      </c>
      <c r="S148" s="229" t="s">
        <v>243</v>
      </c>
      <c r="T148" s="229"/>
      <c r="U148" s="229"/>
      <c r="V148" s="229"/>
      <c r="W148" s="229"/>
      <c r="X148" s="229"/>
      <c r="Y148" s="40"/>
      <c r="Z148" s="242" t="n">
        <f aca="false">Z147-Y147</f>
        <v>-14056.251</v>
      </c>
      <c r="AB148" s="229" t="s">
        <v>243</v>
      </c>
      <c r="AC148" s="229"/>
      <c r="AD148" s="229"/>
      <c r="AE148" s="229"/>
      <c r="AF148" s="229"/>
      <c r="AG148" s="229"/>
      <c r="AH148" s="40"/>
      <c r="AI148" s="242" t="n">
        <f aca="false">AI147-AH147</f>
        <v>-14056.251</v>
      </c>
    </row>
    <row r="149" customFormat="false" ht="17.35" hidden="false" customHeight="false" outlineLevel="0" collapsed="false">
      <c r="A149" s="221"/>
      <c r="B149" s="331"/>
      <c r="C149" s="331"/>
      <c r="D149" s="331"/>
      <c r="E149" s="236"/>
      <c r="F149" s="236"/>
      <c r="G149" s="236"/>
      <c r="H149" s="11"/>
      <c r="J149" s="221"/>
      <c r="K149" s="331"/>
      <c r="L149" s="331"/>
      <c r="M149" s="331"/>
      <c r="N149" s="236"/>
      <c r="O149" s="236"/>
      <c r="P149" s="236"/>
      <c r="Q149" s="11"/>
      <c r="S149" s="221"/>
      <c r="T149" s="331"/>
      <c r="U149" s="331"/>
      <c r="V149" s="331"/>
      <c r="W149" s="236"/>
      <c r="X149" s="236"/>
      <c r="Y149" s="236"/>
      <c r="Z149" s="11"/>
      <c r="AB149" s="221"/>
      <c r="AC149" s="331"/>
      <c r="AD149" s="331"/>
      <c r="AE149" s="331"/>
      <c r="AF149" s="236"/>
      <c r="AG149" s="236"/>
      <c r="AH149" s="236"/>
      <c r="AI149" s="11"/>
    </row>
    <row r="150" customFormat="false" ht="22.05" hidden="false" customHeight="false" outlineLevel="0" collapsed="false">
      <c r="A150" s="240" t="s">
        <v>244</v>
      </c>
      <c r="B150" s="240"/>
      <c r="C150" s="240"/>
      <c r="D150" s="240"/>
      <c r="E150" s="240"/>
      <c r="F150" s="240"/>
      <c r="G150" s="240"/>
      <c r="H150" s="240"/>
      <c r="J150" s="240" t="s">
        <v>244</v>
      </c>
      <c r="K150" s="240"/>
      <c r="L150" s="240"/>
      <c r="M150" s="240"/>
      <c r="N150" s="240"/>
      <c r="O150" s="240"/>
      <c r="P150" s="240"/>
      <c r="Q150" s="240"/>
      <c r="S150" s="240" t="s">
        <v>244</v>
      </c>
      <c r="T150" s="240"/>
      <c r="U150" s="240"/>
      <c r="V150" s="240"/>
      <c r="W150" s="240"/>
      <c r="X150" s="240"/>
      <c r="Y150" s="240"/>
      <c r="Z150" s="240"/>
      <c r="AB150" s="240" t="s">
        <v>244</v>
      </c>
      <c r="AC150" s="240"/>
      <c r="AD150" s="240"/>
      <c r="AE150" s="240"/>
      <c r="AF150" s="240"/>
      <c r="AG150" s="240"/>
      <c r="AH150" s="240"/>
      <c r="AI150" s="240"/>
    </row>
    <row r="151" customFormat="false" ht="17.35" hidden="false" customHeight="false" outlineLevel="0" collapsed="false">
      <c r="A151" s="221"/>
      <c r="B151" s="331"/>
      <c r="C151" s="331"/>
      <c r="D151" s="331"/>
      <c r="E151" s="236"/>
      <c r="F151" s="236"/>
      <c r="G151" s="236"/>
      <c r="H151" s="11"/>
      <c r="J151" s="221"/>
      <c r="K151" s="331"/>
      <c r="L151" s="331"/>
      <c r="M151" s="331"/>
      <c r="N151" s="236"/>
      <c r="O151" s="236"/>
      <c r="P151" s="236"/>
      <c r="Q151" s="11"/>
      <c r="S151" s="221"/>
      <c r="T151" s="331"/>
      <c r="U151" s="331"/>
      <c r="V151" s="331"/>
      <c r="W151" s="236"/>
      <c r="X151" s="236"/>
      <c r="Y151" s="236"/>
      <c r="Z151" s="11"/>
      <c r="AB151" s="221"/>
      <c r="AC151" s="331"/>
      <c r="AD151" s="331"/>
      <c r="AE151" s="331"/>
      <c r="AF151" s="236"/>
      <c r="AG151" s="236"/>
      <c r="AH151" s="236"/>
      <c r="AI151" s="11"/>
    </row>
    <row r="152" customFormat="false" ht="17.35" hidden="false" customHeight="false" outlineLevel="0" collapsed="false">
      <c r="A152" s="221" t="s">
        <v>138</v>
      </c>
      <c r="B152" s="331"/>
      <c r="C152" s="331"/>
      <c r="D152" s="236"/>
      <c r="E152" s="112" t="n">
        <v>0</v>
      </c>
      <c r="F152" s="112"/>
      <c r="G152" s="112" t="n">
        <v>0</v>
      </c>
      <c r="H152" s="112"/>
      <c r="J152" s="221" t="s">
        <v>138</v>
      </c>
      <c r="K152" s="331"/>
      <c r="L152" s="331"/>
      <c r="M152" s="236"/>
      <c r="N152" s="112" t="n">
        <v>10000</v>
      </c>
      <c r="O152" s="112"/>
      <c r="P152" s="112" t="n">
        <v>5000</v>
      </c>
      <c r="Q152" s="112"/>
      <c r="S152" s="221" t="s">
        <v>138</v>
      </c>
      <c r="T152" s="331"/>
      <c r="U152" s="331"/>
      <c r="V152" s="236"/>
      <c r="W152" s="112" t="n">
        <v>10000</v>
      </c>
      <c r="X152" s="112"/>
      <c r="Y152" s="112" t="n">
        <v>5000</v>
      </c>
      <c r="Z152" s="112"/>
      <c r="AB152" s="221" t="s">
        <v>138</v>
      </c>
      <c r="AC152" s="331"/>
      <c r="AD152" s="331"/>
      <c r="AE152" s="236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1" t="s">
        <v>139</v>
      </c>
      <c r="B153" s="331"/>
      <c r="C153" s="331"/>
      <c r="D153" s="236"/>
      <c r="E153" s="210" t="n">
        <f aca="false">G153</f>
        <v>0</v>
      </c>
      <c r="F153" s="210"/>
      <c r="G153" s="112" t="n">
        <v>0</v>
      </c>
      <c r="H153" s="112"/>
      <c r="J153" s="221" t="s">
        <v>139</v>
      </c>
      <c r="K153" s="331"/>
      <c r="L153" s="331"/>
      <c r="M153" s="236"/>
      <c r="N153" s="210" t="n">
        <f aca="false">P153</f>
        <v>7000</v>
      </c>
      <c r="O153" s="210"/>
      <c r="P153" s="112" t="n">
        <v>7000</v>
      </c>
      <c r="Q153" s="112"/>
      <c r="S153" s="221" t="s">
        <v>139</v>
      </c>
      <c r="T153" s="331"/>
      <c r="U153" s="331"/>
      <c r="V153" s="236"/>
      <c r="W153" s="210" t="n">
        <f aca="false">Y153</f>
        <v>7000</v>
      </c>
      <c r="X153" s="210"/>
      <c r="Y153" s="112" t="n">
        <v>7000</v>
      </c>
      <c r="Z153" s="112"/>
      <c r="AB153" s="221" t="s">
        <v>139</v>
      </c>
      <c r="AC153" s="331"/>
      <c r="AD153" s="331"/>
      <c r="AE153" s="236"/>
      <c r="AF153" s="210" t="n">
        <f aca="false">AH153</f>
        <v>7000</v>
      </c>
      <c r="AG153" s="210"/>
      <c r="AH153" s="112" t="n">
        <v>7000</v>
      </c>
      <c r="AI153" s="112"/>
    </row>
    <row r="154" customFormat="false" ht="17.35" hidden="false" customHeight="false" outlineLevel="0" collapsed="false">
      <c r="A154" s="221" t="s">
        <v>140</v>
      </c>
      <c r="B154" s="331"/>
      <c r="C154" s="331"/>
      <c r="D154" s="236"/>
      <c r="E154" s="210" t="n">
        <f aca="false">E152-E153</f>
        <v>0</v>
      </c>
      <c r="F154" s="210"/>
      <c r="G154" s="115" t="n">
        <f aca="false">G152-G153</f>
        <v>0</v>
      </c>
      <c r="H154" s="115"/>
      <c r="J154" s="221" t="s">
        <v>140</v>
      </c>
      <c r="K154" s="331"/>
      <c r="L154" s="331"/>
      <c r="M154" s="236"/>
      <c r="N154" s="210" t="n">
        <f aca="false">N152-N153</f>
        <v>3000</v>
      </c>
      <c r="O154" s="210"/>
      <c r="P154" s="115" t="n">
        <f aca="false">P152-P153</f>
        <v>-2000</v>
      </c>
      <c r="Q154" s="115"/>
      <c r="S154" s="221" t="s">
        <v>140</v>
      </c>
      <c r="T154" s="331"/>
      <c r="U154" s="331"/>
      <c r="V154" s="236"/>
      <c r="W154" s="210" t="n">
        <f aca="false">W152-W153</f>
        <v>3000</v>
      </c>
      <c r="X154" s="210"/>
      <c r="Y154" s="115" t="n">
        <f aca="false">Y152-Y153</f>
        <v>-2000</v>
      </c>
      <c r="Z154" s="115"/>
      <c r="AB154" s="221" t="s">
        <v>140</v>
      </c>
      <c r="AC154" s="331"/>
      <c r="AD154" s="331"/>
      <c r="AE154" s="236"/>
      <c r="AF154" s="210" t="n">
        <f aca="false">AF152-AF153</f>
        <v>3000</v>
      </c>
      <c r="AG154" s="210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1" t="s">
        <v>141</v>
      </c>
      <c r="B155" s="331"/>
      <c r="C155" s="331"/>
      <c r="D155" s="236"/>
      <c r="E155" s="210" t="n">
        <f aca="false">E154-G154</f>
        <v>0</v>
      </c>
      <c r="F155" s="210"/>
      <c r="G155" s="236"/>
      <c r="H155" s="11"/>
      <c r="J155" s="221" t="s">
        <v>141</v>
      </c>
      <c r="K155" s="331"/>
      <c r="L155" s="331"/>
      <c r="M155" s="236"/>
      <c r="N155" s="210" t="n">
        <f aca="false">N154-P154</f>
        <v>5000</v>
      </c>
      <c r="O155" s="210"/>
      <c r="P155" s="236"/>
      <c r="Q155" s="11"/>
      <c r="S155" s="221" t="s">
        <v>141</v>
      </c>
      <c r="T155" s="331"/>
      <c r="U155" s="331"/>
      <c r="V155" s="236"/>
      <c r="W155" s="210" t="n">
        <f aca="false">W154-Y154</f>
        <v>5000</v>
      </c>
      <c r="X155" s="210"/>
      <c r="Y155" s="236"/>
      <c r="Z155" s="11"/>
      <c r="AB155" s="221" t="s">
        <v>141</v>
      </c>
      <c r="AC155" s="331"/>
      <c r="AD155" s="331"/>
      <c r="AE155" s="236"/>
      <c r="AF155" s="210" t="n">
        <f aca="false">AF154-AH154</f>
        <v>5000</v>
      </c>
      <c r="AG155" s="210"/>
      <c r="AH155" s="236"/>
      <c r="AI155" s="11"/>
    </row>
    <row r="156" customFormat="false" ht="17.35" hidden="false" customHeight="false" outlineLevel="0" collapsed="false">
      <c r="A156" s="221"/>
      <c r="B156" s="331"/>
      <c r="C156" s="331"/>
      <c r="D156" s="236"/>
      <c r="E156" s="331"/>
      <c r="F156" s="236"/>
      <c r="G156" s="236"/>
      <c r="H156" s="11"/>
      <c r="J156" s="221"/>
      <c r="K156" s="331"/>
      <c r="L156" s="331"/>
      <c r="M156" s="236"/>
      <c r="N156" s="331"/>
      <c r="O156" s="236"/>
      <c r="P156" s="236"/>
      <c r="Q156" s="11"/>
      <c r="S156" s="221"/>
      <c r="T156" s="331"/>
      <c r="U156" s="331"/>
      <c r="V156" s="236"/>
      <c r="W156" s="331"/>
      <c r="X156" s="236"/>
      <c r="Y156" s="236"/>
      <c r="Z156" s="11"/>
      <c r="AB156" s="221"/>
      <c r="AC156" s="331"/>
      <c r="AD156" s="331"/>
      <c r="AE156" s="236"/>
      <c r="AF156" s="331"/>
      <c r="AG156" s="236"/>
      <c r="AH156" s="236"/>
      <c r="AI156" s="11"/>
    </row>
    <row r="157" customFormat="false" ht="17.35" hidden="false" customHeight="false" outlineLevel="0" collapsed="false">
      <c r="A157" s="238" t="s">
        <v>245</v>
      </c>
      <c r="B157" s="239"/>
      <c r="C157" s="239"/>
      <c r="D157" s="262"/>
      <c r="E157" s="239"/>
      <c r="F157" s="262"/>
      <c r="G157" s="317" t="n">
        <f aca="false">A114</f>
        <v>0</v>
      </c>
      <c r="H157" s="317"/>
      <c r="J157" s="238" t="s">
        <v>245</v>
      </c>
      <c r="K157" s="239"/>
      <c r="L157" s="239"/>
      <c r="M157" s="262"/>
      <c r="N157" s="239"/>
      <c r="O157" s="262"/>
      <c r="P157" s="317" t="n">
        <f aca="false">J114</f>
        <v>1000</v>
      </c>
      <c r="Q157" s="317"/>
      <c r="S157" s="238" t="s">
        <v>245</v>
      </c>
      <c r="T157" s="239"/>
      <c r="U157" s="239"/>
      <c r="V157" s="262"/>
      <c r="W157" s="239"/>
      <c r="X157" s="262"/>
      <c r="Y157" s="317" t="n">
        <f aca="false">S114</f>
        <v>1000</v>
      </c>
      <c r="Z157" s="317"/>
      <c r="AB157" s="238" t="s">
        <v>245</v>
      </c>
      <c r="AC157" s="239"/>
      <c r="AD157" s="239"/>
      <c r="AE157" s="262"/>
      <c r="AF157" s="239"/>
      <c r="AG157" s="262"/>
      <c r="AH157" s="317" t="n">
        <f aca="false">AB114</f>
        <v>1000</v>
      </c>
      <c r="AI157" s="317"/>
    </row>
    <row r="158" customFormat="false" ht="19.7" hidden="false" customHeight="false" outlineLevel="0" collapsed="false">
      <c r="A158" s="318" t="s">
        <v>246</v>
      </c>
      <c r="B158" s="331"/>
      <c r="C158" s="331"/>
      <c r="D158" s="342"/>
      <c r="E158" s="331"/>
      <c r="F158" s="342"/>
      <c r="G158" s="319" t="n">
        <f aca="false">H147-G154-G157</f>
        <v>58525</v>
      </c>
      <c r="H158" s="319"/>
      <c r="J158" s="318" t="s">
        <v>246</v>
      </c>
      <c r="K158" s="331"/>
      <c r="L158" s="331"/>
      <c r="M158" s="342"/>
      <c r="N158" s="331"/>
      <c r="O158" s="342"/>
      <c r="P158" s="319" t="n">
        <f aca="false">Q147-P154-P157</f>
        <v>37655</v>
      </c>
      <c r="Q158" s="319"/>
      <c r="S158" s="318" t="s">
        <v>246</v>
      </c>
      <c r="T158" s="331"/>
      <c r="U158" s="331"/>
      <c r="V158" s="342"/>
      <c r="W158" s="331"/>
      <c r="X158" s="342"/>
      <c r="Y158" s="319" t="n">
        <f aca="false">Z147-Y154-Y157</f>
        <v>45468.749</v>
      </c>
      <c r="Z158" s="319"/>
      <c r="AB158" s="318" t="s">
        <v>246</v>
      </c>
      <c r="AC158" s="331"/>
      <c r="AD158" s="331"/>
      <c r="AE158" s="342"/>
      <c r="AF158" s="331"/>
      <c r="AG158" s="342"/>
      <c r="AH158" s="319" t="n">
        <f aca="false">AI147-AH154-AH157</f>
        <v>45468.749</v>
      </c>
      <c r="AI158" s="319"/>
    </row>
    <row r="159" customFormat="false" ht="17.35" hidden="false" customHeight="false" outlineLevel="0" collapsed="false">
      <c r="A159" s="249" t="s">
        <v>52</v>
      </c>
      <c r="B159" s="250"/>
      <c r="C159" s="250"/>
      <c r="D159" s="278"/>
      <c r="E159" s="250"/>
      <c r="F159" s="278"/>
      <c r="G159" s="320" t="str">
        <f aca="false">B114</f>
        <v>199.99</v>
      </c>
      <c r="H159" s="320"/>
      <c r="J159" s="249" t="s">
        <v>52</v>
      </c>
      <c r="K159" s="250"/>
      <c r="L159" s="250"/>
      <c r="M159" s="278"/>
      <c r="N159" s="250"/>
      <c r="O159" s="278"/>
      <c r="P159" s="320" t="n">
        <f aca="false">K114</f>
        <v>239.99</v>
      </c>
      <c r="Q159" s="320"/>
      <c r="S159" s="249" t="s">
        <v>52</v>
      </c>
      <c r="T159" s="250"/>
      <c r="U159" s="250"/>
      <c r="V159" s="278"/>
      <c r="W159" s="250"/>
      <c r="X159" s="278"/>
      <c r="Y159" s="320" t="n">
        <f aca="false">T114</f>
        <v>199.99</v>
      </c>
      <c r="Z159" s="320"/>
      <c r="AB159" s="249" t="s">
        <v>52</v>
      </c>
      <c r="AC159" s="250"/>
      <c r="AD159" s="250"/>
      <c r="AE159" s="278"/>
      <c r="AF159" s="250"/>
      <c r="AG159" s="278"/>
      <c r="AH159" s="320" t="n">
        <f aca="false">AC114</f>
        <v>239.99</v>
      </c>
      <c r="AI159" s="320"/>
    </row>
    <row r="160" customFormat="false" ht="17.35" hidden="false" customHeight="false" outlineLevel="0" collapsed="false">
      <c r="A160" s="221"/>
      <c r="B160" s="331"/>
      <c r="C160" s="331"/>
      <c r="D160" s="331"/>
      <c r="E160" s="236"/>
      <c r="F160" s="236"/>
      <c r="G160" s="236"/>
      <c r="H160" s="11"/>
      <c r="J160" s="221"/>
      <c r="K160" s="331"/>
      <c r="L160" s="331"/>
      <c r="M160" s="331"/>
      <c r="N160" s="236"/>
      <c r="O160" s="236"/>
      <c r="P160" s="236"/>
      <c r="Q160" s="11"/>
      <c r="S160" s="221"/>
      <c r="T160" s="331"/>
      <c r="U160" s="331"/>
      <c r="V160" s="331"/>
      <c r="W160" s="236"/>
      <c r="X160" s="236"/>
      <c r="Y160" s="236"/>
      <c r="Z160" s="11"/>
      <c r="AB160" s="221"/>
      <c r="AC160" s="331"/>
      <c r="AD160" s="331"/>
      <c r="AE160" s="331"/>
      <c r="AF160" s="236"/>
      <c r="AG160" s="236"/>
      <c r="AH160" s="236"/>
      <c r="AI160" s="11"/>
    </row>
    <row r="161" customFormat="false" ht="17.35" hidden="false" customHeight="false" outlineLevel="0" collapsed="false">
      <c r="A161" s="221"/>
      <c r="B161" s="331"/>
      <c r="C161" s="331"/>
      <c r="D161" s="331"/>
      <c r="E161" s="236"/>
      <c r="F161" s="236"/>
      <c r="G161" s="236"/>
      <c r="H161" s="11"/>
      <c r="J161" s="221"/>
      <c r="K161" s="331"/>
      <c r="L161" s="331"/>
      <c r="M161" s="331"/>
      <c r="N161" s="236"/>
      <c r="O161" s="236"/>
      <c r="P161" s="236"/>
      <c r="Q161" s="11"/>
      <c r="S161" s="221"/>
      <c r="T161" s="331"/>
      <c r="U161" s="331"/>
      <c r="V161" s="331"/>
      <c r="W161" s="236"/>
      <c r="X161" s="236"/>
      <c r="Y161" s="236"/>
      <c r="Z161" s="11"/>
      <c r="AB161" s="221"/>
      <c r="AC161" s="331"/>
      <c r="AD161" s="331"/>
      <c r="AE161" s="331"/>
      <c r="AF161" s="236"/>
      <c r="AG161" s="236"/>
      <c r="AH161" s="236"/>
      <c r="AI161" s="11"/>
    </row>
    <row r="162" customFormat="false" ht="22.05" hidden="false" customHeight="false" outlineLevel="0" collapsed="false">
      <c r="A162" s="240" t="s">
        <v>247</v>
      </c>
      <c r="B162" s="240"/>
      <c r="C162" s="240"/>
      <c r="D162" s="240"/>
      <c r="E162" s="240"/>
      <c r="F162" s="240"/>
      <c r="G162" s="240"/>
      <c r="H162" s="240"/>
      <c r="J162" s="240" t="s">
        <v>247</v>
      </c>
      <c r="K162" s="240"/>
      <c r="L162" s="240"/>
      <c r="M162" s="240"/>
      <c r="N162" s="240"/>
      <c r="O162" s="240"/>
      <c r="P162" s="240"/>
      <c r="Q162" s="240"/>
      <c r="S162" s="240" t="s">
        <v>247</v>
      </c>
      <c r="T162" s="240"/>
      <c r="U162" s="240"/>
      <c r="V162" s="240"/>
      <c r="W162" s="240"/>
      <c r="X162" s="240"/>
      <c r="Y162" s="240"/>
      <c r="Z162" s="240"/>
      <c r="AB162" s="240" t="s">
        <v>247</v>
      </c>
      <c r="AC162" s="240"/>
      <c r="AD162" s="240"/>
      <c r="AE162" s="240"/>
      <c r="AF162" s="240"/>
      <c r="AG162" s="240"/>
      <c r="AH162" s="240"/>
      <c r="AI162" s="240"/>
    </row>
    <row r="163" customFormat="false" ht="17.35" hidden="false" customHeight="false" outlineLevel="0" collapsed="false">
      <c r="A163" s="221"/>
      <c r="B163" s="331"/>
      <c r="C163" s="331"/>
      <c r="D163" s="331"/>
      <c r="E163" s="236"/>
      <c r="F163" s="236"/>
      <c r="G163" s="236"/>
      <c r="H163" s="11"/>
      <c r="J163" s="221"/>
      <c r="K163" s="331"/>
      <c r="L163" s="331"/>
      <c r="M163" s="331"/>
      <c r="N163" s="236"/>
      <c r="O163" s="236"/>
      <c r="P163" s="236"/>
      <c r="Q163" s="11"/>
      <c r="S163" s="221"/>
      <c r="T163" s="331"/>
      <c r="U163" s="331"/>
      <c r="V163" s="331"/>
      <c r="W163" s="236"/>
      <c r="X163" s="236"/>
      <c r="Y163" s="236"/>
      <c r="Z163" s="11"/>
      <c r="AB163" s="221"/>
      <c r="AC163" s="331"/>
      <c r="AD163" s="331"/>
      <c r="AE163" s="331"/>
      <c r="AF163" s="236"/>
      <c r="AG163" s="236"/>
      <c r="AH163" s="236"/>
      <c r="AI163" s="11"/>
    </row>
    <row r="164" customFormat="false" ht="17.35" hidden="false" customHeight="false" outlineLevel="0" collapsed="false">
      <c r="A164" s="221" t="s">
        <v>145</v>
      </c>
      <c r="B164" s="117" t="n">
        <v>0</v>
      </c>
      <c r="C164" s="117"/>
      <c r="D164" s="331"/>
      <c r="E164" s="236"/>
      <c r="F164" s="236"/>
      <c r="G164" s="236"/>
      <c r="H164" s="11"/>
      <c r="J164" s="221" t="s">
        <v>145</v>
      </c>
      <c r="K164" s="117" t="n">
        <v>0</v>
      </c>
      <c r="L164" s="117"/>
      <c r="M164" s="331"/>
      <c r="N164" s="236"/>
      <c r="O164" s="236"/>
      <c r="P164" s="236"/>
      <c r="Q164" s="11"/>
      <c r="S164" s="221" t="s">
        <v>145</v>
      </c>
      <c r="T164" s="117" t="n">
        <v>0</v>
      </c>
      <c r="U164" s="117"/>
      <c r="V164" s="331"/>
      <c r="W164" s="236"/>
      <c r="X164" s="236"/>
      <c r="Y164" s="236"/>
      <c r="Z164" s="11"/>
      <c r="AB164" s="221" t="s">
        <v>145</v>
      </c>
      <c r="AC164" s="117" t="n">
        <v>0</v>
      </c>
      <c r="AD164" s="117"/>
      <c r="AE164" s="331"/>
      <c r="AF164" s="236"/>
      <c r="AG164" s="236"/>
      <c r="AH164" s="236"/>
      <c r="AI164" s="11"/>
    </row>
    <row r="165" customFormat="false" ht="17.35" hidden="false" customHeight="false" outlineLevel="0" collapsed="false">
      <c r="A165" s="221"/>
      <c r="B165" s="331"/>
      <c r="C165" s="331"/>
      <c r="D165" s="331"/>
      <c r="E165" s="236"/>
      <c r="F165" s="236"/>
      <c r="G165" s="236"/>
      <c r="H165" s="11"/>
      <c r="J165" s="221"/>
      <c r="K165" s="331"/>
      <c r="L165" s="331"/>
      <c r="M165" s="331"/>
      <c r="N165" s="236"/>
      <c r="O165" s="236"/>
      <c r="P165" s="236"/>
      <c r="Q165" s="11"/>
      <c r="S165" s="221"/>
      <c r="T165" s="331"/>
      <c r="U165" s="331"/>
      <c r="V165" s="331"/>
      <c r="W165" s="236"/>
      <c r="X165" s="236"/>
      <c r="Y165" s="236"/>
      <c r="Z165" s="11"/>
      <c r="AB165" s="221"/>
      <c r="AC165" s="331"/>
      <c r="AD165" s="331"/>
      <c r="AE165" s="331"/>
      <c r="AF165" s="236"/>
      <c r="AG165" s="236"/>
      <c r="AH165" s="236"/>
      <c r="AI165" s="11"/>
    </row>
    <row r="166" customFormat="false" ht="17.35" hidden="false" customHeight="false" outlineLevel="0" collapsed="false">
      <c r="A166" s="321" t="s">
        <v>248</v>
      </c>
      <c r="B166" s="361" t="s">
        <v>249</v>
      </c>
      <c r="C166" s="361"/>
      <c r="D166" s="361"/>
      <c r="E166" s="361" t="s">
        <v>250</v>
      </c>
      <c r="F166" s="236"/>
      <c r="G166" s="236"/>
      <c r="H166" s="11"/>
      <c r="J166" s="321" t="s">
        <v>248</v>
      </c>
      <c r="K166" s="361" t="s">
        <v>249</v>
      </c>
      <c r="L166" s="361"/>
      <c r="M166" s="361"/>
      <c r="N166" s="361" t="s">
        <v>250</v>
      </c>
      <c r="O166" s="236"/>
      <c r="P166" s="236"/>
      <c r="Q166" s="11"/>
      <c r="S166" s="321" t="s">
        <v>248</v>
      </c>
      <c r="T166" s="361" t="s">
        <v>249</v>
      </c>
      <c r="U166" s="361"/>
      <c r="V166" s="361"/>
      <c r="W166" s="361" t="s">
        <v>250</v>
      </c>
      <c r="X166" s="236"/>
      <c r="Y166" s="236"/>
      <c r="Z166" s="11"/>
      <c r="AB166" s="321" t="s">
        <v>248</v>
      </c>
      <c r="AC166" s="361" t="s">
        <v>249</v>
      </c>
      <c r="AD166" s="361"/>
      <c r="AE166" s="361"/>
      <c r="AF166" s="361" t="s">
        <v>250</v>
      </c>
      <c r="AG166" s="236"/>
      <c r="AH166" s="236"/>
      <c r="AI166" s="11"/>
    </row>
    <row r="167" customFormat="false" ht="17.35" hidden="false" customHeight="false" outlineLevel="0" collapsed="false">
      <c r="A167" s="323" t="n">
        <f aca="false">B95</f>
        <v>1218.7621911032</v>
      </c>
      <c r="B167" s="214" t="str">
        <f aca="false">B94</f>
        <v>0</v>
      </c>
      <c r="C167" s="361"/>
      <c r="D167" s="361"/>
      <c r="E167" s="214" t="n">
        <f aca="false">B96</f>
        <v>1218.7621911032</v>
      </c>
      <c r="F167" s="236"/>
      <c r="G167" s="236"/>
      <c r="H167" s="11"/>
      <c r="J167" s="323" t="n">
        <f aca="false">K95</f>
        <v>1477.31306457009</v>
      </c>
      <c r="K167" s="214" t="n">
        <f aca="false">K94</f>
        <v>0</v>
      </c>
      <c r="L167" s="361"/>
      <c r="M167" s="361"/>
      <c r="N167" s="214" t="n">
        <f aca="false">K96</f>
        <v>1477.31306457009</v>
      </c>
      <c r="O167" s="236"/>
      <c r="P167" s="236"/>
      <c r="Q167" s="11"/>
      <c r="S167" s="323" t="n">
        <f aca="false">T95</f>
        <v>927.687248290581</v>
      </c>
      <c r="T167" s="214" t="n">
        <f aca="false">T94</f>
        <v>0</v>
      </c>
      <c r="U167" s="361"/>
      <c r="V167" s="361"/>
      <c r="W167" s="214" t="n">
        <f aca="false">T96</f>
        <v>927.687248290581</v>
      </c>
      <c r="X167" s="236"/>
      <c r="Y167" s="236"/>
      <c r="Z167" s="11"/>
      <c r="AB167" s="323" t="n">
        <f aca="false">AC95</f>
        <v>927.687248290581</v>
      </c>
      <c r="AC167" s="214" t="n">
        <f aca="false">AC94</f>
        <v>0</v>
      </c>
      <c r="AD167" s="361"/>
      <c r="AE167" s="361"/>
      <c r="AF167" s="214" t="n">
        <f aca="false">AC96</f>
        <v>927.687248290581</v>
      </c>
      <c r="AG167" s="236"/>
      <c r="AH167" s="236"/>
      <c r="AI167" s="11"/>
    </row>
    <row r="168" customFormat="false" ht="17.35" hidden="false" customHeight="false" outlineLevel="0" collapsed="false">
      <c r="A168" s="221"/>
      <c r="B168" s="331"/>
      <c r="C168" s="331"/>
      <c r="D168" s="331"/>
      <c r="E168" s="236"/>
      <c r="F168" s="236"/>
      <c r="G168" s="236"/>
      <c r="H168" s="11"/>
      <c r="J168" s="221"/>
      <c r="K168" s="331"/>
      <c r="L168" s="331"/>
      <c r="M168" s="331"/>
      <c r="N168" s="236"/>
      <c r="O168" s="236"/>
      <c r="P168" s="236"/>
      <c r="Q168" s="11"/>
      <c r="S168" s="221"/>
      <c r="T168" s="331"/>
      <c r="U168" s="331"/>
      <c r="V168" s="331"/>
      <c r="W168" s="236"/>
      <c r="X168" s="236"/>
      <c r="Y168" s="236"/>
      <c r="Z168" s="11"/>
      <c r="AB168" s="221"/>
      <c r="AC168" s="331"/>
      <c r="AD168" s="331"/>
      <c r="AE168" s="331"/>
      <c r="AF168" s="236"/>
      <c r="AG168" s="236"/>
      <c r="AH168" s="236"/>
      <c r="AI168" s="11"/>
    </row>
    <row r="169" customFormat="false" ht="17.35" hidden="false" customHeight="false" outlineLevel="0" collapsed="false">
      <c r="A169" s="221" t="s">
        <v>81</v>
      </c>
      <c r="B169" s="331" t="s">
        <v>82</v>
      </c>
      <c r="C169" s="331"/>
      <c r="D169" s="236"/>
      <c r="E169" s="331" t="s">
        <v>251</v>
      </c>
      <c r="F169" s="236"/>
      <c r="G169" s="236"/>
      <c r="H169" s="11"/>
      <c r="J169" s="221" t="s">
        <v>81</v>
      </c>
      <c r="K169" s="331" t="s">
        <v>82</v>
      </c>
      <c r="L169" s="331"/>
      <c r="M169" s="236"/>
      <c r="N169" s="331" t="s">
        <v>251</v>
      </c>
      <c r="O169" s="236"/>
      <c r="P169" s="236"/>
      <c r="Q169" s="11"/>
      <c r="S169" s="221" t="s">
        <v>81</v>
      </c>
      <c r="T169" s="331" t="s">
        <v>82</v>
      </c>
      <c r="U169" s="331"/>
      <c r="V169" s="236"/>
      <c r="W169" s="331" t="s">
        <v>251</v>
      </c>
      <c r="X169" s="236"/>
      <c r="Y169" s="236"/>
      <c r="Z169" s="11"/>
      <c r="AB169" s="221" t="s">
        <v>81</v>
      </c>
      <c r="AC169" s="331" t="s">
        <v>82</v>
      </c>
      <c r="AD169" s="331"/>
      <c r="AE169" s="236"/>
      <c r="AF169" s="331" t="s">
        <v>251</v>
      </c>
      <c r="AG169" s="236"/>
      <c r="AH169" s="236"/>
      <c r="AI169" s="11"/>
    </row>
    <row r="170" customFormat="false" ht="17.35" hidden="false" customHeight="false" outlineLevel="0" collapsed="false">
      <c r="A170" s="324" t="n">
        <f aca="false">K29</f>
        <v>36</v>
      </c>
      <c r="B170" s="118" t="n">
        <f aca="false">K30</f>
        <v>10000</v>
      </c>
      <c r="C170" s="362"/>
      <c r="D170" s="236"/>
      <c r="E170" s="60" t="n">
        <f aca="false">IF(A111="YES", A40, 0)</f>
        <v>27500</v>
      </c>
      <c r="F170" s="236"/>
      <c r="G170" s="236"/>
      <c r="H170" s="11"/>
      <c r="J170" s="324" t="n">
        <f aca="false">K29</f>
        <v>36</v>
      </c>
      <c r="K170" s="161" t="n">
        <f aca="false">K30</f>
        <v>10000</v>
      </c>
      <c r="L170" s="362"/>
      <c r="M170" s="236"/>
      <c r="N170" s="60" t="n">
        <f aca="false">IF(A111="YES", A40, 0)</f>
        <v>27500</v>
      </c>
      <c r="O170" s="236"/>
      <c r="P170" s="236"/>
      <c r="Q170" s="11"/>
      <c r="S170" s="324" t="n">
        <f aca="false">K29</f>
        <v>36</v>
      </c>
      <c r="T170" s="161" t="n">
        <f aca="false">K30</f>
        <v>10000</v>
      </c>
      <c r="U170" s="362"/>
      <c r="V170" s="236"/>
      <c r="W170" s="60" t="n">
        <f aca="false">IF(A111="YES", A40, 0)</f>
        <v>27500</v>
      </c>
      <c r="X170" s="236"/>
      <c r="Y170" s="236"/>
      <c r="Z170" s="11"/>
      <c r="AB170" s="324" t="n">
        <f aca="false">K29</f>
        <v>36</v>
      </c>
      <c r="AC170" s="161" t="n">
        <f aca="false">K30</f>
        <v>10000</v>
      </c>
      <c r="AD170" s="362"/>
      <c r="AE170" s="236"/>
      <c r="AF170" s="60" t="n">
        <f aca="false">IF(A111="YES", A40, 0)</f>
        <v>27500</v>
      </c>
      <c r="AG170" s="236"/>
      <c r="AH170" s="236"/>
      <c r="AI170" s="11"/>
    </row>
    <row r="171" customFormat="false" ht="17.35" hidden="false" customHeight="false" outlineLevel="0" collapsed="false">
      <c r="A171" s="221"/>
      <c r="B171" s="331"/>
      <c r="C171" s="331"/>
      <c r="D171" s="236"/>
      <c r="E171" s="331"/>
      <c r="F171" s="236"/>
      <c r="G171" s="236"/>
      <c r="H171" s="11"/>
      <c r="J171" s="221"/>
      <c r="K171" s="331"/>
      <c r="L171" s="331"/>
      <c r="M171" s="236"/>
      <c r="N171" s="331"/>
      <c r="O171" s="236"/>
      <c r="P171" s="236"/>
      <c r="Q171" s="11"/>
      <c r="S171" s="221"/>
      <c r="T171" s="331"/>
      <c r="U171" s="331"/>
      <c r="V171" s="236"/>
      <c r="W171" s="331"/>
      <c r="X171" s="236"/>
      <c r="Y171" s="236"/>
      <c r="Z171" s="11"/>
      <c r="AB171" s="221"/>
      <c r="AC171" s="331"/>
      <c r="AD171" s="331"/>
      <c r="AE171" s="236"/>
      <c r="AF171" s="331"/>
      <c r="AG171" s="236"/>
      <c r="AH171" s="236"/>
      <c r="AI171" s="11"/>
    </row>
    <row r="172" customFormat="false" ht="17.35" hidden="false" customHeight="false" outlineLevel="0" collapsed="false">
      <c r="A172" s="221" t="s">
        <v>252</v>
      </c>
      <c r="B172" s="331" t="s">
        <v>253</v>
      </c>
      <c r="C172" s="331"/>
      <c r="D172" s="236"/>
      <c r="E172" s="331" t="s">
        <v>254</v>
      </c>
      <c r="F172" s="236"/>
      <c r="G172" s="236"/>
      <c r="H172" s="11"/>
      <c r="J172" s="221" t="s">
        <v>252</v>
      </c>
      <c r="K172" s="331" t="s">
        <v>253</v>
      </c>
      <c r="L172" s="331"/>
      <c r="M172" s="236"/>
      <c r="N172" s="331" t="s">
        <v>254</v>
      </c>
      <c r="O172" s="236"/>
      <c r="P172" s="236"/>
      <c r="Q172" s="11"/>
      <c r="S172" s="221" t="s">
        <v>252</v>
      </c>
      <c r="T172" s="331" t="s">
        <v>253</v>
      </c>
      <c r="U172" s="331"/>
      <c r="V172" s="236"/>
      <c r="W172" s="331" t="s">
        <v>254</v>
      </c>
      <c r="X172" s="236"/>
      <c r="Y172" s="236"/>
      <c r="Z172" s="11"/>
      <c r="AB172" s="221" t="s">
        <v>252</v>
      </c>
      <c r="AC172" s="331" t="s">
        <v>253</v>
      </c>
      <c r="AD172" s="331"/>
      <c r="AE172" s="236"/>
      <c r="AF172" s="331" t="s">
        <v>254</v>
      </c>
      <c r="AG172" s="236"/>
      <c r="AH172" s="236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5" t="n">
        <f aca="false">H137</f>
        <v>9647.5</v>
      </c>
      <c r="C173" s="363"/>
      <c r="D173" s="236"/>
      <c r="E173" s="60" t="n">
        <f aca="false">H139+H140</f>
        <v>640</v>
      </c>
      <c r="F173" s="236"/>
      <c r="G173" s="236"/>
      <c r="H173" s="11"/>
      <c r="J173" s="125" t="n">
        <f aca="false">Q141-Q137-Q139-Q140</f>
        <v>30012.5</v>
      </c>
      <c r="K173" s="215" t="n">
        <f aca="false">Q137</f>
        <v>6002.5</v>
      </c>
      <c r="L173" s="363"/>
      <c r="M173" s="236"/>
      <c r="N173" s="60" t="n">
        <f aca="false">Q139+Q140</f>
        <v>640</v>
      </c>
      <c r="O173" s="236"/>
      <c r="P173" s="236"/>
      <c r="Q173" s="11"/>
      <c r="S173" s="125" t="n">
        <f aca="false">Z141-Z137-Z139-Z140</f>
        <v>36523.9575</v>
      </c>
      <c r="T173" s="215" t="n">
        <f aca="false">Z137</f>
        <v>7304.7915</v>
      </c>
      <c r="U173" s="363"/>
      <c r="V173" s="236"/>
      <c r="W173" s="60" t="n">
        <f aca="false">Z139+Z140</f>
        <v>640</v>
      </c>
      <c r="X173" s="236"/>
      <c r="Y173" s="236"/>
      <c r="Z173" s="11"/>
      <c r="AB173" s="125" t="n">
        <f aca="false">AI141-AI137-AI139-AI140</f>
        <v>36523.9575</v>
      </c>
      <c r="AC173" s="215" t="n">
        <f aca="false">AI137</f>
        <v>7304.7915</v>
      </c>
      <c r="AD173" s="363"/>
      <c r="AE173" s="236"/>
      <c r="AF173" s="60" t="n">
        <f aca="false">AI139+AI140</f>
        <v>640</v>
      </c>
      <c r="AG173" s="236"/>
      <c r="AH173" s="236"/>
      <c r="AI173" s="11"/>
    </row>
    <row r="174" customFormat="false" ht="17.35" hidden="false" customHeight="false" outlineLevel="0" collapsed="false">
      <c r="A174" s="221"/>
      <c r="B174" s="331"/>
      <c r="C174" s="331"/>
      <c r="D174" s="236"/>
      <c r="E174" s="331"/>
      <c r="F174" s="236"/>
      <c r="G174" s="236"/>
      <c r="H174" s="11"/>
      <c r="J174" s="221"/>
      <c r="K174" s="331"/>
      <c r="L174" s="331"/>
      <c r="M174" s="236"/>
      <c r="N174" s="331"/>
      <c r="O174" s="236"/>
      <c r="P174" s="236"/>
      <c r="Q174" s="11"/>
      <c r="S174" s="221"/>
      <c r="T174" s="331"/>
      <c r="U174" s="331"/>
      <c r="V174" s="236"/>
      <c r="W174" s="331"/>
      <c r="X174" s="236"/>
      <c r="Y174" s="236"/>
      <c r="Z174" s="11"/>
      <c r="AB174" s="221"/>
      <c r="AC174" s="331"/>
      <c r="AD174" s="331"/>
      <c r="AE174" s="236"/>
      <c r="AF174" s="331"/>
      <c r="AG174" s="236"/>
      <c r="AH174" s="236"/>
      <c r="AI174" s="11"/>
    </row>
    <row r="175" customFormat="false" ht="17.35" hidden="false" customHeight="false" outlineLevel="0" collapsed="false">
      <c r="A175" s="221" t="s">
        <v>255</v>
      </c>
      <c r="B175" s="331" t="s">
        <v>142</v>
      </c>
      <c r="C175" s="331"/>
      <c r="D175" s="236"/>
      <c r="E175" s="331" t="s">
        <v>231</v>
      </c>
      <c r="F175" s="236"/>
      <c r="G175" s="236"/>
      <c r="H175" s="11"/>
      <c r="J175" s="221" t="s">
        <v>255</v>
      </c>
      <c r="K175" s="331" t="s">
        <v>142</v>
      </c>
      <c r="L175" s="331"/>
      <c r="M175" s="236"/>
      <c r="N175" s="331" t="s">
        <v>231</v>
      </c>
      <c r="O175" s="236"/>
      <c r="P175" s="236"/>
      <c r="Q175" s="11"/>
      <c r="S175" s="221" t="s">
        <v>255</v>
      </c>
      <c r="T175" s="331" t="s">
        <v>142</v>
      </c>
      <c r="U175" s="331"/>
      <c r="V175" s="236"/>
      <c r="W175" s="331" t="s">
        <v>231</v>
      </c>
      <c r="X175" s="236"/>
      <c r="Y175" s="236"/>
      <c r="Z175" s="11"/>
      <c r="AB175" s="221" t="s">
        <v>255</v>
      </c>
      <c r="AC175" s="331" t="s">
        <v>142</v>
      </c>
      <c r="AD175" s="331"/>
      <c r="AE175" s="236"/>
      <c r="AF175" s="331" t="s">
        <v>231</v>
      </c>
      <c r="AG175" s="236"/>
      <c r="AH175" s="236"/>
      <c r="AI175" s="11"/>
    </row>
    <row r="176" customFormat="false" ht="17.35" hidden="false" customHeight="false" outlineLevel="0" collapsed="false">
      <c r="A176" s="125" t="n">
        <f aca="false">H147</f>
        <v>58525</v>
      </c>
      <c r="B176" s="215" t="n">
        <f aca="false">B111</f>
        <v>0</v>
      </c>
      <c r="C176" s="215"/>
      <c r="D176" s="236"/>
      <c r="E176" s="215" t="n">
        <f aca="false">E111</f>
        <v>0</v>
      </c>
      <c r="F176" s="236"/>
      <c r="G176" s="236"/>
      <c r="H176" s="130"/>
      <c r="J176" s="125" t="n">
        <f aca="false">Q141</f>
        <v>36655</v>
      </c>
      <c r="K176" s="215" t="n">
        <f aca="false">K111</f>
        <v>1000</v>
      </c>
      <c r="L176" s="215"/>
      <c r="M176" s="236"/>
      <c r="N176" s="215" t="n">
        <f aca="false">N111</f>
        <v>0</v>
      </c>
      <c r="O176" s="236"/>
      <c r="P176" s="236"/>
      <c r="Q176" s="130"/>
      <c r="S176" s="125" t="n">
        <f aca="false">Z141</f>
        <v>44468.749</v>
      </c>
      <c r="T176" s="215" t="n">
        <f aca="false">T111</f>
        <v>1000</v>
      </c>
      <c r="U176" s="215"/>
      <c r="V176" s="236"/>
      <c r="W176" s="215" t="n">
        <f aca="false">W111</f>
        <v>0</v>
      </c>
      <c r="X176" s="236"/>
      <c r="Y176" s="236"/>
      <c r="Z176" s="130"/>
      <c r="AB176" s="125" t="n">
        <f aca="false">AI141</f>
        <v>44468.749</v>
      </c>
      <c r="AC176" s="215" t="n">
        <f aca="false">AC111</f>
        <v>1000</v>
      </c>
      <c r="AD176" s="215"/>
      <c r="AE176" s="236"/>
      <c r="AF176" s="215" t="n">
        <f aca="false">AF111</f>
        <v>0</v>
      </c>
      <c r="AG176" s="236"/>
      <c r="AH176" s="236"/>
      <c r="AI176" s="130"/>
    </row>
    <row r="177" customFormat="false" ht="17.35" hidden="false" customHeight="false" outlineLevel="0" collapsed="false">
      <c r="A177" s="221"/>
      <c r="B177" s="331"/>
      <c r="C177" s="331"/>
      <c r="D177" s="236"/>
      <c r="E177" s="331"/>
      <c r="F177" s="236"/>
      <c r="G177" s="236"/>
      <c r="H177" s="11"/>
      <c r="J177" s="221"/>
      <c r="K177" s="331"/>
      <c r="L177" s="331"/>
      <c r="M177" s="236"/>
      <c r="N177" s="331"/>
      <c r="O177" s="236"/>
      <c r="P177" s="236"/>
      <c r="Q177" s="11"/>
      <c r="S177" s="221"/>
      <c r="T177" s="331"/>
      <c r="U177" s="331"/>
      <c r="V177" s="236"/>
      <c r="W177" s="331"/>
      <c r="X177" s="236"/>
      <c r="Y177" s="236"/>
      <c r="Z177" s="11"/>
      <c r="AB177" s="221"/>
      <c r="AC177" s="331"/>
      <c r="AD177" s="331"/>
      <c r="AE177" s="236"/>
      <c r="AF177" s="331"/>
      <c r="AG177" s="236"/>
      <c r="AH177" s="236"/>
      <c r="AI177" s="11"/>
    </row>
    <row r="178" customFormat="false" ht="17.35" hidden="false" customHeight="false" outlineLevel="0" collapsed="false">
      <c r="A178" s="221" t="s">
        <v>232</v>
      </c>
      <c r="B178" s="331" t="s">
        <v>138</v>
      </c>
      <c r="C178" s="331"/>
      <c r="D178" s="236"/>
      <c r="E178" s="331" t="s">
        <v>246</v>
      </c>
      <c r="F178" s="236"/>
      <c r="G178" s="236"/>
      <c r="H178" s="11"/>
      <c r="J178" s="221" t="s">
        <v>232</v>
      </c>
      <c r="K178" s="331" t="s">
        <v>138</v>
      </c>
      <c r="L178" s="331"/>
      <c r="M178" s="236"/>
      <c r="N178" s="331" t="s">
        <v>246</v>
      </c>
      <c r="O178" s="236"/>
      <c r="P178" s="236"/>
      <c r="Q178" s="11"/>
      <c r="S178" s="221" t="s">
        <v>232</v>
      </c>
      <c r="T178" s="331" t="s">
        <v>138</v>
      </c>
      <c r="U178" s="331"/>
      <c r="V178" s="236"/>
      <c r="W178" s="331" t="s">
        <v>246</v>
      </c>
      <c r="X178" s="236"/>
      <c r="Y178" s="236"/>
      <c r="Z178" s="11"/>
      <c r="AB178" s="221" t="s">
        <v>232</v>
      </c>
      <c r="AC178" s="331" t="s">
        <v>138</v>
      </c>
      <c r="AD178" s="331"/>
      <c r="AE178" s="236"/>
      <c r="AF178" s="331" t="s">
        <v>246</v>
      </c>
      <c r="AG178" s="236"/>
      <c r="AH178" s="236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5" t="n">
        <f aca="false">G154</f>
        <v>0</v>
      </c>
      <c r="C179" s="215"/>
      <c r="D179" s="236"/>
      <c r="E179" s="215" t="n">
        <f aca="false">A176-A179-B179</f>
        <v>58525</v>
      </c>
      <c r="F179" s="236"/>
      <c r="G179" s="236"/>
      <c r="H179" s="130"/>
      <c r="J179" s="129" t="n">
        <f aca="false">K176+N176</f>
        <v>1000</v>
      </c>
      <c r="K179" s="215" t="n">
        <f aca="false">P154</f>
        <v>-2000</v>
      </c>
      <c r="L179" s="215"/>
      <c r="M179" s="236"/>
      <c r="N179" s="215" t="n">
        <f aca="false">J176-J179-K179</f>
        <v>37655</v>
      </c>
      <c r="O179" s="236"/>
      <c r="P179" s="236"/>
      <c r="Q179" s="130"/>
      <c r="S179" s="129" t="n">
        <f aca="false">T176+W176</f>
        <v>1000</v>
      </c>
      <c r="T179" s="215" t="n">
        <f aca="false">Y154</f>
        <v>-2000</v>
      </c>
      <c r="U179" s="215"/>
      <c r="V179" s="236"/>
      <c r="W179" s="215" t="n">
        <f aca="false">S176-S179-T179</f>
        <v>45468.749</v>
      </c>
      <c r="X179" s="236"/>
      <c r="Y179" s="236"/>
      <c r="Z179" s="130"/>
      <c r="AB179" s="129" t="n">
        <f aca="false">AC176+AF176</f>
        <v>1000</v>
      </c>
      <c r="AC179" s="215" t="n">
        <f aca="false">AH154</f>
        <v>-2000</v>
      </c>
      <c r="AD179" s="215"/>
      <c r="AE179" s="236"/>
      <c r="AF179" s="215" t="n">
        <f aca="false">AB176-AB179-AC179</f>
        <v>45468.749</v>
      </c>
      <c r="AG179" s="236"/>
      <c r="AH179" s="236"/>
      <c r="AI179" s="130"/>
    </row>
    <row r="180" customFormat="false" ht="17.35" hidden="false" customHeight="false" outlineLevel="0" collapsed="false">
      <c r="A180" s="221"/>
      <c r="B180" s="331"/>
      <c r="C180" s="331"/>
      <c r="D180" s="236"/>
      <c r="E180" s="331"/>
      <c r="F180" s="236"/>
      <c r="G180" s="236"/>
      <c r="H180" s="11"/>
      <c r="J180" s="221"/>
      <c r="K180" s="331"/>
      <c r="L180" s="331"/>
      <c r="M180" s="236"/>
      <c r="N180" s="331"/>
      <c r="O180" s="236"/>
      <c r="P180" s="236"/>
      <c r="Q180" s="11"/>
      <c r="S180" s="221"/>
      <c r="T180" s="331"/>
      <c r="U180" s="331"/>
      <c r="V180" s="236"/>
      <c r="W180" s="331"/>
      <c r="X180" s="236"/>
      <c r="Y180" s="236"/>
      <c r="Z180" s="11"/>
      <c r="AB180" s="221"/>
      <c r="AC180" s="331"/>
      <c r="AD180" s="331"/>
      <c r="AE180" s="236"/>
      <c r="AF180" s="331"/>
      <c r="AG180" s="236"/>
      <c r="AH180" s="236"/>
      <c r="AI180" s="11"/>
    </row>
    <row r="181" customFormat="false" ht="17.35" hidden="false" customHeight="false" outlineLevel="0" collapsed="false">
      <c r="A181" s="221" t="s">
        <v>256</v>
      </c>
      <c r="B181" s="331" t="s">
        <v>52</v>
      </c>
      <c r="C181" s="331"/>
      <c r="D181" s="236"/>
      <c r="E181" s="331" t="s">
        <v>257</v>
      </c>
      <c r="F181" s="236"/>
      <c r="G181" s="236"/>
      <c r="H181" s="11"/>
      <c r="J181" s="221" t="s">
        <v>256</v>
      </c>
      <c r="K181" s="331" t="s">
        <v>52</v>
      </c>
      <c r="L181" s="331"/>
      <c r="M181" s="236"/>
      <c r="N181" s="331" t="s">
        <v>257</v>
      </c>
      <c r="O181" s="236"/>
      <c r="P181" s="236"/>
      <c r="Q181" s="11"/>
      <c r="S181" s="221" t="s">
        <v>256</v>
      </c>
      <c r="T181" s="331" t="s">
        <v>52</v>
      </c>
      <c r="U181" s="331"/>
      <c r="V181" s="236"/>
      <c r="W181" s="331" t="s">
        <v>257</v>
      </c>
      <c r="X181" s="236"/>
      <c r="Y181" s="236"/>
      <c r="Z181" s="11"/>
      <c r="AB181" s="221" t="s">
        <v>256</v>
      </c>
      <c r="AC181" s="331" t="s">
        <v>52</v>
      </c>
      <c r="AD181" s="331"/>
      <c r="AE181" s="236"/>
      <c r="AF181" s="331" t="s">
        <v>257</v>
      </c>
      <c r="AG181" s="236"/>
      <c r="AH181" s="236"/>
      <c r="AI181" s="11"/>
    </row>
    <row r="182" customFormat="false" ht="17.35" hidden="false" customHeight="false" outlineLevel="0" collapsed="false">
      <c r="A182" s="129" t="n">
        <f aca="false">(A167*B59)+E185-E179-A185</f>
        <v>11631.676688612</v>
      </c>
      <c r="B182" s="215" t="str">
        <f aca="false">B114</f>
        <v>199.99</v>
      </c>
      <c r="C182" s="215"/>
      <c r="D182" s="236"/>
      <c r="E182" s="215" t="n">
        <f aca="false">E179+A182+B182+A185</f>
        <v>70366.6666886121</v>
      </c>
      <c r="F182" s="236"/>
      <c r="G182" s="236"/>
      <c r="H182" s="130"/>
      <c r="J182" s="129" t="n">
        <f aca="false">(J167*K59)+N185-N179-J185</f>
        <v>41550.9572599531</v>
      </c>
      <c r="K182" s="215" t="n">
        <f aca="false">K114</f>
        <v>239.99</v>
      </c>
      <c r="L182" s="215"/>
      <c r="M182" s="236"/>
      <c r="N182" s="215" t="n">
        <f aca="false">N179+J182+K182+J185</f>
        <v>79465.9472599531</v>
      </c>
      <c r="O182" s="236"/>
      <c r="P182" s="236"/>
      <c r="Q182" s="130"/>
      <c r="S182" s="129" t="n">
        <f aca="false">(S167*T59)+W185-W179-S185</f>
        <v>14500.3046901703</v>
      </c>
      <c r="T182" s="215" t="n">
        <f aca="false">T114</f>
        <v>199.99</v>
      </c>
      <c r="U182" s="215"/>
      <c r="V182" s="236"/>
      <c r="W182" s="215" t="n">
        <f aca="false">W179+S182+T182+S185</f>
        <v>60179.0436901703</v>
      </c>
      <c r="X182" s="236"/>
      <c r="Y182" s="236"/>
      <c r="Z182" s="130"/>
      <c r="AB182" s="129" t="n">
        <f aca="false">(AB167*AC59)+AF185-AF179-AB185</f>
        <v>14500.3046901703</v>
      </c>
      <c r="AC182" s="215" t="n">
        <f aca="false">AC114</f>
        <v>239.99</v>
      </c>
      <c r="AD182" s="215"/>
      <c r="AE182" s="236"/>
      <c r="AF182" s="215" t="n">
        <f aca="false">AF179+AB182+AC182+AB185</f>
        <v>60219.0436901703</v>
      </c>
      <c r="AG182" s="236"/>
      <c r="AH182" s="236"/>
      <c r="AI182" s="130"/>
    </row>
    <row r="183" customFormat="false" ht="17.35" hidden="false" customHeight="false" outlineLevel="0" collapsed="false">
      <c r="A183" s="221"/>
      <c r="B183" s="331"/>
      <c r="C183" s="331"/>
      <c r="D183" s="236"/>
      <c r="E183" s="331"/>
      <c r="F183" s="236"/>
      <c r="G183" s="236"/>
      <c r="H183" s="11"/>
      <c r="J183" s="221"/>
      <c r="K183" s="331"/>
      <c r="L183" s="331"/>
      <c r="M183" s="236"/>
      <c r="N183" s="331"/>
      <c r="O183" s="236"/>
      <c r="P183" s="236"/>
      <c r="Q183" s="11"/>
      <c r="S183" s="221"/>
      <c r="T183" s="331"/>
      <c r="U183" s="331"/>
      <c r="V183" s="236"/>
      <c r="W183" s="331"/>
      <c r="X183" s="236"/>
      <c r="Y183" s="236"/>
      <c r="Z183" s="11"/>
      <c r="AB183" s="221"/>
      <c r="AC183" s="331"/>
      <c r="AD183" s="331"/>
      <c r="AE183" s="236"/>
      <c r="AF183" s="331"/>
      <c r="AG183" s="236"/>
      <c r="AH183" s="236"/>
      <c r="AI183" s="11"/>
    </row>
    <row r="184" customFormat="false" ht="17.35" hidden="false" customHeight="false" outlineLevel="0" collapsed="false">
      <c r="A184" s="221" t="s">
        <v>258</v>
      </c>
      <c r="B184" s="331" t="s">
        <v>259</v>
      </c>
      <c r="C184" s="331"/>
      <c r="D184" s="236"/>
      <c r="E184" s="331" t="s">
        <v>260</v>
      </c>
      <c r="F184" s="236"/>
      <c r="G184" s="236"/>
      <c r="H184" s="11"/>
      <c r="J184" s="221" t="s">
        <v>258</v>
      </c>
      <c r="K184" s="331" t="s">
        <v>259</v>
      </c>
      <c r="L184" s="331"/>
      <c r="M184" s="236"/>
      <c r="N184" s="331" t="s">
        <v>260</v>
      </c>
      <c r="O184" s="236"/>
      <c r="P184" s="236"/>
      <c r="Q184" s="11"/>
      <c r="S184" s="221" t="s">
        <v>258</v>
      </c>
      <c r="T184" s="331" t="s">
        <v>259</v>
      </c>
      <c r="U184" s="331"/>
      <c r="V184" s="236"/>
      <c r="W184" s="331" t="s">
        <v>260</v>
      </c>
      <c r="X184" s="236"/>
      <c r="Y184" s="236"/>
      <c r="Z184" s="11"/>
      <c r="AB184" s="221" t="s">
        <v>258</v>
      </c>
      <c r="AC184" s="331" t="s">
        <v>259</v>
      </c>
      <c r="AD184" s="331"/>
      <c r="AE184" s="236"/>
      <c r="AF184" s="331" t="s">
        <v>260</v>
      </c>
      <c r="AG184" s="236"/>
      <c r="AH184" s="236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5" t="n">
        <f aca="false">A179+B182</f>
        <v>199.99</v>
      </c>
      <c r="C185" s="215"/>
      <c r="D185" s="236"/>
      <c r="E185" s="215" t="n">
        <f aca="false">E170+A185</f>
        <v>27510</v>
      </c>
      <c r="F185" s="236"/>
      <c r="G185" s="236"/>
      <c r="H185" s="130"/>
      <c r="J185" s="129" t="n">
        <f aca="false">K60</f>
        <v>20</v>
      </c>
      <c r="K185" s="215" t="n">
        <f aca="false">J179+K182</f>
        <v>1239.99</v>
      </c>
      <c r="L185" s="215"/>
      <c r="M185" s="236"/>
      <c r="N185" s="215" t="n">
        <f aca="false">N170+J185</f>
        <v>27520</v>
      </c>
      <c r="O185" s="236"/>
      <c r="P185" s="236"/>
      <c r="Q185" s="130"/>
      <c r="S185" s="129" t="n">
        <f aca="false">T60</f>
        <v>10</v>
      </c>
      <c r="T185" s="215" t="n">
        <f aca="false">S179+T182</f>
        <v>1199.99</v>
      </c>
      <c r="U185" s="215"/>
      <c r="V185" s="236"/>
      <c r="W185" s="215" t="n">
        <f aca="false">W170+S185</f>
        <v>27510</v>
      </c>
      <c r="X185" s="236"/>
      <c r="Y185" s="236"/>
      <c r="Z185" s="130"/>
      <c r="AB185" s="129" t="n">
        <f aca="false">AC60</f>
        <v>10</v>
      </c>
      <c r="AC185" s="215" t="n">
        <f aca="false">AB179+AC182</f>
        <v>1239.99</v>
      </c>
      <c r="AD185" s="215"/>
      <c r="AE185" s="236"/>
      <c r="AF185" s="215" t="n">
        <f aca="false">AF170+AB185</f>
        <v>27510</v>
      </c>
      <c r="AG185" s="236"/>
      <c r="AH185" s="236"/>
      <c r="AI185" s="130"/>
    </row>
    <row r="186" customFormat="false" ht="17.35" hidden="false" customHeight="false" outlineLevel="0" collapsed="false">
      <c r="A186" s="221"/>
      <c r="B186" s="331"/>
      <c r="C186" s="331"/>
      <c r="D186" s="331"/>
      <c r="E186" s="236"/>
      <c r="F186" s="236"/>
      <c r="G186" s="236"/>
      <c r="H186" s="11"/>
      <c r="J186" s="221"/>
      <c r="K186" s="331"/>
      <c r="L186" s="331"/>
      <c r="M186" s="331"/>
      <c r="N186" s="236"/>
      <c r="O186" s="236"/>
      <c r="P186" s="236"/>
      <c r="Q186" s="11"/>
      <c r="S186" s="221"/>
      <c r="T186" s="331"/>
      <c r="U186" s="331"/>
      <c r="V186" s="331"/>
      <c r="W186" s="236"/>
      <c r="X186" s="12"/>
      <c r="Y186" s="12"/>
      <c r="Z186" s="11"/>
      <c r="AB186" s="221"/>
      <c r="AC186" s="331"/>
      <c r="AD186" s="331"/>
      <c r="AE186" s="331"/>
      <c r="AF186" s="236"/>
      <c r="AG186" s="236"/>
      <c r="AH186" s="236"/>
      <c r="AI186" s="11"/>
    </row>
    <row r="187" customFormat="false" ht="17.35" hidden="false" customHeight="false" outlineLevel="0" collapsed="false">
      <c r="A187" s="221" t="s">
        <v>261</v>
      </c>
      <c r="B187" s="331" t="s">
        <v>262</v>
      </c>
      <c r="C187" s="331"/>
      <c r="D187" s="331"/>
      <c r="E187" s="210" t="s">
        <v>263</v>
      </c>
      <c r="F187" s="236"/>
      <c r="G187" s="236"/>
      <c r="H187" s="11"/>
      <c r="J187" s="221" t="s">
        <v>261</v>
      </c>
      <c r="K187" s="331" t="s">
        <v>262</v>
      </c>
      <c r="L187" s="331"/>
      <c r="M187" s="331"/>
      <c r="N187" s="210" t="s">
        <v>263</v>
      </c>
      <c r="O187" s="236"/>
      <c r="P187" s="236"/>
      <c r="Q187" s="11"/>
      <c r="S187" s="221" t="s">
        <v>261</v>
      </c>
      <c r="T187" s="331" t="s">
        <v>262</v>
      </c>
      <c r="U187" s="331"/>
      <c r="V187" s="331"/>
      <c r="W187" s="210" t="s">
        <v>263</v>
      </c>
      <c r="X187" s="12"/>
      <c r="Y187" s="12"/>
      <c r="Z187" s="11"/>
      <c r="AB187" s="221" t="s">
        <v>261</v>
      </c>
      <c r="AC187" s="331" t="s">
        <v>262</v>
      </c>
      <c r="AD187" s="331"/>
      <c r="AE187" s="331"/>
      <c r="AF187" s="210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5" t="n">
        <f aca="false">(G158*B67)</f>
        <v>585.25</v>
      </c>
      <c r="C188" s="331"/>
      <c r="D188" s="331"/>
      <c r="E188" s="215" t="n">
        <f aca="false">(E40*A108)*0.1</f>
        <v>0</v>
      </c>
      <c r="F188" s="236"/>
      <c r="G188" s="236"/>
      <c r="H188" s="11"/>
      <c r="J188" s="129" t="n">
        <f aca="false">IF(N105="YES", H15*0.000002, 0)</f>
        <v>0.11705</v>
      </c>
      <c r="K188" s="215" t="n">
        <f aca="false">(P158*K67)/1.2</f>
        <v>2353.4375</v>
      </c>
      <c r="L188" s="331"/>
      <c r="M188" s="331"/>
      <c r="N188" s="215" t="n">
        <f aca="false">(E40*J108)*0.1</f>
        <v>0</v>
      </c>
      <c r="O188" s="236"/>
      <c r="P188" s="236"/>
      <c r="Q188" s="11"/>
      <c r="S188" s="129" t="n">
        <f aca="false">IF(W105="YES", Z15*0.000002, 0)</f>
        <v>0</v>
      </c>
      <c r="T188" s="215" t="n">
        <f aca="false">(Y158*T67)/1.2</f>
        <v>378.906241666667</v>
      </c>
      <c r="U188" s="331"/>
      <c r="V188" s="331"/>
      <c r="W188" s="215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5" t="n">
        <f aca="false">(AH158*AC67)/1.2</f>
        <v>378.906241666667</v>
      </c>
      <c r="AD188" s="331"/>
      <c r="AE188" s="331"/>
      <c r="AF188" s="215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5"/>
      <c r="C189" s="331"/>
      <c r="D189" s="331"/>
      <c r="E189" s="236"/>
      <c r="F189" s="236"/>
      <c r="G189" s="236"/>
      <c r="H189" s="11"/>
      <c r="J189" s="129"/>
      <c r="K189" s="215"/>
      <c r="L189" s="331"/>
      <c r="M189" s="331"/>
      <c r="N189" s="236"/>
      <c r="O189" s="236"/>
      <c r="P189" s="236"/>
      <c r="Q189" s="11"/>
      <c r="S189" s="129"/>
      <c r="T189" s="215"/>
      <c r="U189" s="331"/>
      <c r="V189" s="331"/>
      <c r="W189" s="236"/>
      <c r="X189" s="12"/>
      <c r="Y189" s="12"/>
      <c r="Z189" s="11"/>
      <c r="AB189" s="129"/>
      <c r="AC189" s="215"/>
      <c r="AD189" s="331"/>
      <c r="AE189" s="331"/>
      <c r="AF189" s="236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10" t="s">
        <v>265</v>
      </c>
      <c r="C190" s="331"/>
      <c r="D190" s="331"/>
      <c r="E190" s="210" t="s">
        <v>266</v>
      </c>
      <c r="F190" s="236"/>
      <c r="G190" s="236"/>
      <c r="H190" s="11"/>
      <c r="J190" s="131" t="s">
        <v>264</v>
      </c>
      <c r="K190" s="210" t="s">
        <v>265</v>
      </c>
      <c r="L190" s="331"/>
      <c r="M190" s="331"/>
      <c r="N190" s="210" t="s">
        <v>266</v>
      </c>
      <c r="O190" s="236"/>
      <c r="P190" s="236"/>
      <c r="Q190" s="11"/>
      <c r="S190" s="131" t="s">
        <v>264</v>
      </c>
      <c r="T190" s="210" t="s">
        <v>265</v>
      </c>
      <c r="U190" s="331"/>
      <c r="V190" s="331"/>
      <c r="W190" s="210" t="s">
        <v>266</v>
      </c>
      <c r="X190" s="12"/>
      <c r="Y190" s="12"/>
      <c r="Z190" s="11"/>
      <c r="AB190" s="131" t="s">
        <v>264</v>
      </c>
      <c r="AC190" s="210" t="s">
        <v>265</v>
      </c>
      <c r="AD190" s="331"/>
      <c r="AE190" s="331"/>
      <c r="AF190" s="210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5" t="n">
        <f aca="false">B188+E188+A191</f>
        <v>685.24</v>
      </c>
      <c r="C191" s="331"/>
      <c r="D191" s="331"/>
      <c r="E191" s="215" t="n">
        <f aca="false">H148</f>
        <v>0</v>
      </c>
      <c r="F191" s="236"/>
      <c r="G191" s="236"/>
      <c r="H191" s="11"/>
      <c r="J191" s="129" t="n">
        <f aca="false">K185-100</f>
        <v>1139.99</v>
      </c>
      <c r="K191" s="215" t="n">
        <f aca="false">K188+N188+J191</f>
        <v>3493.4275</v>
      </c>
      <c r="L191" s="331"/>
      <c r="M191" s="331"/>
      <c r="N191" s="215" t="n">
        <f aca="false">Q148</f>
        <v>-21870</v>
      </c>
      <c r="O191" s="236"/>
      <c r="P191" s="236"/>
      <c r="Q191" s="11"/>
      <c r="S191" s="129" t="n">
        <f aca="false">T185-100</f>
        <v>1099.99</v>
      </c>
      <c r="T191" s="215" t="n">
        <f aca="false">T188+W188+S191</f>
        <v>1478.89624166667</v>
      </c>
      <c r="U191" s="331"/>
      <c r="V191" s="331"/>
      <c r="W191" s="215" t="n">
        <f aca="false">Z148</f>
        <v>-14056.251</v>
      </c>
      <c r="X191" s="12"/>
      <c r="Y191" s="12"/>
      <c r="Z191" s="11"/>
      <c r="AB191" s="129" t="n">
        <f aca="false">AC185-100</f>
        <v>1139.99</v>
      </c>
      <c r="AC191" s="215" t="n">
        <f aca="false">AC188+AF188+AB191</f>
        <v>1518.89624166667</v>
      </c>
      <c r="AD191" s="331"/>
      <c r="AE191" s="331"/>
      <c r="AF191" s="215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1"/>
      <c r="B192" s="331"/>
      <c r="C192" s="331"/>
      <c r="D192" s="331"/>
      <c r="E192" s="236"/>
      <c r="F192" s="236"/>
      <c r="G192" s="236"/>
      <c r="H192" s="11"/>
      <c r="J192" s="221"/>
      <c r="K192" s="331"/>
      <c r="L192" s="331"/>
      <c r="M192" s="331"/>
      <c r="N192" s="236"/>
      <c r="O192" s="236"/>
      <c r="P192" s="236"/>
      <c r="Q192" s="11"/>
      <c r="S192" s="221"/>
      <c r="T192" s="331"/>
      <c r="U192" s="331"/>
      <c r="V192" s="331"/>
      <c r="W192" s="236"/>
      <c r="X192" s="236"/>
      <c r="Y192" s="236"/>
      <c r="Z192" s="11"/>
      <c r="AB192" s="221"/>
      <c r="AC192" s="331"/>
      <c r="AD192" s="331"/>
      <c r="AE192" s="331"/>
      <c r="AF192" s="236"/>
      <c r="AG192" s="236"/>
      <c r="AH192" s="236"/>
      <c r="AI192" s="11"/>
    </row>
    <row r="193" customFormat="false" ht="17.35" hidden="false" customHeight="false" outlineLevel="0" collapsed="false">
      <c r="A193" s="254" t="s">
        <v>267</v>
      </c>
      <c r="B193" s="331"/>
      <c r="C193" s="331"/>
      <c r="D193" s="255"/>
      <c r="E193" s="255"/>
      <c r="F193" s="255"/>
      <c r="G193" s="255"/>
      <c r="H193" s="256"/>
      <c r="J193" s="254" t="s">
        <v>267</v>
      </c>
      <c r="K193" s="331"/>
      <c r="L193" s="331"/>
      <c r="M193" s="255"/>
      <c r="N193" s="255"/>
      <c r="O193" s="255"/>
      <c r="P193" s="255"/>
      <c r="Q193" s="256"/>
      <c r="S193" s="254" t="s">
        <v>267</v>
      </c>
      <c r="T193" s="331"/>
      <c r="U193" s="331"/>
      <c r="V193" s="255"/>
      <c r="W193" s="255"/>
      <c r="X193" s="255"/>
      <c r="Y193" s="255"/>
      <c r="Z193" s="256"/>
      <c r="AB193" s="254" t="s">
        <v>267</v>
      </c>
      <c r="AC193" s="331"/>
      <c r="AD193" s="331"/>
      <c r="AE193" s="255"/>
      <c r="AF193" s="255"/>
      <c r="AG193" s="255"/>
      <c r="AH193" s="255"/>
      <c r="AI193" s="256"/>
    </row>
    <row r="194" customFormat="false" ht="17.35" hidden="false" customHeight="false" outlineLevel="0" collapsed="false">
      <c r="A194" s="221"/>
      <c r="B194" s="257"/>
      <c r="C194" s="257"/>
      <c r="D194" s="331"/>
      <c r="E194" s="236"/>
      <c r="F194" s="236"/>
      <c r="G194" s="236"/>
      <c r="H194" s="11"/>
      <c r="J194" s="221"/>
      <c r="K194" s="257"/>
      <c r="L194" s="257"/>
      <c r="M194" s="331"/>
      <c r="N194" s="236"/>
      <c r="O194" s="236"/>
      <c r="P194" s="236"/>
      <c r="Q194" s="11"/>
      <c r="S194" s="221"/>
      <c r="T194" s="257"/>
      <c r="U194" s="257"/>
      <c r="V194" s="331"/>
      <c r="W194" s="236"/>
      <c r="X194" s="236"/>
      <c r="Y194" s="236"/>
      <c r="Z194" s="11"/>
      <c r="AB194" s="221"/>
      <c r="AC194" s="257"/>
      <c r="AD194" s="257"/>
      <c r="AE194" s="331"/>
      <c r="AF194" s="236"/>
      <c r="AG194" s="236"/>
      <c r="AH194" s="236"/>
      <c r="AI194" s="11"/>
    </row>
    <row r="195" customFormat="false" ht="19.7" hidden="false" customHeight="false" outlineLevel="0" collapsed="false">
      <c r="A195" s="326" t="s">
        <v>81</v>
      </c>
      <c r="B195" s="259" t="s">
        <v>82</v>
      </c>
      <c r="C195" s="259"/>
      <c r="D195" s="259"/>
      <c r="E195" s="236"/>
      <c r="F195" s="236"/>
      <c r="G195" s="236"/>
      <c r="H195" s="11"/>
      <c r="J195" s="326" t="s">
        <v>81</v>
      </c>
      <c r="K195" s="259" t="s">
        <v>82</v>
      </c>
      <c r="L195" s="259"/>
      <c r="M195" s="259"/>
      <c r="N195" s="236"/>
      <c r="O195" s="236"/>
      <c r="P195" s="236"/>
      <c r="Q195" s="11"/>
      <c r="S195" s="326" t="s">
        <v>81</v>
      </c>
      <c r="T195" s="259" t="s">
        <v>82</v>
      </c>
      <c r="U195" s="259"/>
      <c r="V195" s="259"/>
      <c r="W195" s="236"/>
      <c r="X195" s="236"/>
      <c r="Y195" s="236"/>
      <c r="Z195" s="11"/>
      <c r="AB195" s="326" t="s">
        <v>81</v>
      </c>
      <c r="AC195" s="259" t="s">
        <v>82</v>
      </c>
      <c r="AD195" s="259"/>
      <c r="AE195" s="259"/>
      <c r="AF195" s="236"/>
      <c r="AG195" s="236"/>
      <c r="AH195" s="236"/>
      <c r="AI195" s="11"/>
    </row>
    <row r="196" customFormat="false" ht="19.5" hidden="false" customHeight="true" outlineLevel="0" collapsed="false">
      <c r="A196" s="326"/>
      <c r="B196" s="260" t="n">
        <f aca="false">K30</f>
        <v>10000</v>
      </c>
      <c r="C196" s="260"/>
      <c r="D196" s="260"/>
      <c r="E196" s="236"/>
      <c r="F196" s="236"/>
      <c r="G196" s="236"/>
      <c r="H196" s="11"/>
      <c r="J196" s="326"/>
      <c r="K196" s="260" t="n">
        <f aca="false">K30</f>
        <v>10000</v>
      </c>
      <c r="L196" s="260"/>
      <c r="M196" s="260"/>
      <c r="N196" s="236"/>
      <c r="O196" s="236"/>
      <c r="P196" s="236"/>
      <c r="Q196" s="11"/>
      <c r="S196" s="326"/>
      <c r="T196" s="260" t="n">
        <f aca="false">K30</f>
        <v>10000</v>
      </c>
      <c r="U196" s="260"/>
      <c r="V196" s="260"/>
      <c r="W196" s="236"/>
      <c r="X196" s="236"/>
      <c r="Y196" s="236"/>
      <c r="Z196" s="11"/>
      <c r="AB196" s="326"/>
      <c r="AC196" s="260" t="n">
        <f aca="false">K30</f>
        <v>10000</v>
      </c>
      <c r="AD196" s="260"/>
      <c r="AE196" s="260"/>
      <c r="AF196" s="236"/>
      <c r="AG196" s="236"/>
      <c r="AH196" s="236"/>
      <c r="AI196" s="11"/>
    </row>
    <row r="197" customFormat="false" ht="17.35" hidden="false" customHeight="false" outlineLevel="0" collapsed="false">
      <c r="A197" s="261" t="n">
        <f aca="false">K29</f>
        <v>36</v>
      </c>
      <c r="B197" s="75" t="n">
        <f aca="false">B96</f>
        <v>1218.7621911032</v>
      </c>
      <c r="C197" s="75"/>
      <c r="D197" s="75"/>
      <c r="E197" s="236"/>
      <c r="F197" s="236"/>
      <c r="G197" s="236"/>
      <c r="H197" s="11"/>
      <c r="J197" s="261" t="n">
        <f aca="false">K29</f>
        <v>36</v>
      </c>
      <c r="K197" s="75" t="n">
        <f aca="false">K96</f>
        <v>1477.31306457009</v>
      </c>
      <c r="L197" s="75"/>
      <c r="M197" s="75"/>
      <c r="N197" s="236"/>
      <c r="O197" s="236"/>
      <c r="P197" s="236"/>
      <c r="Q197" s="11"/>
      <c r="S197" s="261" t="n">
        <f aca="false">K29</f>
        <v>36</v>
      </c>
      <c r="T197" s="75" t="n">
        <f aca="false">T96</f>
        <v>927.687248290581</v>
      </c>
      <c r="U197" s="75"/>
      <c r="V197" s="75"/>
      <c r="W197" s="236"/>
      <c r="X197" s="236"/>
      <c r="Y197" s="236"/>
      <c r="Z197" s="11"/>
      <c r="AB197" s="261" t="n">
        <f aca="false">K29</f>
        <v>36</v>
      </c>
      <c r="AC197" s="75" t="n">
        <f aca="false">AC96</f>
        <v>927.687248290581</v>
      </c>
      <c r="AD197" s="75"/>
      <c r="AE197" s="75"/>
      <c r="AF197" s="236"/>
      <c r="AG197" s="236"/>
      <c r="AH197" s="236"/>
      <c r="AI197" s="11"/>
    </row>
    <row r="198" customFormat="false" ht="17.35" hidden="false" customHeight="false" outlineLevel="0" collapsed="false">
      <c r="A198" s="221"/>
      <c r="B198" s="331"/>
      <c r="C198" s="331"/>
      <c r="D198" s="331"/>
      <c r="E198" s="236"/>
      <c r="F198" s="236"/>
      <c r="G198" s="236"/>
      <c r="H198" s="11"/>
      <c r="J198" s="221"/>
      <c r="K198" s="331"/>
      <c r="L198" s="331"/>
      <c r="M198" s="331"/>
      <c r="N198" s="236"/>
      <c r="O198" s="236"/>
      <c r="P198" s="236"/>
      <c r="Q198" s="11"/>
      <c r="S198" s="221"/>
      <c r="T198" s="331"/>
      <c r="U198" s="331"/>
      <c r="V198" s="331"/>
      <c r="W198" s="236"/>
      <c r="X198" s="236"/>
      <c r="Y198" s="236"/>
      <c r="Z198" s="11"/>
      <c r="AB198" s="221"/>
      <c r="AC198" s="331"/>
      <c r="AD198" s="331"/>
      <c r="AE198" s="331"/>
      <c r="AF198" s="236"/>
      <c r="AG198" s="236"/>
      <c r="AH198" s="236"/>
      <c r="AI198" s="11"/>
    </row>
    <row r="199" customFormat="false" ht="17.35" hidden="false" customHeight="false" outlineLevel="0" collapsed="false">
      <c r="A199" s="221"/>
      <c r="B199" s="331"/>
      <c r="C199" s="331"/>
      <c r="D199" s="331"/>
      <c r="E199" s="236"/>
      <c r="F199" s="236"/>
      <c r="G199" s="236"/>
      <c r="H199" s="11"/>
      <c r="J199" s="221"/>
      <c r="K199" s="331"/>
      <c r="L199" s="331"/>
      <c r="M199" s="331"/>
      <c r="N199" s="236"/>
      <c r="O199" s="236"/>
      <c r="P199" s="236"/>
      <c r="Q199" s="11"/>
      <c r="S199" s="221"/>
      <c r="T199" s="331"/>
      <c r="U199" s="331"/>
      <c r="V199" s="331"/>
      <c r="W199" s="236"/>
      <c r="X199" s="236"/>
      <c r="Y199" s="236"/>
      <c r="Z199" s="11"/>
      <c r="AB199" s="221"/>
      <c r="AC199" s="331"/>
      <c r="AD199" s="331"/>
      <c r="AE199" s="331"/>
      <c r="AF199" s="236"/>
      <c r="AG199" s="236"/>
      <c r="AH199" s="236"/>
      <c r="AI199" s="11"/>
    </row>
    <row r="200" customFormat="false" ht="17.35" hidden="false" customHeight="false" outlineLevel="0" collapsed="false">
      <c r="A200" s="221"/>
      <c r="B200" s="331"/>
      <c r="C200" s="331"/>
      <c r="D200" s="331"/>
      <c r="E200" s="236"/>
      <c r="F200" s="236"/>
      <c r="G200" s="236"/>
      <c r="H200" s="11"/>
      <c r="J200" s="221"/>
      <c r="K200" s="331"/>
      <c r="L200" s="331"/>
      <c r="M200" s="331"/>
      <c r="N200" s="236"/>
      <c r="O200" s="236"/>
      <c r="P200" s="236"/>
      <c r="Q200" s="11"/>
      <c r="S200" s="221"/>
      <c r="T200" s="331"/>
      <c r="U200" s="331"/>
      <c r="V200" s="331"/>
      <c r="W200" s="236"/>
      <c r="X200" s="236"/>
      <c r="Y200" s="236"/>
      <c r="Z200" s="11"/>
      <c r="AB200" s="221"/>
      <c r="AC200" s="331"/>
      <c r="AD200" s="331"/>
      <c r="AE200" s="331"/>
      <c r="AF200" s="236"/>
      <c r="AG200" s="236"/>
      <c r="AH200" s="236"/>
      <c r="AI200" s="11"/>
    </row>
    <row r="201" customFormat="false" ht="17.35" hidden="false" customHeight="false" outlineLevel="0" collapsed="false">
      <c r="A201" s="221"/>
      <c r="B201" s="331"/>
      <c r="C201" s="331"/>
      <c r="D201" s="331"/>
      <c r="E201" s="236"/>
      <c r="F201" s="236"/>
      <c r="G201" s="236"/>
      <c r="H201" s="11"/>
      <c r="J201" s="221"/>
      <c r="K201" s="331"/>
      <c r="L201" s="331"/>
      <c r="M201" s="331"/>
      <c r="N201" s="236"/>
      <c r="O201" s="236"/>
      <c r="P201" s="236"/>
      <c r="Q201" s="11"/>
      <c r="S201" s="221"/>
      <c r="T201" s="331"/>
      <c r="U201" s="331"/>
      <c r="V201" s="331"/>
      <c r="W201" s="236"/>
      <c r="X201" s="236"/>
      <c r="Y201" s="236"/>
      <c r="Z201" s="11"/>
      <c r="AB201" s="221"/>
      <c r="AC201" s="331"/>
      <c r="AD201" s="331"/>
      <c r="AE201" s="331"/>
      <c r="AF201" s="236"/>
      <c r="AG201" s="236"/>
      <c r="AH201" s="236"/>
      <c r="AI201" s="11"/>
    </row>
    <row r="202" customFormat="false" ht="17.35" hidden="false" customHeight="false" outlineLevel="0" collapsed="false">
      <c r="A202" s="249"/>
      <c r="B202" s="250"/>
      <c r="C202" s="250"/>
      <c r="D202" s="250"/>
      <c r="E202" s="250"/>
      <c r="F202" s="250"/>
      <c r="G202" s="250"/>
      <c r="H202" s="84"/>
      <c r="J202" s="249"/>
      <c r="K202" s="250"/>
      <c r="L202" s="250"/>
      <c r="M202" s="250"/>
      <c r="N202" s="250"/>
      <c r="O202" s="250"/>
      <c r="P202" s="250"/>
      <c r="Q202" s="84"/>
      <c r="S202" s="249"/>
      <c r="T202" s="250"/>
      <c r="U202" s="250"/>
      <c r="V202" s="250"/>
      <c r="W202" s="250"/>
      <c r="X202" s="250"/>
      <c r="Y202" s="250"/>
      <c r="Z202" s="84"/>
      <c r="AB202" s="249"/>
      <c r="AC202" s="250"/>
      <c r="AD202" s="250"/>
      <c r="AE202" s="250"/>
      <c r="AF202" s="250"/>
      <c r="AG202" s="250"/>
      <c r="AH202" s="250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J112" activeCellId="0" sqref="J112"/>
    </sheetView>
  </sheetViews>
  <sheetFormatPr defaultColWidth="10.878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139" t="n">
        <v>46854.17</v>
      </c>
      <c r="C3" s="139" t="n">
        <v>0</v>
      </c>
      <c r="D3" s="139" t="n">
        <v>833.33</v>
      </c>
      <c r="E3" s="140" t="n">
        <v>0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7" t="n">
        <f aca="false">B7+C7+D7+E3</f>
        <v>47687.5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(E9+E10)*20%</f>
        <v>9647.5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8" t="n">
        <f aca="false">(E9+E10+E13+E14+E11)-E12</f>
        <v>58525</v>
      </c>
      <c r="F15" s="135"/>
      <c r="G15" s="149" t="n">
        <f aca="false">E15</f>
        <v>58525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/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7.35" hidden="false" customHeight="fals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IF(A32=Y103,1,IF(A32=Y104,1,IF(A32=Y105,3,IF(A32=Y106,6,IF(A32=Y107,9,IF(A32=Y108,12,IF(A32=Y109,3,IF(A32=Y110,6,IF(A32=Y111,9,0)))))))))</f>
        <v>0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IF(A32=Y103,H29-H37,IF(A32=Y104,H29-H37,IF(A32=Y105,H29-1,IF(A32=Y106,H29-1,IF(A32=Y107,H29-1,IF(A32=Y108,H29-1,IF(A32=Y109,H29-H37,IF(A32=Y110,H29-H37,IF(A32=Y111,H29-H37,0)))))))))</f>
        <v>0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12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str">
        <f aca="false">IF(A32=Z103,A41,IF(A32=Z104,A41,IF(A32=Z105,(A41*3),IF(A32=Z106,(A41*6),IF(A32=Z107,(A41*9),IF(A32=Z108,(A41*12),IF(A32=Z109,A41,IF(A32=Z110,A41,IF(A32=Z111,A41,0)))))))))</f>
        <v>60</v>
      </c>
      <c r="E32" s="159"/>
      <c r="F32" s="135"/>
      <c r="G32" s="160" t="s">
        <v>177</v>
      </c>
      <c r="H32" s="158" t="str">
        <f aca="false">A41</f>
        <v>60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18.75" hidden="false" customHeight="tru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str">
        <f aca="false">D41</f>
        <v>6000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10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59" t="n">
        <f aca="false">B32+D32</f>
        <v>560</v>
      </c>
      <c r="B35" s="37" t="s">
        <v>44</v>
      </c>
      <c r="C35" s="37"/>
      <c r="D35" s="37" t="s">
        <v>45</v>
      </c>
      <c r="E35" s="37"/>
      <c r="F35" s="135"/>
      <c r="G35" s="162"/>
      <c r="H35" s="163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38"/>
      <c r="B36" s="145"/>
      <c r="C36" s="145"/>
      <c r="D36" s="145"/>
      <c r="E36" s="146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64" t="n">
        <f aca="false">(B35/12)*D35</f>
        <v>5000</v>
      </c>
      <c r="B38" s="37" t="s">
        <v>25</v>
      </c>
      <c r="C38" s="37"/>
      <c r="D38" s="42" t="s">
        <v>55</v>
      </c>
      <c r="E38" s="42"/>
      <c r="F38" s="135"/>
      <c r="G38" s="135"/>
      <c r="H38" s="135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57"/>
      <c r="B39" s="45"/>
      <c r="C39" s="45"/>
      <c r="D39" s="145"/>
      <c r="E39" s="146"/>
      <c r="F39" s="135"/>
      <c r="G39" s="135"/>
      <c r="H39" s="165"/>
      <c r="I39" s="165"/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16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42" t="s">
        <v>298</v>
      </c>
      <c r="B41" s="55" t="n">
        <f aca="false">IF(B38="YES", D38+A41, D38)</f>
        <v>560</v>
      </c>
      <c r="C41" s="55"/>
      <c r="D41" s="42" t="s">
        <v>62</v>
      </c>
      <c r="E41" s="42"/>
      <c r="F41" s="135"/>
      <c r="G41" s="135"/>
      <c r="H41" s="167"/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500.833333333333</v>
      </c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299</v>
      </c>
      <c r="E44" s="42"/>
      <c r="F44" s="135"/>
      <c r="G44" s="135" t="s">
        <v>185</v>
      </c>
      <c r="H44" s="165" t="str">
        <f aca="false">H32</f>
        <v>60</v>
      </c>
      <c r="I44" s="62" t="n">
        <f aca="false">((A41*(B35-1))+D32)/B35</f>
        <v>60</v>
      </c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560.833333333333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500.833333333333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70" t="n">
        <v>0</v>
      </c>
      <c r="B47" s="367" t="s">
        <v>300</v>
      </c>
      <c r="C47" s="367"/>
      <c r="D47" s="42" t="s">
        <v>300</v>
      </c>
      <c r="E47" s="42"/>
      <c r="F47" s="135"/>
      <c r="G47" s="135"/>
      <c r="H47" s="165"/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5"/>
      <c r="G48" s="135"/>
      <c r="H48" s="165"/>
      <c r="I48" s="16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5"/>
      <c r="G49" s="135"/>
      <c r="H49" s="165"/>
      <c r="I49" s="16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B50" s="45"/>
      <c r="C50" s="45"/>
      <c r="D50" s="45"/>
      <c r="E50" s="61"/>
      <c r="F50" s="135"/>
      <c r="G50" s="135"/>
      <c r="H50" s="16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5"/>
      <c r="G51" s="135"/>
      <c r="H51" s="165"/>
      <c r="I51" s="16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5"/>
      <c r="G52" s="135"/>
      <c r="H52" s="165"/>
      <c r="I52" s="16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5"/>
      <c r="G53" s="135"/>
      <c r="H53" s="165"/>
      <c r="I53" s="16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2" t="s">
        <v>73</v>
      </c>
      <c r="B54" s="145"/>
      <c r="C54" s="145"/>
      <c r="D54" s="173"/>
      <c r="E54" s="174"/>
      <c r="F54" s="135"/>
      <c r="G54" s="135"/>
      <c r="H54" s="165"/>
      <c r="I54" s="16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38"/>
      <c r="B55" s="175"/>
      <c r="C55" s="175"/>
      <c r="D55" s="145"/>
      <c r="E55" s="146"/>
      <c r="F55" s="135"/>
      <c r="G55" s="135"/>
      <c r="H55" s="176"/>
      <c r="I55" s="16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5"/>
      <c r="E56" s="146"/>
      <c r="F56" s="135"/>
      <c r="G56" s="135"/>
      <c r="H56" s="135"/>
      <c r="I56" s="16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5"/>
      <c r="E57" s="146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560.833333333333</v>
      </c>
      <c r="C58" s="75"/>
      <c r="D58" s="145"/>
      <c r="E58" s="146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77"/>
      <c r="B60" s="178"/>
      <c r="C60" s="178"/>
      <c r="D60" s="178"/>
      <c r="E60" s="179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45"/>
      <c r="B61" s="145"/>
      <c r="C61" s="145"/>
      <c r="D61" s="145"/>
      <c r="E61" s="145"/>
      <c r="F61" s="135"/>
      <c r="G61" s="145"/>
      <c r="H61" s="145"/>
      <c r="I61" s="145"/>
      <c r="J61" s="145"/>
      <c r="K61" s="145"/>
      <c r="L61" s="135"/>
      <c r="M61" s="145"/>
      <c r="N61" s="145"/>
      <c r="O61" s="145"/>
      <c r="P61" s="145"/>
      <c r="Q61" s="145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0"/>
      <c r="B62" s="181" t="s">
        <v>74</v>
      </c>
      <c r="C62" s="181"/>
      <c r="D62" s="181"/>
      <c r="E62" s="182"/>
      <c r="F62" s="135"/>
      <c r="G62" s="180"/>
      <c r="H62" s="181"/>
      <c r="I62" s="181"/>
      <c r="J62" s="181"/>
      <c r="K62" s="182"/>
      <c r="L62" s="135"/>
      <c r="M62" s="180"/>
      <c r="N62" s="181"/>
      <c r="O62" s="181"/>
      <c r="P62" s="181"/>
      <c r="Q62" s="182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83</v>
      </c>
      <c r="B63" s="145" t="n">
        <f aca="false">IF(B105=Z103,1,IF(B105=Z104,1,IF(B105=Z105,3,IF(B105=Z106,6,IF(B105=Z107,9,IF(B105=Z108,12,IF(B105=Z109,3,IF(B105=Z110,6,IF(B105=Z111,9,0)))))))))</f>
        <v>1</v>
      </c>
      <c r="C63" s="145"/>
      <c r="D63" s="145"/>
      <c r="E63" s="146"/>
      <c r="F63" s="135"/>
      <c r="G63" s="138" t="s">
        <v>83</v>
      </c>
      <c r="H63" s="145" t="n">
        <f aca="false">IF(H105=Y103,1,IF(H105=Y104,1,IF(H105=Y105,3,IF(H105=Y106,6,IF(H105=Y107,9,IF(H105=Y108,12,IF(H105=Y109,3,IF(H105=Y110,6,IF(H105=Y111,9,0)))))))))</f>
        <v>0</v>
      </c>
      <c r="I63" s="145"/>
      <c r="J63" s="145"/>
      <c r="K63" s="146"/>
      <c r="L63" s="135"/>
      <c r="M63" s="138" t="s">
        <v>83</v>
      </c>
      <c r="N63" s="145" t="n">
        <f aca="false">IF(N105=Y103,1,IF(N105=Y104,1,IF(N105=Y105,3,IF(N105=Y106,6,IF(N105=Y107,9,IF(N105=Y108,12,IF(N105=Y109,3,IF(N105=Y110,6,IF(N105=Y111,9,0)))))))))</f>
        <v>0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38" t="s">
        <v>84</v>
      </c>
      <c r="B64" s="145" t="n">
        <f aca="false">IF(B105=Z103,H29-B63,IF(B105=Z104,H29-B63,IF(B105=Z105,H29-1,IF(B105=Z106,H29-1,IF(B105=Z107,H29-1,IF(B105=Z108,H29-1,IF(B105=Z109,H29-B63,IF(B105=Z110,H29-B63,IF(B105=Z111,H29-B63,0)))))))))</f>
        <v>11</v>
      </c>
      <c r="C64" s="145"/>
      <c r="D64" s="145"/>
      <c r="E64" s="146"/>
      <c r="F64" s="135"/>
      <c r="G64" s="138" t="s">
        <v>84</v>
      </c>
      <c r="H64" s="145" t="n">
        <f aca="false">IF(H105=Y103,H29-H63,IF(H105=Y104,H29-H63,IF(H105=Y105,H29-1,IF(H105=Y106,H29-1,IF(H105=Y107,H29-1,IF(H105=Y108,H29-1,IF(H105=Y109,H29-H63,IF(H105=Y110,H29-H63,IF(H105=Y111,H29-H63,0)))))))))</f>
        <v>0</v>
      </c>
      <c r="I64" s="145"/>
      <c r="J64" s="145"/>
      <c r="K64" s="146"/>
      <c r="L64" s="135"/>
      <c r="M64" s="138" t="s">
        <v>84</v>
      </c>
      <c r="N64" s="145" t="n">
        <f aca="false">IF(N105=Y103,H29-N63,IF(N105=Y104,H29-N63,IF(N105=Y105,H29-1,IF(N105=Y106,H29-1,IF(N105=Y107,H29-1,IF(N105=Y108,H29-1,IF(N105=Y109,H29-N63,IF(N105=Y110,H29-N63,IF(N105=Y111,H29-N63,0)))))))))</f>
        <v>0</v>
      </c>
      <c r="O64" s="145"/>
      <c r="P64" s="145"/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38"/>
      <c r="B65" s="145"/>
      <c r="C65" s="145"/>
      <c r="D65" s="145"/>
      <c r="E65" s="146"/>
      <c r="F65" s="135"/>
      <c r="G65" s="138"/>
      <c r="H65" s="145"/>
      <c r="I65" s="145"/>
      <c r="J65" s="145"/>
      <c r="K65" s="146"/>
      <c r="L65" s="135"/>
      <c r="M65" s="138"/>
      <c r="N65" s="145"/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/>
      <c r="B66" s="145"/>
      <c r="C66" s="145"/>
      <c r="D66" s="145"/>
      <c r="E66" s="146"/>
      <c r="F66" s="135"/>
      <c r="G66" s="138"/>
      <c r="H66" s="145"/>
      <c r="I66" s="145"/>
      <c r="J66" s="145"/>
      <c r="K66" s="146"/>
      <c r="L66" s="135"/>
      <c r="M66" s="138"/>
      <c r="N66" s="145"/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38" t="s">
        <v>21</v>
      </c>
      <c r="B67" s="144" t="n">
        <f aca="false">G18</f>
        <v>57885</v>
      </c>
      <c r="C67" s="145"/>
      <c r="D67" s="145"/>
      <c r="E67" s="146"/>
      <c r="F67" s="135"/>
      <c r="G67" s="138" t="s">
        <v>21</v>
      </c>
      <c r="H67" s="144" t="n">
        <f aca="false">G18</f>
        <v>57885</v>
      </c>
      <c r="I67" s="145"/>
      <c r="J67" s="145"/>
      <c r="K67" s="146"/>
      <c r="L67" s="135"/>
      <c r="M67" s="138" t="s">
        <v>21</v>
      </c>
      <c r="N67" s="144" t="n">
        <f aca="false">G18</f>
        <v>57885</v>
      </c>
      <c r="O67" s="145"/>
      <c r="P67" s="145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85</v>
      </c>
      <c r="B68" s="184" t="n">
        <v>0.07</v>
      </c>
      <c r="C68" s="145"/>
      <c r="D68" s="145"/>
      <c r="E68" s="146"/>
      <c r="F68" s="135"/>
      <c r="G68" s="183" t="s">
        <v>85</v>
      </c>
      <c r="H68" s="184" t="n">
        <v>0.07</v>
      </c>
      <c r="I68" s="145"/>
      <c r="J68" s="145"/>
      <c r="K68" s="146"/>
      <c r="L68" s="135"/>
      <c r="M68" s="183" t="s">
        <v>85</v>
      </c>
      <c r="N68" s="184" t="n">
        <v>0.07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8" t="s">
        <v>86</v>
      </c>
      <c r="B69" s="142" t="n">
        <f aca="false">B68+(B68*0.25*(H29/12-1))</f>
        <v>0.07</v>
      </c>
      <c r="C69" s="145"/>
      <c r="D69" s="145"/>
      <c r="E69" s="146"/>
      <c r="F69" s="135"/>
      <c r="G69" s="138" t="s">
        <v>86</v>
      </c>
      <c r="H69" s="142" t="n">
        <f aca="false">H68+(H68*0.25*(H29/12-1))</f>
        <v>0.07</v>
      </c>
      <c r="I69" s="145"/>
      <c r="J69" s="145"/>
      <c r="K69" s="146"/>
      <c r="L69" s="135"/>
      <c r="M69" s="138" t="s">
        <v>86</v>
      </c>
      <c r="N69" s="142" t="n">
        <f aca="false">N68+(N68*0.25*(H29/12-1))</f>
        <v>0.07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87</v>
      </c>
      <c r="B70" s="185" t="n">
        <f aca="false">B67*B69</f>
        <v>4051.95</v>
      </c>
      <c r="C70" s="145"/>
      <c r="D70" s="144" t="n">
        <f aca="false">B70-A151</f>
        <v>4051.95</v>
      </c>
      <c r="E70" s="146" t="n">
        <f aca="false">D70/12</f>
        <v>337.6625</v>
      </c>
      <c r="F70" s="135"/>
      <c r="G70" s="177" t="s">
        <v>87</v>
      </c>
      <c r="H70" s="185" t="n">
        <f aca="false">H67*H69</f>
        <v>4051.95</v>
      </c>
      <c r="I70" s="145"/>
      <c r="J70" s="144" t="n">
        <f aca="false">H70-G151</f>
        <v>4051.95</v>
      </c>
      <c r="K70" s="146"/>
      <c r="L70" s="135"/>
      <c r="M70" s="177" t="s">
        <v>87</v>
      </c>
      <c r="N70" s="185" t="n">
        <f aca="false">N67*N69</f>
        <v>4051.95</v>
      </c>
      <c r="O70" s="145"/>
      <c r="P70" s="144" t="n">
        <f aca="false">N70-M151</f>
        <v>4051.95</v>
      </c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88</v>
      </c>
      <c r="B71" s="184" t="n">
        <v>0.01</v>
      </c>
      <c r="C71" s="145"/>
      <c r="D71" s="145"/>
      <c r="E71" s="146"/>
      <c r="F71" s="135"/>
      <c r="G71" s="183" t="s">
        <v>88</v>
      </c>
      <c r="H71" s="184" t="n">
        <v>0.005</v>
      </c>
      <c r="I71" s="145"/>
      <c r="J71" s="145"/>
      <c r="K71" s="146"/>
      <c r="L71" s="135"/>
      <c r="M71" s="183" t="s">
        <v>88</v>
      </c>
      <c r="N71" s="184" t="n">
        <v>0.005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8" t="s">
        <v>89</v>
      </c>
      <c r="B72" s="142" t="n">
        <f aca="false">B71+(B71*0.5*(H29/12-1))</f>
        <v>0.01</v>
      </c>
      <c r="C72" s="145"/>
      <c r="D72" s="145"/>
      <c r="E72" s="146"/>
      <c r="F72" s="135"/>
      <c r="G72" s="138" t="s">
        <v>89</v>
      </c>
      <c r="H72" s="142" t="n">
        <f aca="false">H71+(H71*0.5*(H29/12-1))</f>
        <v>0.005</v>
      </c>
      <c r="I72" s="145"/>
      <c r="J72" s="145"/>
      <c r="K72" s="146"/>
      <c r="L72" s="135"/>
      <c r="M72" s="138" t="s">
        <v>89</v>
      </c>
      <c r="N72" s="142" t="n">
        <f aca="false">N71+(N71*0.5*(H29/12-1))</f>
        <v>0.005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90</v>
      </c>
      <c r="B73" s="185" t="n">
        <f aca="false">B67*B72</f>
        <v>578.85</v>
      </c>
      <c r="C73" s="145"/>
      <c r="D73" s="144"/>
      <c r="E73" s="146"/>
      <c r="F73" s="135"/>
      <c r="G73" s="177" t="s">
        <v>90</v>
      </c>
      <c r="H73" s="185" t="n">
        <f aca="false">H67*H72</f>
        <v>289.425</v>
      </c>
      <c r="I73" s="145"/>
      <c r="J73" s="144"/>
      <c r="K73" s="146"/>
      <c r="L73" s="135"/>
      <c r="M73" s="177" t="s">
        <v>90</v>
      </c>
      <c r="N73" s="185" t="n">
        <f aca="false">N67*N72</f>
        <v>289.425</v>
      </c>
      <c r="O73" s="145"/>
      <c r="P73" s="144"/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91</v>
      </c>
      <c r="B74" s="184" t="n">
        <v>0.0075</v>
      </c>
      <c r="C74" s="145"/>
      <c r="D74" s="145"/>
      <c r="E74" s="146"/>
      <c r="F74" s="135"/>
      <c r="G74" s="183" t="s">
        <v>91</v>
      </c>
      <c r="H74" s="184" t="n">
        <v>0.0075</v>
      </c>
      <c r="I74" s="145"/>
      <c r="J74" s="145"/>
      <c r="K74" s="146"/>
      <c r="L74" s="135"/>
      <c r="M74" s="183" t="s">
        <v>91</v>
      </c>
      <c r="N74" s="184" t="n">
        <v>0.0075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92</v>
      </c>
      <c r="B75" s="186" t="n">
        <v>0.12</v>
      </c>
      <c r="C75" s="145"/>
      <c r="D75" s="145"/>
      <c r="E75" s="146"/>
      <c r="F75" s="135"/>
      <c r="G75" s="136" t="s">
        <v>92</v>
      </c>
      <c r="H75" s="186" t="n">
        <v>0.12</v>
      </c>
      <c r="I75" s="145"/>
      <c r="J75" s="145"/>
      <c r="K75" s="146"/>
      <c r="L75" s="135"/>
      <c r="M75" s="136" t="s">
        <v>92</v>
      </c>
      <c r="N75" s="186" t="n">
        <v>0.12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93</v>
      </c>
      <c r="B76" s="187" t="n">
        <f aca="false">B74*(1+B75)</f>
        <v>0.0084</v>
      </c>
      <c r="C76" s="145"/>
      <c r="D76" s="145"/>
      <c r="E76" s="146"/>
      <c r="F76" s="135"/>
      <c r="G76" s="177" t="s">
        <v>93</v>
      </c>
      <c r="H76" s="187" t="n">
        <f aca="false">H74*(1+H75)</f>
        <v>0.0084</v>
      </c>
      <c r="I76" s="145"/>
      <c r="J76" s="145"/>
      <c r="K76" s="146"/>
      <c r="L76" s="135"/>
      <c r="M76" s="177" t="s">
        <v>93</v>
      </c>
      <c r="N76" s="187" t="n">
        <f aca="false">N74*(1+N75)</f>
        <v>0.0084</v>
      </c>
      <c r="O76" s="145"/>
      <c r="P76" s="145"/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94</v>
      </c>
      <c r="B77" s="188" t="n">
        <v>200</v>
      </c>
      <c r="C77" s="145"/>
      <c r="D77" s="145"/>
      <c r="E77" s="146"/>
      <c r="F77" s="135"/>
      <c r="G77" s="183" t="s">
        <v>94</v>
      </c>
      <c r="H77" s="188" t="n">
        <v>160</v>
      </c>
      <c r="I77" s="145"/>
      <c r="J77" s="145"/>
      <c r="K77" s="146"/>
      <c r="L77" s="135"/>
      <c r="M77" s="183" t="s">
        <v>94</v>
      </c>
      <c r="N77" s="188" t="n">
        <v>160</v>
      </c>
      <c r="O77" s="145"/>
      <c r="P77" s="145"/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6" t="s">
        <v>95</v>
      </c>
      <c r="B78" s="189" t="n">
        <v>5</v>
      </c>
      <c r="C78" s="145"/>
      <c r="D78" s="145"/>
      <c r="E78" s="146"/>
      <c r="F78" s="135"/>
      <c r="G78" s="136" t="s">
        <v>95</v>
      </c>
      <c r="H78" s="189" t="n">
        <v>4.5</v>
      </c>
      <c r="I78" s="145"/>
      <c r="J78" s="145"/>
      <c r="K78" s="146"/>
      <c r="L78" s="135"/>
      <c r="M78" s="136" t="s">
        <v>95</v>
      </c>
      <c r="N78" s="189" t="n">
        <v>4.5</v>
      </c>
      <c r="O78" s="145"/>
      <c r="P78" s="145"/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77" t="s">
        <v>96</v>
      </c>
      <c r="B79" s="185" t="n">
        <f aca="false">B78*H29</f>
        <v>60</v>
      </c>
      <c r="C79" s="145"/>
      <c r="D79" s="144" t="n">
        <f aca="false">B79+B77</f>
        <v>260</v>
      </c>
      <c r="E79" s="190" t="n">
        <f aca="false">D79+D85+D86</f>
        <v>660</v>
      </c>
      <c r="F79" s="135"/>
      <c r="G79" s="177" t="s">
        <v>96</v>
      </c>
      <c r="H79" s="185" t="n">
        <f aca="false">H78*H29</f>
        <v>54</v>
      </c>
      <c r="I79" s="145"/>
      <c r="J79" s="144" t="n">
        <f aca="false">H79+H77</f>
        <v>214</v>
      </c>
      <c r="K79" s="146"/>
      <c r="L79" s="135"/>
      <c r="M79" s="177" t="s">
        <v>96</v>
      </c>
      <c r="N79" s="185" t="n">
        <f aca="false">N78*H29</f>
        <v>54</v>
      </c>
      <c r="O79" s="145"/>
      <c r="P79" s="144" t="n">
        <f aca="false">N79+N77</f>
        <v>214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91" t="s">
        <v>97</v>
      </c>
      <c r="B80" s="192" t="n">
        <v>0</v>
      </c>
      <c r="C80" s="145"/>
      <c r="D80" s="145"/>
      <c r="E80" s="190" t="n">
        <f aca="false">E79+D82</f>
        <v>660</v>
      </c>
      <c r="F80" s="135"/>
      <c r="G80" s="183" t="s">
        <v>97</v>
      </c>
      <c r="H80" s="188" t="n">
        <v>150</v>
      </c>
      <c r="I80" s="145"/>
      <c r="J80" s="145"/>
      <c r="K80" s="146"/>
      <c r="L80" s="135"/>
      <c r="M80" s="191" t="s">
        <v>97</v>
      </c>
      <c r="N80" s="192" t="n">
        <v>0</v>
      </c>
      <c r="O80" s="145"/>
      <c r="P80" s="145"/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93" t="s">
        <v>98</v>
      </c>
      <c r="B81" s="194" t="n">
        <v>0</v>
      </c>
      <c r="C81" s="145"/>
      <c r="D81" s="145"/>
      <c r="E81" s="146" t="n">
        <f aca="false">E80/12</f>
        <v>55</v>
      </c>
      <c r="F81" s="135"/>
      <c r="G81" s="136" t="s">
        <v>98</v>
      </c>
      <c r="H81" s="189" t="n">
        <f aca="false">IF(G18&gt;40000, 325, 0)</f>
        <v>325</v>
      </c>
      <c r="I81" s="145"/>
      <c r="J81" s="145"/>
      <c r="K81" s="146"/>
      <c r="L81" s="135"/>
      <c r="M81" s="193" t="s">
        <v>98</v>
      </c>
      <c r="N81" s="194" t="n">
        <v>0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77" t="s">
        <v>99</v>
      </c>
      <c r="B82" s="185" t="n">
        <f aca="false">((B80+B81)/12)*(H29-11)</f>
        <v>0</v>
      </c>
      <c r="C82" s="145"/>
      <c r="D82" s="144" t="n">
        <f aca="false">IF(A50="YES", 0, B82)</f>
        <v>0</v>
      </c>
      <c r="E82" s="146"/>
      <c r="F82" s="135"/>
      <c r="G82" s="177" t="s">
        <v>99</v>
      </c>
      <c r="H82" s="185" t="n">
        <f aca="false">((H80+H81)/12)*(H29-11)</f>
        <v>39.5833333333333</v>
      </c>
      <c r="I82" s="145"/>
      <c r="J82" s="144" t="n">
        <f aca="false">IF(A50="YES", 0, H82)</f>
        <v>39.5833333333333</v>
      </c>
      <c r="K82" s="146"/>
      <c r="L82" s="135"/>
      <c r="M82" s="195" t="s">
        <v>99</v>
      </c>
      <c r="N82" s="196" t="n">
        <f aca="false">((N80+N81)/12)*(H29-11)</f>
        <v>0</v>
      </c>
      <c r="O82" s="145"/>
      <c r="P82" s="144" t="n">
        <f aca="false">IF(A50="YES", 0, N82)</f>
        <v>0</v>
      </c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183" t="s">
        <v>100</v>
      </c>
      <c r="B83" s="188" t="n">
        <v>0</v>
      </c>
      <c r="C83" s="145"/>
      <c r="D83" s="144" t="n">
        <f aca="false">B83</f>
        <v>0</v>
      </c>
      <c r="E83" s="146" t="n">
        <f aca="false">D83/12</f>
        <v>0</v>
      </c>
      <c r="F83" s="135"/>
      <c r="G83" s="183" t="s">
        <v>100</v>
      </c>
      <c r="H83" s="188" t="n">
        <f aca="false">H108</f>
        <v>1200</v>
      </c>
      <c r="I83" s="145"/>
      <c r="J83" s="144" t="n">
        <f aca="false">H83</f>
        <v>1200</v>
      </c>
      <c r="K83" s="146"/>
      <c r="L83" s="135"/>
      <c r="M83" s="183" t="s">
        <v>100</v>
      </c>
      <c r="N83" s="188" t="n">
        <f aca="false">N108</f>
        <v>1200</v>
      </c>
      <c r="O83" s="145"/>
      <c r="P83" s="144" t="n">
        <f aca="false">N83</f>
        <v>1200</v>
      </c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 t="s">
        <v>101</v>
      </c>
      <c r="B84" s="143" t="n">
        <v>0</v>
      </c>
      <c r="C84" s="145"/>
      <c r="D84" s="144" t="n">
        <f aca="false">B84</f>
        <v>0</v>
      </c>
      <c r="E84" s="146"/>
      <c r="F84" s="135"/>
      <c r="G84" s="138" t="s">
        <v>102</v>
      </c>
      <c r="H84" s="143" t="n">
        <f aca="false">J108</f>
        <v>1500</v>
      </c>
      <c r="I84" s="145"/>
      <c r="J84" s="144" t="n">
        <f aca="false">H84</f>
        <v>1500</v>
      </c>
      <c r="K84" s="146"/>
      <c r="L84" s="135"/>
      <c r="M84" s="138" t="s">
        <v>102</v>
      </c>
      <c r="N84" s="143" t="n">
        <f aca="false">P108</f>
        <v>1500</v>
      </c>
      <c r="O84" s="145"/>
      <c r="P84" s="144" t="n">
        <f aca="false">N84</f>
        <v>1500</v>
      </c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36" t="s">
        <v>103</v>
      </c>
      <c r="B85" s="189" t="n">
        <v>200</v>
      </c>
      <c r="C85" s="145"/>
      <c r="D85" s="144" t="n">
        <f aca="false">B85</f>
        <v>200</v>
      </c>
      <c r="E85" s="146"/>
      <c r="F85" s="135"/>
      <c r="G85" s="136" t="s">
        <v>103</v>
      </c>
      <c r="H85" s="189" t="n">
        <v>100</v>
      </c>
      <c r="I85" s="145"/>
      <c r="J85" s="144" t="n">
        <f aca="false">H85</f>
        <v>100</v>
      </c>
      <c r="K85" s="146"/>
      <c r="L85" s="135"/>
      <c r="M85" s="136" t="s">
        <v>103</v>
      </c>
      <c r="N85" s="189" t="n">
        <v>100</v>
      </c>
      <c r="O85" s="145"/>
      <c r="P85" s="144" t="n">
        <f aca="false">N85</f>
        <v>100</v>
      </c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97" t="s">
        <v>104</v>
      </c>
      <c r="B86" s="198" t="n">
        <v>200</v>
      </c>
      <c r="C86" s="145"/>
      <c r="D86" s="144" t="n">
        <f aca="false">B86</f>
        <v>200</v>
      </c>
      <c r="E86" s="146"/>
      <c r="F86" s="135"/>
      <c r="G86" s="197" t="s">
        <v>104</v>
      </c>
      <c r="H86" s="198" t="n">
        <v>100</v>
      </c>
      <c r="I86" s="145"/>
      <c r="J86" s="144" t="n">
        <f aca="false">H86</f>
        <v>100</v>
      </c>
      <c r="K86" s="146"/>
      <c r="L86" s="135"/>
      <c r="M86" s="197" t="s">
        <v>104</v>
      </c>
      <c r="N86" s="198" t="n">
        <v>100</v>
      </c>
      <c r="O86" s="145"/>
      <c r="P86" s="144" t="n">
        <f aca="false">N86</f>
        <v>100</v>
      </c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99" t="s">
        <v>105</v>
      </c>
      <c r="B87" s="200" t="n">
        <f aca="false">SUM(D70:D86)</f>
        <v>4711.95</v>
      </c>
      <c r="C87" s="145"/>
      <c r="D87" s="145"/>
      <c r="E87" s="146"/>
      <c r="F87" s="135"/>
      <c r="G87" s="199" t="s">
        <v>105</v>
      </c>
      <c r="H87" s="200" t="n">
        <f aca="false">SUM(J70:J86)</f>
        <v>7205.53333333333</v>
      </c>
      <c r="I87" s="145"/>
      <c r="J87" s="145"/>
      <c r="K87" s="146"/>
      <c r="L87" s="135"/>
      <c r="M87" s="199" t="s">
        <v>105</v>
      </c>
      <c r="N87" s="200" t="n">
        <f aca="false">SUM(P70:P86)</f>
        <v>7165.95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 t="s">
        <v>106</v>
      </c>
      <c r="B88" s="143" t="n">
        <f aca="false">B87/H29</f>
        <v>392.6625</v>
      </c>
      <c r="C88" s="145"/>
      <c r="D88" s="145"/>
      <c r="E88" s="146"/>
      <c r="F88" s="135"/>
      <c r="G88" s="138" t="s">
        <v>106</v>
      </c>
      <c r="H88" s="143" t="n">
        <f aca="false">H87/H29</f>
        <v>600.461111111111</v>
      </c>
      <c r="I88" s="145"/>
      <c r="J88" s="145"/>
      <c r="K88" s="146"/>
      <c r="L88" s="135"/>
      <c r="M88" s="138" t="s">
        <v>106</v>
      </c>
      <c r="N88" s="143" t="n">
        <f aca="false">N87/H29</f>
        <v>597.1625</v>
      </c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201" t="s">
        <v>107</v>
      </c>
      <c r="B89" s="202" t="n">
        <f aca="false">H46</f>
        <v>500.833333333333</v>
      </c>
      <c r="C89" s="145"/>
      <c r="D89" s="145"/>
      <c r="E89" s="146"/>
      <c r="F89" s="135"/>
      <c r="G89" s="201" t="s">
        <v>107</v>
      </c>
      <c r="H89" s="202" t="n">
        <f aca="false">H46</f>
        <v>500.833333333333</v>
      </c>
      <c r="I89" s="145"/>
      <c r="J89" s="145"/>
      <c r="K89" s="146"/>
      <c r="L89" s="135"/>
      <c r="M89" s="201" t="s">
        <v>107</v>
      </c>
      <c r="N89" s="202" t="n">
        <f aca="false">H46</f>
        <v>500.833333333333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138"/>
      <c r="B90" s="144"/>
      <c r="C90" s="145"/>
      <c r="D90" s="145"/>
      <c r="E90" s="146"/>
      <c r="F90" s="135"/>
      <c r="G90" s="138"/>
      <c r="H90" s="144"/>
      <c r="I90" s="145"/>
      <c r="J90" s="145"/>
      <c r="K90" s="146"/>
      <c r="L90" s="135"/>
      <c r="M90" s="138"/>
      <c r="N90" s="144"/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180" t="s">
        <v>108</v>
      </c>
      <c r="B91" s="203" t="n">
        <f aca="false">((B89*H29)+B87)</f>
        <v>10721.95</v>
      </c>
      <c r="C91" s="145"/>
      <c r="D91" s="145"/>
      <c r="E91" s="146"/>
      <c r="F91" s="135"/>
      <c r="G91" s="180" t="s">
        <v>108</v>
      </c>
      <c r="H91" s="203" t="n">
        <f aca="false">((H89*H29)+H87)*1.2</f>
        <v>15858.64</v>
      </c>
      <c r="I91" s="145"/>
      <c r="J91" s="145"/>
      <c r="K91" s="146"/>
      <c r="L91" s="135"/>
      <c r="M91" s="180" t="s">
        <v>108</v>
      </c>
      <c r="N91" s="203" t="n">
        <f aca="false">((N89*H29)+N87)</f>
        <v>13175.95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38" t="s">
        <v>109</v>
      </c>
      <c r="B92" s="143" t="n">
        <f aca="false">(((B89*H29)+B87)/(1-B76))*B76</f>
        <v>90.8273295683744</v>
      </c>
      <c r="C92" s="145"/>
      <c r="D92" s="145"/>
      <c r="E92" s="204"/>
      <c r="F92" s="135"/>
      <c r="G92" s="138" t="s">
        <v>109</v>
      </c>
      <c r="H92" s="143" t="n">
        <f aca="false">(((H89*H29)+H87)/(1-H76))*H76</f>
        <v>111.950867285196</v>
      </c>
      <c r="I92" s="145"/>
      <c r="J92" s="145"/>
      <c r="K92" s="146"/>
      <c r="L92" s="135"/>
      <c r="M92" s="138" t="s">
        <v>109</v>
      </c>
      <c r="N92" s="143" t="n">
        <f aca="false">(N91/(1-N76))*N76</f>
        <v>111.615550625252</v>
      </c>
      <c r="O92" s="145"/>
      <c r="P92" s="145"/>
      <c r="Q92" s="146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77" t="s">
        <v>110</v>
      </c>
      <c r="B93" s="185" t="n">
        <f aca="false">IF(B116="YES",((B91+B92)-E120),(B91+B92))</f>
        <v>10812.7773295684</v>
      </c>
      <c r="C93" s="145"/>
      <c r="D93" s="145"/>
      <c r="E93" s="146"/>
      <c r="F93" s="135"/>
      <c r="G93" s="177" t="s">
        <v>110</v>
      </c>
      <c r="H93" s="185" t="n">
        <f aca="false">IF(H116="YES",((H91+H92)-K120),(H91+H92))</f>
        <v>17970.5908672852</v>
      </c>
      <c r="I93" s="145"/>
      <c r="J93" s="145"/>
      <c r="K93" s="146"/>
      <c r="L93" s="135"/>
      <c r="M93" s="177" t="s">
        <v>110</v>
      </c>
      <c r="N93" s="185" t="n">
        <f aca="false">IF(N116="YES",((N91+N92)-K120),(N91+N92))</f>
        <v>15287.5655506253</v>
      </c>
      <c r="O93" s="145"/>
      <c r="P93" s="145"/>
      <c r="Q93" s="146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18.75" hidden="false" customHeight="true" outlineLevel="0" collapsed="false">
      <c r="A94" s="138"/>
      <c r="B94" s="144"/>
      <c r="C94" s="145"/>
      <c r="D94" s="145"/>
      <c r="E94" s="146"/>
      <c r="F94" s="135"/>
      <c r="G94" s="138"/>
      <c r="H94" s="144"/>
      <c r="I94" s="145"/>
      <c r="J94" s="145"/>
      <c r="K94" s="146"/>
      <c r="L94" s="135"/>
      <c r="M94" s="138"/>
      <c r="N94" s="144"/>
      <c r="O94" s="145"/>
      <c r="P94" s="145"/>
      <c r="Q94" s="146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99" t="s">
        <v>65</v>
      </c>
      <c r="B95" s="200" t="n">
        <f aca="false">IF(B105=Z104,(((H44*B35)+(H44*B35)*(B111/100))/(B64)),(((H44*B35)+(H44*B35)*(B111/100))/(B63+B64)))</f>
        <v>72</v>
      </c>
      <c r="C95" s="145"/>
      <c r="D95" s="145"/>
      <c r="E95" s="146"/>
      <c r="F95" s="135"/>
      <c r="G95" s="199" t="s">
        <v>65</v>
      </c>
      <c r="H95" s="200" t="e">
        <f aca="false">(((H44*B35)+((H44*B35)*H111))/(H63+H64))*1.2</f>
        <v>#DIV/0!</v>
      </c>
      <c r="I95" s="145"/>
      <c r="J95" s="145"/>
      <c r="K95" s="146"/>
      <c r="L95" s="135"/>
      <c r="M95" s="199" t="s">
        <v>65</v>
      </c>
      <c r="N95" s="200" t="e">
        <f aca="false">((H44*B35)+((H44*B35)*N111))/(N63+N64)</f>
        <v>#DIV/0!</v>
      </c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05" t="s">
        <v>111</v>
      </c>
      <c r="B96" s="206" t="n">
        <f aca="false">IF(B105=Z104, (B93-D111)/(B64), B93/(B63+B64))</f>
        <v>901.064777464031</v>
      </c>
      <c r="C96" s="145"/>
      <c r="D96" s="145"/>
      <c r="E96" s="146"/>
      <c r="F96" s="135"/>
      <c r="G96" s="205" t="s">
        <v>111</v>
      </c>
      <c r="H96" s="206" t="e">
        <f aca="false">IF(H105=Y104, (H93-J111)/(H64), H93/(H63+H64))</f>
        <v>#DIV/0!</v>
      </c>
      <c r="I96" s="145"/>
      <c r="J96" s="145"/>
      <c r="K96" s="146"/>
      <c r="L96" s="135"/>
      <c r="M96" s="205" t="s">
        <v>111</v>
      </c>
      <c r="N96" s="206" t="e">
        <f aca="false">IF(N105=Y104, (N93-P111)/(N64), N93/(N63+N64))</f>
        <v>#DIV/0!</v>
      </c>
      <c r="O96" s="145"/>
      <c r="P96" s="145"/>
      <c r="Q96" s="146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207" t="s">
        <v>112</v>
      </c>
      <c r="B97" s="208" t="n">
        <f aca="false">IF(A111="YES", B96+B95, B96)</f>
        <v>973.064777464031</v>
      </c>
      <c r="C97" s="145"/>
      <c r="D97" s="209"/>
      <c r="E97" s="146"/>
      <c r="F97" s="135"/>
      <c r="G97" s="207" t="s">
        <v>112</v>
      </c>
      <c r="H97" s="208" t="e">
        <f aca="false">IF(G111="YES", H96+H95, H96)</f>
        <v>#DIV/0!</v>
      </c>
      <c r="I97" s="145"/>
      <c r="J97" s="145"/>
      <c r="K97" s="146"/>
      <c r="L97" s="135"/>
      <c r="M97" s="207" t="s">
        <v>112</v>
      </c>
      <c r="N97" s="208" t="e">
        <f aca="false">IF(M111="YES", N96+N95, N96)</f>
        <v>#DIV/0!</v>
      </c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/>
      <c r="Z97" s="135"/>
    </row>
    <row r="98" customFormat="false" ht="18.75" hidden="false" customHeight="true" outlineLevel="0" collapsed="false">
      <c r="A98" s="177"/>
      <c r="B98" s="178"/>
      <c r="C98" s="178"/>
      <c r="D98" s="178"/>
      <c r="E98" s="179"/>
      <c r="F98" s="135"/>
      <c r="G98" s="177"/>
      <c r="H98" s="178"/>
      <c r="I98" s="178"/>
      <c r="J98" s="178"/>
      <c r="K98" s="179"/>
      <c r="L98" s="135"/>
      <c r="M98" s="177"/>
      <c r="N98" s="178"/>
      <c r="O98" s="178"/>
      <c r="P98" s="178"/>
      <c r="Q98" s="179"/>
      <c r="R98" s="135"/>
      <c r="S98" s="135"/>
      <c r="T98" s="135"/>
      <c r="U98" s="135"/>
      <c r="V98" s="135"/>
      <c r="W98" s="135"/>
      <c r="X98" s="135"/>
      <c r="Y98" s="135"/>
      <c r="Z98" s="135"/>
    </row>
    <row r="99" customFormat="false" ht="18.75" hidden="false" customHeight="true" outlineLevel="0" collapsed="false">
      <c r="A99" s="145"/>
      <c r="B99" s="145"/>
      <c r="C99" s="145"/>
      <c r="D99" s="145"/>
      <c r="E99" s="145"/>
      <c r="F99" s="135"/>
      <c r="G99" s="145"/>
      <c r="H99" s="145"/>
      <c r="I99" s="145"/>
      <c r="J99" s="145"/>
      <c r="K99" s="145"/>
      <c r="L99" s="135"/>
      <c r="M99" s="145"/>
      <c r="N99" s="145"/>
      <c r="O99" s="145"/>
      <c r="P99" s="145"/>
      <c r="Q99" s="145"/>
      <c r="R99" s="135"/>
      <c r="S99" s="135"/>
      <c r="T99" s="135"/>
      <c r="U99" s="135"/>
      <c r="V99" s="135"/>
      <c r="W99" s="135"/>
      <c r="X99" s="135"/>
      <c r="Y99" s="135"/>
      <c r="Z99" s="135"/>
    </row>
    <row r="100" customFormat="false" ht="48.75" hidden="false" customHeight="true" outlineLevel="0" collapsed="false">
      <c r="A100" s="27" t="s">
        <v>301</v>
      </c>
      <c r="B100" s="27"/>
      <c r="C100" s="27"/>
      <c r="D100" s="27"/>
      <c r="E100" s="27"/>
      <c r="F100" s="135"/>
      <c r="G100" s="27" t="s">
        <v>114</v>
      </c>
      <c r="H100" s="27"/>
      <c r="I100" s="27"/>
      <c r="J100" s="27"/>
      <c r="K100" s="27"/>
      <c r="L100" s="135"/>
      <c r="M100" s="27" t="s">
        <v>115</v>
      </c>
      <c r="N100" s="27"/>
      <c r="O100" s="27"/>
      <c r="P100" s="27"/>
      <c r="Q100" s="27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customFormat="false" ht="18.75" hidden="false" customHeight="true" outlineLevel="0" collapsed="false">
      <c r="A101" s="138"/>
      <c r="B101" s="145"/>
      <c r="C101" s="145"/>
      <c r="D101" s="145"/>
      <c r="E101" s="146"/>
      <c r="F101" s="135"/>
      <c r="G101" s="138"/>
      <c r="H101" s="145"/>
      <c r="I101" s="145"/>
      <c r="J101" s="145"/>
      <c r="K101" s="146"/>
      <c r="L101" s="135"/>
      <c r="M101" s="138"/>
      <c r="N101" s="145"/>
      <c r="O101" s="145"/>
      <c r="P101" s="145"/>
      <c r="Q101" s="146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5"/>
      <c r="G102" s="29" t="s">
        <v>116</v>
      </c>
      <c r="H102" s="29"/>
      <c r="I102" s="29"/>
      <c r="J102" s="29"/>
      <c r="K102" s="29"/>
      <c r="L102" s="135"/>
      <c r="M102" s="29" t="s">
        <v>116</v>
      </c>
      <c r="N102" s="29"/>
      <c r="O102" s="29"/>
      <c r="P102" s="29"/>
      <c r="Q102" s="29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/>
      <c r="Z103" s="135" t="s">
        <v>117</v>
      </c>
    </row>
    <row r="104" customFormat="false" ht="18.75" hidden="false" customHeight="true" outlineLevel="0" collapsed="false">
      <c r="A104" s="138" t="s">
        <v>118</v>
      </c>
      <c r="B104" s="145" t="s">
        <v>30</v>
      </c>
      <c r="C104" s="145"/>
      <c r="D104" s="145" t="s">
        <v>119</v>
      </c>
      <c r="E104" s="146"/>
      <c r="F104" s="135"/>
      <c r="G104" s="138" t="s">
        <v>118</v>
      </c>
      <c r="H104" s="145" t="s">
        <v>30</v>
      </c>
      <c r="I104" s="145"/>
      <c r="J104" s="145" t="s">
        <v>119</v>
      </c>
      <c r="K104" s="146"/>
      <c r="L104" s="135"/>
      <c r="M104" s="138" t="s">
        <v>118</v>
      </c>
      <c r="N104" s="145" t="s">
        <v>30</v>
      </c>
      <c r="O104" s="145"/>
      <c r="P104" s="145" t="s">
        <v>119</v>
      </c>
      <c r="Q104" s="146"/>
      <c r="R104" s="135"/>
      <c r="S104" s="135"/>
      <c r="T104" s="135"/>
      <c r="U104" s="135"/>
      <c r="V104" s="135"/>
      <c r="W104" s="135"/>
      <c r="X104" s="135"/>
      <c r="Y104" s="135"/>
      <c r="Z104" s="135" t="s">
        <v>120</v>
      </c>
    </row>
    <row r="105" customFormat="false" ht="18.75" hidden="false" customHeight="true" outlineLevel="0" collapsed="false">
      <c r="A105" s="154"/>
      <c r="B105" s="109" t="s">
        <v>117</v>
      </c>
      <c r="C105" s="109"/>
      <c r="D105" s="110" t="n">
        <v>1000</v>
      </c>
      <c r="E105" s="110"/>
      <c r="F105" s="135"/>
      <c r="G105" s="154" t="s">
        <v>121</v>
      </c>
      <c r="H105" s="109" t="s">
        <v>122</v>
      </c>
      <c r="I105" s="109"/>
      <c r="J105" s="110" t="n">
        <v>5000</v>
      </c>
      <c r="K105" s="110"/>
      <c r="L105" s="135"/>
      <c r="M105" s="154" t="s">
        <v>121</v>
      </c>
      <c r="N105" s="109" t="s">
        <v>123</v>
      </c>
      <c r="O105" s="109"/>
      <c r="P105" s="110" t="n">
        <v>0</v>
      </c>
      <c r="Q105" s="110"/>
      <c r="R105" s="135"/>
      <c r="S105" s="135"/>
      <c r="T105" s="135"/>
      <c r="U105" s="135"/>
      <c r="V105" s="135"/>
      <c r="W105" s="135"/>
      <c r="X105" s="135"/>
      <c r="Y105" s="135"/>
      <c r="Z105" s="135" t="s">
        <v>124</v>
      </c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 t="s">
        <v>125</v>
      </c>
    </row>
    <row r="107" customFormat="false" ht="18.75" hidden="false" customHeight="true" outlineLevel="0" collapsed="false">
      <c r="A107" s="138" t="s">
        <v>126</v>
      </c>
      <c r="B107" s="145" t="s">
        <v>127</v>
      </c>
      <c r="C107" s="145"/>
      <c r="D107" s="145" t="s">
        <v>128</v>
      </c>
      <c r="E107" s="146"/>
      <c r="F107" s="135"/>
      <c r="G107" s="138" t="s">
        <v>126</v>
      </c>
      <c r="H107" s="145" t="s">
        <v>127</v>
      </c>
      <c r="I107" s="145"/>
      <c r="J107" s="145" t="s">
        <v>128</v>
      </c>
      <c r="K107" s="146"/>
      <c r="L107" s="135"/>
      <c r="M107" s="138" t="s">
        <v>126</v>
      </c>
      <c r="N107" s="145" t="s">
        <v>127</v>
      </c>
      <c r="O107" s="145"/>
      <c r="P107" s="145" t="s">
        <v>128</v>
      </c>
      <c r="Q107" s="146"/>
      <c r="R107" s="135"/>
      <c r="S107" s="135"/>
      <c r="T107" s="135"/>
      <c r="U107" s="135"/>
      <c r="V107" s="135"/>
      <c r="W107" s="135"/>
      <c r="X107" s="135"/>
      <c r="Y107" s="135"/>
      <c r="Z107" s="135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5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5"/>
      <c r="M108" s="111" t="n">
        <v>199.99</v>
      </c>
      <c r="N108" s="112" t="n">
        <v>1200</v>
      </c>
      <c r="O108" s="112"/>
      <c r="P108" s="112" t="n">
        <v>1500</v>
      </c>
      <c r="Q108" s="112"/>
      <c r="R108" s="135"/>
      <c r="S108" s="135"/>
      <c r="T108" s="135"/>
      <c r="U108" s="135"/>
      <c r="V108" s="135"/>
      <c r="W108" s="135"/>
      <c r="X108" s="135"/>
      <c r="Y108" s="135"/>
      <c r="Z108" s="135" t="s">
        <v>123</v>
      </c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 t="s">
        <v>122</v>
      </c>
    </row>
    <row r="110" customFormat="false" ht="18.75" hidden="false" customHeight="true" outlineLevel="0" collapsed="false">
      <c r="A110" s="154" t="s">
        <v>130</v>
      </c>
      <c r="B110" s="135" t="s">
        <v>131</v>
      </c>
      <c r="C110" s="145"/>
      <c r="D110" s="145" t="s">
        <v>132</v>
      </c>
      <c r="E110" s="146"/>
      <c r="F110" s="135"/>
      <c r="G110" s="154" t="s">
        <v>130</v>
      </c>
      <c r="H110" s="135" t="s">
        <v>131</v>
      </c>
      <c r="I110" s="145"/>
      <c r="J110" s="145" t="s">
        <v>132</v>
      </c>
      <c r="K110" s="146"/>
      <c r="L110" s="135"/>
      <c r="M110" s="154" t="s">
        <v>130</v>
      </c>
      <c r="N110" s="135" t="s">
        <v>131</v>
      </c>
      <c r="O110" s="145"/>
      <c r="P110" s="145" t="s">
        <v>132</v>
      </c>
      <c r="Q110" s="146"/>
      <c r="R110" s="135"/>
      <c r="S110" s="135"/>
      <c r="T110" s="135"/>
      <c r="U110" s="135"/>
      <c r="V110" s="135"/>
      <c r="W110" s="135"/>
      <c r="X110" s="135"/>
      <c r="Y110" s="135"/>
      <c r="Z110" s="135" t="s">
        <v>133</v>
      </c>
    </row>
    <row r="111" customFormat="false" ht="18.75" hidden="false" customHeight="true" outlineLevel="0" collapsed="false">
      <c r="A111" s="156" t="s">
        <v>25</v>
      </c>
      <c r="B111" s="113" t="n">
        <v>20</v>
      </c>
      <c r="C111" s="113"/>
      <c r="D111" s="112" t="n">
        <v>200</v>
      </c>
      <c r="E111" s="112"/>
      <c r="F111" s="135"/>
      <c r="G111" s="156" t="s">
        <v>25</v>
      </c>
      <c r="H111" s="113" t="n">
        <v>0.2</v>
      </c>
      <c r="I111" s="113"/>
      <c r="J111" s="112" t="n">
        <v>5000</v>
      </c>
      <c r="K111" s="112"/>
      <c r="L111" s="135"/>
      <c r="M111" s="156" t="s">
        <v>25</v>
      </c>
      <c r="N111" s="113" t="n">
        <v>0.2</v>
      </c>
      <c r="O111" s="113"/>
      <c r="P111" s="112" t="n">
        <v>5000</v>
      </c>
      <c r="Q111" s="112"/>
      <c r="R111" s="135"/>
      <c r="S111" s="135"/>
      <c r="T111" s="135"/>
      <c r="U111" s="135"/>
      <c r="V111" s="135"/>
      <c r="W111" s="135"/>
      <c r="X111" s="135"/>
      <c r="Y111" s="135"/>
      <c r="Z111" s="135" t="s">
        <v>134</v>
      </c>
    </row>
    <row r="112" customFormat="false" ht="18.75" hidden="false" customHeight="true" outlineLevel="0" collapsed="false">
      <c r="A112" s="138"/>
      <c r="B112" s="145"/>
      <c r="C112" s="145"/>
      <c r="D112" s="145" t="s">
        <v>75</v>
      </c>
      <c r="E112" s="146"/>
      <c r="F112" s="135"/>
      <c r="G112" s="138"/>
      <c r="H112" s="145"/>
      <c r="I112" s="145"/>
      <c r="J112" s="145"/>
      <c r="K112" s="146"/>
      <c r="L112" s="135"/>
      <c r="M112" s="138"/>
      <c r="N112" s="145"/>
      <c r="O112" s="145"/>
      <c r="P112" s="145"/>
      <c r="Q112" s="146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/>
      <c r="B113" s="145"/>
      <c r="C113" s="145"/>
      <c r="D113" s="145"/>
      <c r="E113" s="146"/>
      <c r="F113" s="135"/>
      <c r="G113" s="138"/>
      <c r="H113" s="145"/>
      <c r="I113" s="145"/>
      <c r="J113" s="145"/>
      <c r="K113" s="146"/>
      <c r="L113" s="135"/>
      <c r="M113" s="138"/>
      <c r="N113" s="145" t="s">
        <v>135</v>
      </c>
      <c r="O113" s="156" t="s">
        <v>25</v>
      </c>
      <c r="P113" s="145"/>
      <c r="Q113" s="146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29" t="s">
        <v>136</v>
      </c>
      <c r="B114" s="29"/>
      <c r="C114" s="29"/>
      <c r="D114" s="29"/>
      <c r="E114" s="29"/>
      <c r="F114" s="135"/>
      <c r="G114" s="29" t="s">
        <v>136</v>
      </c>
      <c r="H114" s="29"/>
      <c r="I114" s="29"/>
      <c r="J114" s="29"/>
      <c r="K114" s="29"/>
      <c r="L114" s="135"/>
      <c r="M114" s="29" t="s">
        <v>136</v>
      </c>
      <c r="N114" s="29"/>
      <c r="O114" s="29"/>
      <c r="P114" s="29"/>
      <c r="Q114" s="29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/>
      <c r="B115" s="145"/>
      <c r="C115" s="145"/>
      <c r="D115" s="145"/>
      <c r="E115" s="146"/>
      <c r="F115" s="135"/>
      <c r="G115" s="138"/>
      <c r="H115" s="145"/>
      <c r="I115" s="145"/>
      <c r="J115" s="145"/>
      <c r="K115" s="146"/>
      <c r="L115" s="135"/>
      <c r="M115" s="138"/>
      <c r="N115" s="145"/>
      <c r="O115" s="145"/>
      <c r="P115" s="145"/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 t="s">
        <v>137</v>
      </c>
      <c r="B116" s="156" t="s">
        <v>26</v>
      </c>
      <c r="C116" s="145"/>
      <c r="D116" s="145"/>
      <c r="E116" s="146"/>
      <c r="F116" s="135"/>
      <c r="G116" s="138" t="s">
        <v>137</v>
      </c>
      <c r="H116" s="156" t="s">
        <v>25</v>
      </c>
      <c r="I116" s="145"/>
      <c r="J116" s="145"/>
      <c r="K116" s="146"/>
      <c r="L116" s="135"/>
      <c r="M116" s="138" t="s">
        <v>137</v>
      </c>
      <c r="N116" s="156" t="s">
        <v>25</v>
      </c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38"/>
      <c r="B117" s="145"/>
      <c r="C117" s="145"/>
      <c r="D117" s="145"/>
      <c r="E117" s="146"/>
      <c r="F117" s="135"/>
      <c r="G117" s="138"/>
      <c r="H117" s="145"/>
      <c r="I117" s="145"/>
      <c r="J117" s="145"/>
      <c r="K117" s="146"/>
      <c r="L117" s="135"/>
      <c r="M117" s="138"/>
      <c r="N117" s="145"/>
      <c r="O117" s="145"/>
      <c r="P117" s="145"/>
      <c r="Q117" s="146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138</v>
      </c>
      <c r="B118" s="145"/>
      <c r="C118" s="145"/>
      <c r="D118" s="111" t="n">
        <v>10000</v>
      </c>
      <c r="E118" s="112" t="n">
        <v>6000</v>
      </c>
      <c r="F118" s="135"/>
      <c r="G118" s="138" t="s">
        <v>138</v>
      </c>
      <c r="H118" s="145"/>
      <c r="I118" s="145"/>
      <c r="J118" s="111" t="n">
        <v>10000</v>
      </c>
      <c r="K118" s="112" t="n">
        <v>5000</v>
      </c>
      <c r="L118" s="135"/>
      <c r="M118" s="138" t="s">
        <v>138</v>
      </c>
      <c r="N118" s="145"/>
      <c r="O118" s="145"/>
      <c r="P118" s="111" t="n">
        <v>10000</v>
      </c>
      <c r="Q118" s="112" t="n">
        <v>5000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138" t="s">
        <v>139</v>
      </c>
      <c r="B119" s="145"/>
      <c r="C119" s="145"/>
      <c r="D119" s="210" t="n">
        <f aca="false">E119</f>
        <v>2000</v>
      </c>
      <c r="E119" s="112" t="n">
        <v>2000</v>
      </c>
      <c r="F119" s="135"/>
      <c r="G119" s="138" t="s">
        <v>139</v>
      </c>
      <c r="H119" s="145"/>
      <c r="I119" s="145"/>
      <c r="J119" s="210" t="n">
        <f aca="false">K119</f>
        <v>7000</v>
      </c>
      <c r="K119" s="112" t="n">
        <v>7000</v>
      </c>
      <c r="L119" s="135"/>
      <c r="M119" s="138" t="s">
        <v>139</v>
      </c>
      <c r="N119" s="145"/>
      <c r="O119" s="145"/>
      <c r="P119" s="210" t="n">
        <f aca="false">Q119</f>
        <v>7000</v>
      </c>
      <c r="Q119" s="112" t="n">
        <v>7000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 t="s">
        <v>140</v>
      </c>
      <c r="B120" s="145"/>
      <c r="C120" s="145"/>
      <c r="D120" s="210" t="n">
        <f aca="false">D118-D119</f>
        <v>8000</v>
      </c>
      <c r="E120" s="115" t="n">
        <f aca="false">E118-E119</f>
        <v>4000</v>
      </c>
      <c r="F120" s="135"/>
      <c r="G120" s="138" t="s">
        <v>140</v>
      </c>
      <c r="H120" s="145"/>
      <c r="I120" s="145"/>
      <c r="J120" s="210" t="n">
        <f aca="false">J118-J119</f>
        <v>3000</v>
      </c>
      <c r="K120" s="115" t="n">
        <f aca="false">K118-K119</f>
        <v>-2000</v>
      </c>
      <c r="L120" s="135"/>
      <c r="M120" s="138" t="s">
        <v>140</v>
      </c>
      <c r="N120" s="145"/>
      <c r="O120" s="145"/>
      <c r="P120" s="210" t="n">
        <f aca="false">P118-P119</f>
        <v>3000</v>
      </c>
      <c r="Q120" s="115" t="n">
        <f aca="false">Q118-Q119</f>
        <v>-2000</v>
      </c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 t="s">
        <v>141</v>
      </c>
      <c r="B121" s="145"/>
      <c r="C121" s="145"/>
      <c r="D121" s="210" t="n">
        <f aca="false">D120-E120</f>
        <v>4000</v>
      </c>
      <c r="E121" s="146"/>
      <c r="F121" s="135"/>
      <c r="G121" s="138" t="s">
        <v>141</v>
      </c>
      <c r="H121" s="145"/>
      <c r="I121" s="145"/>
      <c r="J121" s="210" t="n">
        <f aca="false">J120-K120</f>
        <v>5000</v>
      </c>
      <c r="K121" s="146"/>
      <c r="L121" s="135"/>
      <c r="M121" s="138" t="s">
        <v>141</v>
      </c>
      <c r="N121" s="145"/>
      <c r="O121" s="145"/>
      <c r="P121" s="210" t="n">
        <f aca="false">P120-Q120</f>
        <v>5000</v>
      </c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138"/>
      <c r="B122" s="145"/>
      <c r="C122" s="145"/>
      <c r="D122" s="145"/>
      <c r="E122" s="146"/>
      <c r="F122" s="135"/>
      <c r="G122" s="138"/>
      <c r="H122" s="145"/>
      <c r="I122" s="145"/>
      <c r="J122" s="145"/>
      <c r="K122" s="146"/>
      <c r="L122" s="135"/>
      <c r="M122" s="138"/>
      <c r="N122" s="145"/>
      <c r="O122" s="145"/>
      <c r="P122" s="145"/>
      <c r="Q122" s="146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80" t="s">
        <v>142</v>
      </c>
      <c r="B123" s="181"/>
      <c r="C123" s="181"/>
      <c r="D123" s="181"/>
      <c r="E123" s="203" t="n">
        <f aca="false">D105</f>
        <v>1000</v>
      </c>
      <c r="F123" s="135"/>
      <c r="G123" s="180" t="s">
        <v>142</v>
      </c>
      <c r="H123" s="181"/>
      <c r="I123" s="181"/>
      <c r="J123" s="181"/>
      <c r="K123" s="203" t="n">
        <f aca="false">J105</f>
        <v>5000</v>
      </c>
      <c r="L123" s="135"/>
      <c r="M123" s="180" t="s">
        <v>142</v>
      </c>
      <c r="N123" s="181"/>
      <c r="O123" s="181"/>
      <c r="P123" s="181"/>
      <c r="Q123" s="203" t="n">
        <f aca="false">P105</f>
        <v>0</v>
      </c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52</v>
      </c>
      <c r="B124" s="145"/>
      <c r="C124" s="145"/>
      <c r="D124" s="145"/>
      <c r="E124" s="143" t="n">
        <f aca="false">A108</f>
        <v>199.99</v>
      </c>
      <c r="F124" s="135"/>
      <c r="G124" s="138" t="s">
        <v>52</v>
      </c>
      <c r="H124" s="145"/>
      <c r="I124" s="145"/>
      <c r="J124" s="145"/>
      <c r="K124" s="143" t="n">
        <f aca="false">G108</f>
        <v>239.988</v>
      </c>
      <c r="L124" s="135"/>
      <c r="M124" s="138" t="s">
        <v>52</v>
      </c>
      <c r="N124" s="145"/>
      <c r="O124" s="145"/>
      <c r="P124" s="145"/>
      <c r="Q124" s="143" t="n">
        <f aca="false">M108</f>
        <v>199.99</v>
      </c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211" t="s">
        <v>143</v>
      </c>
      <c r="B125" s="178"/>
      <c r="C125" s="178"/>
      <c r="D125" s="178"/>
      <c r="E125" s="185" t="n">
        <f aca="false">(E124+E123)-E120</f>
        <v>-2800.01</v>
      </c>
      <c r="F125" s="135"/>
      <c r="G125" s="211" t="s">
        <v>143</v>
      </c>
      <c r="H125" s="178"/>
      <c r="I125" s="178"/>
      <c r="J125" s="178"/>
      <c r="K125" s="185" t="n">
        <f aca="false">(K124+K123)-K120</f>
        <v>7239.988</v>
      </c>
      <c r="L125" s="135"/>
      <c r="M125" s="211" t="s">
        <v>143</v>
      </c>
      <c r="N125" s="178"/>
      <c r="O125" s="178"/>
      <c r="P125" s="178"/>
      <c r="Q125" s="185" t="n">
        <f aca="false">(Q124+Q123)-Q120</f>
        <v>2199.99</v>
      </c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138"/>
      <c r="B126" s="145"/>
      <c r="C126" s="145"/>
      <c r="D126" s="145"/>
      <c r="E126" s="146"/>
      <c r="F126" s="135"/>
      <c r="G126" s="138"/>
      <c r="H126" s="145"/>
      <c r="I126" s="145"/>
      <c r="J126" s="145"/>
      <c r="K126" s="146"/>
      <c r="L126" s="135"/>
      <c r="M126" s="138"/>
      <c r="N126" s="145"/>
      <c r="O126" s="145"/>
      <c r="P126" s="145"/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38"/>
      <c r="B127" s="145"/>
      <c r="C127" s="145"/>
      <c r="D127" s="145"/>
      <c r="E127" s="146"/>
      <c r="F127" s="135"/>
      <c r="G127" s="138"/>
      <c r="H127" s="145"/>
      <c r="I127" s="145"/>
      <c r="J127" s="145"/>
      <c r="K127" s="146"/>
      <c r="L127" s="135"/>
      <c r="M127" s="138"/>
      <c r="N127" s="145"/>
      <c r="O127" s="145"/>
      <c r="P127" s="145"/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29" t="s">
        <v>144</v>
      </c>
      <c r="B128" s="29"/>
      <c r="C128" s="29"/>
      <c r="D128" s="29"/>
      <c r="E128" s="29"/>
      <c r="F128" s="135"/>
      <c r="G128" s="29" t="s">
        <v>144</v>
      </c>
      <c r="H128" s="29"/>
      <c r="I128" s="29"/>
      <c r="J128" s="29"/>
      <c r="K128" s="29"/>
      <c r="L128" s="135"/>
      <c r="M128" s="29" t="s">
        <v>144</v>
      </c>
      <c r="N128" s="29"/>
      <c r="O128" s="29"/>
      <c r="P128" s="29"/>
      <c r="Q128" s="29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/>
      <c r="B129" s="145"/>
      <c r="C129" s="145"/>
      <c r="D129" s="145"/>
      <c r="E129" s="146"/>
      <c r="F129" s="135"/>
      <c r="G129" s="138"/>
      <c r="H129" s="145"/>
      <c r="I129" s="145"/>
      <c r="J129" s="145"/>
      <c r="K129" s="146"/>
      <c r="L129" s="135"/>
      <c r="M129" s="138"/>
      <c r="N129" s="145"/>
      <c r="O129" s="145"/>
      <c r="P129" s="145"/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138" t="s">
        <v>145</v>
      </c>
      <c r="B130" s="117" t="n">
        <v>0</v>
      </c>
      <c r="C130" s="117"/>
      <c r="D130" s="145"/>
      <c r="E130" s="146"/>
      <c r="F130" s="135"/>
      <c r="G130" s="138" t="s">
        <v>145</v>
      </c>
      <c r="H130" s="117" t="n">
        <v>0</v>
      </c>
      <c r="I130" s="117"/>
      <c r="J130" s="145"/>
      <c r="K130" s="146"/>
      <c r="L130" s="135"/>
      <c r="M130" s="138" t="s">
        <v>145</v>
      </c>
      <c r="N130" s="117" t="n">
        <v>0</v>
      </c>
      <c r="O130" s="117"/>
      <c r="P130" s="145"/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81</v>
      </c>
      <c r="B132" s="145" t="s">
        <v>82</v>
      </c>
      <c r="C132" s="145"/>
      <c r="D132" s="145" t="s">
        <v>84</v>
      </c>
      <c r="E132" s="146"/>
      <c r="F132" s="135"/>
      <c r="G132" s="138" t="s">
        <v>81</v>
      </c>
      <c r="H132" s="145" t="s">
        <v>82</v>
      </c>
      <c r="I132" s="145"/>
      <c r="J132" s="145" t="s">
        <v>84</v>
      </c>
      <c r="K132" s="146"/>
      <c r="L132" s="135"/>
      <c r="M132" s="138" t="s">
        <v>81</v>
      </c>
      <c r="N132" s="145" t="s">
        <v>82</v>
      </c>
      <c r="O132" s="145"/>
      <c r="P132" s="145" t="s">
        <v>84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6"/>
      <c r="F133" s="135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6"/>
      <c r="L133" s="135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212" t="s">
        <v>146</v>
      </c>
      <c r="B135" s="213" t="s">
        <v>147</v>
      </c>
      <c r="C135" s="213"/>
      <c r="D135" s="213" t="s">
        <v>112</v>
      </c>
      <c r="E135" s="146"/>
      <c r="F135" s="135"/>
      <c r="G135" s="212" t="s">
        <v>148</v>
      </c>
      <c r="H135" s="213" t="s">
        <v>149</v>
      </c>
      <c r="I135" s="213"/>
      <c r="J135" s="213" t="s">
        <v>150</v>
      </c>
      <c r="K135" s="146"/>
      <c r="L135" s="135"/>
      <c r="M135" s="212" t="s">
        <v>146</v>
      </c>
      <c r="N135" s="213" t="s">
        <v>147</v>
      </c>
      <c r="O135" s="213"/>
      <c r="P135" s="213" t="s">
        <v>112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2" t="n">
        <f aca="false">B96</f>
        <v>901.064777464031</v>
      </c>
      <c r="B136" s="214" t="n">
        <f aca="false">IF(A111="YES", B95*B63, 0)</f>
        <v>72</v>
      </c>
      <c r="C136" s="214"/>
      <c r="D136" s="214" t="n">
        <f aca="false">B97</f>
        <v>973.064777464031</v>
      </c>
      <c r="E136" s="146"/>
      <c r="F136" s="135"/>
      <c r="G136" s="122" t="e">
        <f aca="false">H96</f>
        <v>#DIV/0!</v>
      </c>
      <c r="H136" s="214" t="e">
        <f aca="false">IF(G111="YES", H95*H63, 0)</f>
        <v>#DIV/0!</v>
      </c>
      <c r="I136" s="214"/>
      <c r="J136" s="124" t="e">
        <f aca="false">H97</f>
        <v>#DIV/0!</v>
      </c>
      <c r="K136" s="146"/>
      <c r="L136" s="135"/>
      <c r="M136" s="122" t="e">
        <f aca="false">N96</f>
        <v>#DIV/0!</v>
      </c>
      <c r="N136" s="214" t="e">
        <f aca="false">IF(M111="YES", N95*N63, 0)</f>
        <v>#DIV/0!</v>
      </c>
      <c r="O136" s="214"/>
      <c r="P136" s="214" t="e">
        <f aca="false">N97</f>
        <v>#DIV/0!</v>
      </c>
      <c r="Q136" s="146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151</v>
      </c>
      <c r="B138" s="145" t="s">
        <v>152</v>
      </c>
      <c r="C138" s="145"/>
      <c r="D138" s="145" t="s">
        <v>153</v>
      </c>
      <c r="E138" s="146"/>
      <c r="F138" s="135"/>
      <c r="G138" s="138" t="s">
        <v>154</v>
      </c>
      <c r="H138" s="145" t="s">
        <v>155</v>
      </c>
      <c r="I138" s="145"/>
      <c r="J138" s="145" t="s">
        <v>156</v>
      </c>
      <c r="K138" s="146"/>
      <c r="L138" s="135"/>
      <c r="M138" s="138" t="s">
        <v>151</v>
      </c>
      <c r="N138" s="145" t="s">
        <v>152</v>
      </c>
      <c r="O138" s="145"/>
      <c r="P138" s="145" t="s">
        <v>153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5" t="n">
        <f aca="false">B96*B63</f>
        <v>901.064777464031</v>
      </c>
      <c r="B139" s="215" t="n">
        <f aca="false">IF(A111="YES", B95*B63, 0)</f>
        <v>72</v>
      </c>
      <c r="C139" s="155"/>
      <c r="D139" s="128" t="n">
        <f aca="false">B97*B63</f>
        <v>973.064777464031</v>
      </c>
      <c r="E139" s="146"/>
      <c r="F139" s="135"/>
      <c r="G139" s="125" t="e">
        <f aca="false">H96*H63</f>
        <v>#DIV/0!</v>
      </c>
      <c r="H139" s="215" t="e">
        <f aca="false">IF(G111="YES", H95*H63, 0)</f>
        <v>#DIV/0!</v>
      </c>
      <c r="I139" s="155"/>
      <c r="J139" s="215" t="e">
        <f aca="false">H97*H63</f>
        <v>#DIV/0!</v>
      </c>
      <c r="K139" s="146"/>
      <c r="L139" s="135"/>
      <c r="M139" s="125" t="e">
        <f aca="false">N96*N63</f>
        <v>#DIV/0!</v>
      </c>
      <c r="N139" s="215" t="e">
        <f aca="false">IF(M111="YES", N95*N63, 0)</f>
        <v>#DIV/0!</v>
      </c>
      <c r="O139" s="155"/>
      <c r="P139" s="128" t="e">
        <f aca="false">N97*N63</f>
        <v>#DIV/0!</v>
      </c>
      <c r="Q139" s="146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157</v>
      </c>
      <c r="B141" s="145" t="s">
        <v>158</v>
      </c>
      <c r="C141" s="145"/>
      <c r="D141" s="145" t="s">
        <v>159</v>
      </c>
      <c r="E141" s="146"/>
      <c r="F141" s="135"/>
      <c r="G141" s="138" t="s">
        <v>160</v>
      </c>
      <c r="H141" s="145" t="s">
        <v>161</v>
      </c>
      <c r="I141" s="145"/>
      <c r="J141" s="145" t="s">
        <v>162</v>
      </c>
      <c r="K141" s="146"/>
      <c r="L141" s="135"/>
      <c r="M141" s="138" t="s">
        <v>157</v>
      </c>
      <c r="N141" s="145" t="s">
        <v>158</v>
      </c>
      <c r="O141" s="145"/>
      <c r="P141" s="145" t="s">
        <v>159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E15*0.000006</f>
        <v>0.35115</v>
      </c>
      <c r="B142" s="215" t="n">
        <f aca="false">IF(A111="YES", E15*0.000002, 0)</f>
        <v>0.11705</v>
      </c>
      <c r="C142" s="215"/>
      <c r="D142" s="215" t="n">
        <f aca="false">A142+B142</f>
        <v>0.4682</v>
      </c>
      <c r="E142" s="130"/>
      <c r="F142" s="135"/>
      <c r="G142" s="129" t="n">
        <f aca="false">E15*0.000006</f>
        <v>0.35115</v>
      </c>
      <c r="H142" s="215" t="n">
        <f aca="false">IF(G111="YES", E15*0.000002, 0)</f>
        <v>0.11705</v>
      </c>
      <c r="I142" s="215"/>
      <c r="J142" s="215" t="n">
        <f aca="false">G142+H142</f>
        <v>0.4682</v>
      </c>
      <c r="K142" s="130"/>
      <c r="L142" s="135"/>
      <c r="M142" s="129" t="n">
        <f aca="false">E15*0.000006</f>
        <v>0.35115</v>
      </c>
      <c r="N142" s="215" t="n">
        <f aca="false">IF(M111="YES", E15*0.000002, 0)</f>
        <v>0.11705</v>
      </c>
      <c r="O142" s="215"/>
      <c r="P142" s="215" t="n">
        <f aca="false">M142+N142</f>
        <v>0.4682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163</v>
      </c>
      <c r="B144" s="145" t="s">
        <v>164</v>
      </c>
      <c r="C144" s="145"/>
      <c r="D144" s="145" t="s">
        <v>165</v>
      </c>
      <c r="E144" s="146"/>
      <c r="F144" s="135"/>
      <c r="G144" s="138" t="s">
        <v>166</v>
      </c>
      <c r="H144" s="145" t="s">
        <v>164</v>
      </c>
      <c r="I144" s="145"/>
      <c r="J144" s="145" t="s">
        <v>165</v>
      </c>
      <c r="K144" s="146"/>
      <c r="L144" s="135"/>
      <c r="M144" s="138" t="s">
        <v>163</v>
      </c>
      <c r="N144" s="145" t="s">
        <v>164</v>
      </c>
      <c r="O144" s="145"/>
      <c r="P144" s="145" t="s">
        <v>165</v>
      </c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f aca="false">A108</f>
        <v>199.99</v>
      </c>
      <c r="B145" s="215" t="n">
        <f aca="false">B73/1.2</f>
        <v>482.375</v>
      </c>
      <c r="C145" s="215"/>
      <c r="D145" s="215" t="n">
        <f aca="false">B108*0.9</f>
        <v>0</v>
      </c>
      <c r="E145" s="130"/>
      <c r="F145" s="135"/>
      <c r="G145" s="129" t="n">
        <f aca="false">G108</f>
        <v>239.988</v>
      </c>
      <c r="H145" s="215" t="n">
        <f aca="false">H73/1.2</f>
        <v>241.1875</v>
      </c>
      <c r="I145" s="215"/>
      <c r="J145" s="215" t="n">
        <f aca="false">H108*0.9</f>
        <v>1080</v>
      </c>
      <c r="K145" s="130"/>
      <c r="L145" s="135"/>
      <c r="M145" s="129" t="n">
        <f aca="false">M108</f>
        <v>199.99</v>
      </c>
      <c r="N145" s="215" t="n">
        <f aca="false">N73/1.2</f>
        <v>241.1875</v>
      </c>
      <c r="O145" s="215"/>
      <c r="P145" s="215" t="n">
        <f aca="false">N108*0.9</f>
        <v>1080</v>
      </c>
      <c r="Q145" s="130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38"/>
      <c r="N146" s="14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 t="s">
        <v>167</v>
      </c>
      <c r="B147" s="145" t="s">
        <v>168</v>
      </c>
      <c r="C147" s="145"/>
      <c r="D147" s="145" t="s">
        <v>169</v>
      </c>
      <c r="E147" s="146"/>
      <c r="F147" s="135"/>
      <c r="G147" s="138" t="s">
        <v>167</v>
      </c>
      <c r="H147" s="145" t="s">
        <v>168</v>
      </c>
      <c r="I147" s="145"/>
      <c r="J147" s="145" t="s">
        <v>169</v>
      </c>
      <c r="K147" s="146"/>
      <c r="L147" s="135"/>
      <c r="M147" s="138" t="s">
        <v>167</v>
      </c>
      <c r="N147" s="145" t="s">
        <v>168</v>
      </c>
      <c r="O147" s="145"/>
      <c r="P147" s="145" t="s">
        <v>169</v>
      </c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29" t="n">
        <f aca="false">IF(A111="YES", ((A41*B111)*0.1)*(A133), 0)</f>
        <v>1440</v>
      </c>
      <c r="B148" s="215" t="n">
        <f aca="false">A108-100</f>
        <v>99.99</v>
      </c>
      <c r="C148" s="215"/>
      <c r="D148" s="215" t="n">
        <f aca="false">(B145+D145+A148+B148)-B151</f>
        <v>2022.365</v>
      </c>
      <c r="E148" s="130"/>
      <c r="F148" s="135"/>
      <c r="G148" s="129" t="n">
        <f aca="false">IF(G111="YES", ((A41*H111)*0.1)*(G133), 0)</f>
        <v>14.4</v>
      </c>
      <c r="H148" s="215" t="n">
        <f aca="false">G108-100</f>
        <v>139.988</v>
      </c>
      <c r="I148" s="215"/>
      <c r="J148" s="215" t="n">
        <f aca="false">(H145+J145+G148+H148)-H151</f>
        <v>1475.5755</v>
      </c>
      <c r="K148" s="130"/>
      <c r="L148" s="135"/>
      <c r="M148" s="129" t="n">
        <f aca="false">IF(M111="YES", ((A41*N111)*0.1)*(M133), 0)</f>
        <v>14.4</v>
      </c>
      <c r="N148" s="215" t="n">
        <f aca="false">M108-100</f>
        <v>99.99</v>
      </c>
      <c r="O148" s="215"/>
      <c r="P148" s="215" t="n">
        <f aca="false">(N145+P145+M148+N148)-N151</f>
        <v>1435.5775</v>
      </c>
      <c r="Q148" s="130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45"/>
      <c r="C149" s="145"/>
      <c r="D149" s="145"/>
      <c r="E149" s="146"/>
      <c r="F149" s="135"/>
      <c r="G149" s="138"/>
      <c r="H149" s="145"/>
      <c r="I149" s="14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138" t="s">
        <v>170</v>
      </c>
      <c r="B150" s="145" t="s">
        <v>171</v>
      </c>
      <c r="C150" s="145"/>
      <c r="D150" s="145"/>
      <c r="E150" s="146"/>
      <c r="F150" s="135"/>
      <c r="G150" s="138" t="s">
        <v>170</v>
      </c>
      <c r="H150" s="145" t="s">
        <v>171</v>
      </c>
      <c r="I150" s="145"/>
      <c r="J150" s="145"/>
      <c r="K150" s="146"/>
      <c r="L150" s="135"/>
      <c r="M150" s="138" t="s">
        <v>170</v>
      </c>
      <c r="N150" s="145" t="s">
        <v>171</v>
      </c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129" t="n">
        <v>0</v>
      </c>
      <c r="B151" s="215" t="n">
        <f aca="false">(B145+D145+A148+B148)*(A151/B70)</f>
        <v>0</v>
      </c>
      <c r="C151" s="145"/>
      <c r="D151" s="145"/>
      <c r="E151" s="146"/>
      <c r="F151" s="135"/>
      <c r="G151" s="129" t="n">
        <f aca="false">IF((1200-H108) &lt;= 0, 0, (1200-H108))</f>
        <v>0</v>
      </c>
      <c r="H151" s="215" t="n">
        <f aca="false">(H145+J145+G148+H148)*(G151/H70)</f>
        <v>0</v>
      </c>
      <c r="I151" s="145"/>
      <c r="J151" s="145"/>
      <c r="K151" s="146"/>
      <c r="L151" s="135"/>
      <c r="M151" s="129" t="n">
        <f aca="false">IF((1200-N108) &lt;= 0, 0, (1200-N108))</f>
        <v>0</v>
      </c>
      <c r="N151" s="215" t="n">
        <f aca="false">(N145+P145+M148+N148)*(M151/N70)</f>
        <v>0</v>
      </c>
      <c r="O151" s="145"/>
      <c r="P151" s="145"/>
      <c r="Q151" s="146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138"/>
      <c r="B152" s="145"/>
      <c r="C152" s="145"/>
      <c r="D152" s="145"/>
      <c r="E152" s="146"/>
      <c r="F152" s="135"/>
      <c r="G152" s="138"/>
      <c r="H152" s="145"/>
      <c r="I152" s="145"/>
      <c r="J152" s="145"/>
      <c r="K152" s="146"/>
      <c r="L152" s="135"/>
      <c r="M152" s="129"/>
      <c r="N152" s="215"/>
      <c r="O152" s="14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131" t="s">
        <v>172</v>
      </c>
      <c r="N153" s="210" t="s">
        <v>173</v>
      </c>
      <c r="O153" s="145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172" t="s">
        <v>174</v>
      </c>
      <c r="B154" s="145"/>
      <c r="C154" s="145"/>
      <c r="D154" s="173"/>
      <c r="E154" s="174"/>
      <c r="F154" s="135"/>
      <c r="G154" s="172" t="s">
        <v>174</v>
      </c>
      <c r="H154" s="145"/>
      <c r="I154" s="145"/>
      <c r="J154" s="173"/>
      <c r="K154" s="174"/>
      <c r="L154" s="135"/>
      <c r="M154" s="132" t="n">
        <f aca="false">H40</f>
        <v>0</v>
      </c>
      <c r="N154" s="133" t="n">
        <v>0.99</v>
      </c>
      <c r="O154" s="13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75"/>
      <c r="C155" s="175"/>
      <c r="D155" s="145"/>
      <c r="E155" s="146"/>
      <c r="F155" s="135"/>
      <c r="G155" s="138"/>
      <c r="H155" s="175"/>
      <c r="I155" s="175"/>
      <c r="J155" s="145"/>
      <c r="K155" s="146"/>
      <c r="L155" s="135"/>
      <c r="M155" s="138"/>
      <c r="N155" s="145"/>
      <c r="O155" s="14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5"/>
      <c r="E156" s="146"/>
      <c r="F156" s="135"/>
      <c r="G156" s="71" t="s">
        <v>81</v>
      </c>
      <c r="H156" s="72" t="s">
        <v>82</v>
      </c>
      <c r="I156" s="72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5"/>
      <c r="E157" s="146"/>
      <c r="F157" s="135"/>
      <c r="G157" s="71"/>
      <c r="H157" s="73" t="str">
        <f aca="false">B57</f>
        <v>5000</v>
      </c>
      <c r="I157" s="73"/>
      <c r="J157" s="145"/>
      <c r="K157" s="146"/>
      <c r="L157" s="135"/>
      <c r="M157" s="172" t="s">
        <v>174</v>
      </c>
      <c r="N157" s="145"/>
      <c r="O157" s="145"/>
      <c r="P157" s="173"/>
      <c r="Q157" s="174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973.064777464031</v>
      </c>
      <c r="C158" s="75"/>
      <c r="D158" s="145"/>
      <c r="E158" s="146"/>
      <c r="F158" s="135"/>
      <c r="G158" s="74" t="str">
        <f aca="false">A58</f>
        <v>12</v>
      </c>
      <c r="H158" s="75" t="e">
        <f aca="false">H97</f>
        <v>#DIV/0!</v>
      </c>
      <c r="I158" s="75"/>
      <c r="J158" s="145"/>
      <c r="K158" s="146"/>
      <c r="L158" s="135"/>
      <c r="M158" s="138"/>
      <c r="N158" s="175"/>
      <c r="O158" s="17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8"/>
      <c r="B159" s="145"/>
      <c r="C159" s="145"/>
      <c r="D159" s="145"/>
      <c r="E159" s="146"/>
      <c r="F159" s="135"/>
      <c r="G159" s="138"/>
      <c r="H159" s="145"/>
      <c r="I159" s="145"/>
      <c r="J159" s="145"/>
      <c r="K159" s="146"/>
      <c r="L159" s="135"/>
      <c r="M159" s="71" t="s">
        <v>81</v>
      </c>
      <c r="N159" s="72" t="s">
        <v>82</v>
      </c>
      <c r="O159" s="72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8"/>
      <c r="B160" s="145"/>
      <c r="C160" s="145"/>
      <c r="D160" s="145"/>
      <c r="E160" s="146"/>
      <c r="F160" s="135"/>
      <c r="G160" s="138"/>
      <c r="H160" s="145"/>
      <c r="I160" s="145"/>
      <c r="J160" s="145"/>
      <c r="K160" s="146"/>
      <c r="L160" s="135"/>
      <c r="M160" s="71"/>
      <c r="N160" s="73" t="str">
        <f aca="false">B57</f>
        <v>5000</v>
      </c>
      <c r="O160" s="73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8"/>
      <c r="B161" s="145"/>
      <c r="C161" s="145"/>
      <c r="D161" s="145"/>
      <c r="E161" s="146"/>
      <c r="F161" s="135"/>
      <c r="G161" s="138"/>
      <c r="H161" s="145"/>
      <c r="I161" s="145"/>
      <c r="J161" s="145"/>
      <c r="K161" s="146"/>
      <c r="L161" s="135"/>
      <c r="M161" s="74" t="str">
        <f aca="false">A58</f>
        <v>12</v>
      </c>
      <c r="N161" s="75" t="e">
        <f aca="false">N97</f>
        <v>#DIV/0!</v>
      </c>
      <c r="O161" s="7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8"/>
      <c r="B162" s="145"/>
      <c r="C162" s="145"/>
      <c r="D162" s="145"/>
      <c r="E162" s="146"/>
      <c r="F162" s="135"/>
      <c r="G162" s="138"/>
      <c r="H162" s="145"/>
      <c r="I162" s="145"/>
      <c r="J162" s="145"/>
      <c r="K162" s="146"/>
      <c r="L162" s="135"/>
      <c r="M162" s="138"/>
      <c r="N162" s="145"/>
      <c r="O162" s="145"/>
      <c r="P162" s="145"/>
      <c r="Q162" s="146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77"/>
      <c r="B163" s="178"/>
      <c r="C163" s="178"/>
      <c r="D163" s="178"/>
      <c r="E163" s="179"/>
      <c r="F163" s="135"/>
      <c r="G163" s="177"/>
      <c r="H163" s="178"/>
      <c r="I163" s="178"/>
      <c r="J163" s="178"/>
      <c r="K163" s="179"/>
      <c r="L163" s="135"/>
      <c r="M163" s="138"/>
      <c r="N163" s="145"/>
      <c r="O163" s="145"/>
      <c r="P163" s="145"/>
      <c r="Q163" s="146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8"/>
      <c r="N164" s="145"/>
      <c r="O164" s="145"/>
      <c r="P164" s="145"/>
      <c r="Q164" s="146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8"/>
      <c r="N165" s="145"/>
      <c r="O165" s="145"/>
      <c r="P165" s="145"/>
      <c r="Q165" s="146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8"/>
      <c r="N166" s="145"/>
      <c r="O166" s="145"/>
      <c r="P166" s="145"/>
      <c r="Q166" s="146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8"/>
      <c r="N167" s="145"/>
      <c r="O167" s="145"/>
      <c r="P167" s="145"/>
      <c r="Q167" s="146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77"/>
      <c r="N168" s="178"/>
      <c r="O168" s="178"/>
      <c r="P168" s="178"/>
      <c r="Q168" s="179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8.75" hidden="false" customHeight="true" outlineLevel="0" collapsed="false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customFormat="false" ht="18.75" hidden="false" customHeight="true" outlineLevel="0" collapsed="false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customFormat="false" ht="18.75" hidden="false" customHeight="true" outlineLevel="0" collapsed="false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customFormat="false" ht="18.75" hidden="false" customHeight="true" outlineLevel="0" collapsed="false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customFormat="false" ht="18.75" hidden="false" customHeight="true" outlineLevel="0" collapsed="false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customFormat="false" ht="18.75" hidden="false" customHeight="true" outlineLevel="0" collapsed="false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B95" activeCellId="0" sqref="B95"/>
    </sheetView>
  </sheetViews>
  <sheetFormatPr defaultColWidth="10.878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139" t="n">
        <v>46854.17</v>
      </c>
      <c r="C3" s="139" t="n">
        <v>0</v>
      </c>
      <c r="D3" s="139" t="n">
        <v>833.33</v>
      </c>
      <c r="E3" s="140" t="n">
        <v>0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7" t="n">
        <f aca="false">B7+C7+D7+E3</f>
        <v>47687.5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(E9+E10)*20%</f>
        <v>9647.5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8" t="n">
        <f aca="false">(E9+E10+E13+E14+E11)-E12</f>
        <v>58525</v>
      </c>
      <c r="F15" s="135"/>
      <c r="G15" s="149" t="n">
        <f aca="false">E15</f>
        <v>58525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/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7.35" hidden="false" customHeight="fals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IF(A32=Y103,1,IF(A32=Y104,1,IF(A32=Y105,3,IF(A32=Y106,6,IF(A32=Y107,9,IF(A32=Y108,12,IF(A32=Y109,3,IF(A32=Y110,6,IF(A32=Y111,9,0)))))))))</f>
        <v>0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IF(A32=Y103,H29-H37,IF(A32=Y104,H29-H37,IF(A32=Y105,H29-1,IF(A32=Y106,H29-1,IF(A32=Y107,H29-1,IF(A32=Y108,H29-1,IF(A32=Y109,H29-H37,IF(A32=Y110,H29-H37,IF(A32=Y111,H29-H37,0)))))))))</f>
        <v>0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12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str">
        <f aca="false">IF(A32=Z103,A41,IF(A32=Z104,A41,IF(A32=Z105,(A41*3),IF(A32=Z106,(A41*6),IF(A32=Z107,(A41*9),IF(A32=Z108,(A41*12),IF(A32=Z109,A41,IF(A32=Z110,A41,IF(A32=Z111,A41,0)))))))))</f>
        <v>50</v>
      </c>
      <c r="E32" s="159"/>
      <c r="F32" s="135"/>
      <c r="G32" s="160" t="s">
        <v>177</v>
      </c>
      <c r="H32" s="158" t="str">
        <f aca="false">A41</f>
        <v>50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18.75" hidden="false" customHeight="tru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str">
        <f aca="false">D41</f>
        <v>6000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10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59" t="n">
        <f aca="false">B32+D32</f>
        <v>550</v>
      </c>
      <c r="B35" s="37" t="s">
        <v>44</v>
      </c>
      <c r="C35" s="37"/>
      <c r="D35" s="37" t="s">
        <v>45</v>
      </c>
      <c r="E35" s="37"/>
      <c r="F35" s="135"/>
      <c r="G35" s="162"/>
      <c r="H35" s="163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38"/>
      <c r="B36" s="145"/>
      <c r="C36" s="145"/>
      <c r="D36" s="145"/>
      <c r="E36" s="146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64" t="n">
        <f aca="false">(B35/12)*D35</f>
        <v>5000</v>
      </c>
      <c r="B38" s="37" t="s">
        <v>25</v>
      </c>
      <c r="C38" s="37"/>
      <c r="D38" s="42" t="s">
        <v>55</v>
      </c>
      <c r="E38" s="42"/>
      <c r="F38" s="135"/>
      <c r="G38" s="135"/>
      <c r="H38" s="135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57"/>
      <c r="B39" s="45"/>
      <c r="C39" s="45"/>
      <c r="D39" s="145"/>
      <c r="E39" s="146"/>
      <c r="F39" s="135"/>
      <c r="G39" s="135"/>
      <c r="H39" s="165"/>
      <c r="I39" s="165"/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16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5"/>
      <c r="G41" s="135"/>
      <c r="H41" s="167"/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500.833333333333</v>
      </c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42" t="s">
        <v>70</v>
      </c>
      <c r="B44" s="42" t="n">
        <v>1</v>
      </c>
      <c r="C44" s="42"/>
      <c r="D44" s="42" t="s">
        <v>300</v>
      </c>
      <c r="E44" s="42"/>
      <c r="F44" s="135"/>
      <c r="G44" s="135" t="s">
        <v>185</v>
      </c>
      <c r="H44" s="165" t="str">
        <f aca="false">H32</f>
        <v>50</v>
      </c>
      <c r="I44" s="62" t="n">
        <f aca="false">((A41*(B35-1))+D32)/B35</f>
        <v>50</v>
      </c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550.833333333333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500.833333333333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70" t="n">
        <v>0</v>
      </c>
      <c r="B47" s="367" t="s">
        <v>300</v>
      </c>
      <c r="C47" s="367"/>
      <c r="D47" s="42" t="s">
        <v>300</v>
      </c>
      <c r="E47" s="42"/>
      <c r="F47" s="135"/>
      <c r="G47" s="135"/>
      <c r="H47" s="165"/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5"/>
      <c r="G48" s="135"/>
      <c r="H48" s="165"/>
      <c r="I48" s="16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5"/>
      <c r="G49" s="135"/>
      <c r="H49" s="165"/>
      <c r="I49" s="16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B50" s="45"/>
      <c r="C50" s="45"/>
      <c r="D50" s="45"/>
      <c r="E50" s="61"/>
      <c r="F50" s="135"/>
      <c r="G50" s="135"/>
      <c r="H50" s="16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5"/>
      <c r="G51" s="135"/>
      <c r="H51" s="165"/>
      <c r="I51" s="16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5"/>
      <c r="G52" s="135"/>
      <c r="H52" s="165"/>
      <c r="I52" s="16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5"/>
      <c r="G53" s="135"/>
      <c r="H53" s="165"/>
      <c r="I53" s="16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2" t="s">
        <v>73</v>
      </c>
      <c r="B54" s="145"/>
      <c r="C54" s="145"/>
      <c r="D54" s="173"/>
      <c r="E54" s="174"/>
      <c r="F54" s="135"/>
      <c r="G54" s="135"/>
      <c r="H54" s="165"/>
      <c r="I54" s="16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38"/>
      <c r="B55" s="175"/>
      <c r="C55" s="175"/>
      <c r="D55" s="145"/>
      <c r="E55" s="146"/>
      <c r="F55" s="135"/>
      <c r="G55" s="135"/>
      <c r="H55" s="176"/>
      <c r="I55" s="16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5"/>
      <c r="E56" s="146"/>
      <c r="F56" s="135"/>
      <c r="G56" s="135"/>
      <c r="H56" s="135"/>
      <c r="I56" s="16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5"/>
      <c r="E57" s="146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550.833333333333</v>
      </c>
      <c r="C58" s="75"/>
      <c r="D58" s="145"/>
      <c r="E58" s="146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77"/>
      <c r="B60" s="178"/>
      <c r="C60" s="178"/>
      <c r="D60" s="178"/>
      <c r="E60" s="179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45"/>
      <c r="B61" s="145"/>
      <c r="C61" s="145"/>
      <c r="D61" s="145"/>
      <c r="E61" s="145"/>
      <c r="F61" s="135"/>
      <c r="G61" s="145"/>
      <c r="H61" s="145"/>
      <c r="I61" s="145"/>
      <c r="J61" s="145"/>
      <c r="K61" s="145"/>
      <c r="L61" s="135"/>
      <c r="M61" s="145"/>
      <c r="N61" s="145"/>
      <c r="O61" s="145"/>
      <c r="P61" s="145"/>
      <c r="Q61" s="145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0"/>
      <c r="B62" s="181" t="s">
        <v>75</v>
      </c>
      <c r="C62" s="181"/>
      <c r="D62" s="181"/>
      <c r="E62" s="182"/>
      <c r="F62" s="135"/>
      <c r="G62" s="180"/>
      <c r="H62" s="181"/>
      <c r="I62" s="181"/>
      <c r="J62" s="181"/>
      <c r="K62" s="182"/>
      <c r="L62" s="135"/>
      <c r="M62" s="180"/>
      <c r="N62" s="181"/>
      <c r="O62" s="181"/>
      <c r="P62" s="181"/>
      <c r="Q62" s="182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83</v>
      </c>
      <c r="B63" s="145" t="n">
        <f aca="false">IF(B105=Z103,1,IF(B105=Z104,1,IF(B105=Z105,3,IF(B105=Z106,6,IF(B105=Z107,9,IF(B105=Z108,12,IF(B105=Z109,3,IF(B105=Z110,6,IF(B105=Z111,9,0)))))))))</f>
        <v>1</v>
      </c>
      <c r="C63" s="145"/>
      <c r="D63" s="145"/>
      <c r="E63" s="146"/>
      <c r="F63" s="135"/>
      <c r="G63" s="138" t="s">
        <v>83</v>
      </c>
      <c r="H63" s="145" t="n">
        <f aca="false">IF(H105=Y103,1,IF(H105=Y104,1,IF(H105=Y105,3,IF(H105=Y106,6,IF(H105=Y107,9,IF(H105=Y108,12,IF(H105=Y109,3,IF(H105=Y110,6,IF(H105=Y111,9,0)))))))))</f>
        <v>0</v>
      </c>
      <c r="I63" s="145"/>
      <c r="J63" s="145"/>
      <c r="K63" s="146"/>
      <c r="L63" s="135"/>
      <c r="M63" s="138" t="s">
        <v>83</v>
      </c>
      <c r="N63" s="145" t="n">
        <f aca="false">IF(N105=Y103,1,IF(N105=Y104,1,IF(N105=Y105,3,IF(N105=Y106,6,IF(N105=Y107,9,IF(N105=Y108,12,IF(N105=Y109,3,IF(N105=Y110,6,IF(N105=Y111,9,0)))))))))</f>
        <v>0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38" t="s">
        <v>84</v>
      </c>
      <c r="B64" s="145" t="n">
        <f aca="false">IF(B105=Z103,H29-B63,IF(B105=Z104,H29-B63,IF(B105=Z105,H29-1,IF(B105=Z106,H29-1,IF(B105=Z107,H29-1,IF(B105=Z108,H29-1,IF(B105=Z109,H29-B63,IF(B105=Z110,H29-B63,IF(B105=Z111,H29-B63,0)))))))))</f>
        <v>11</v>
      </c>
      <c r="C64" s="145"/>
      <c r="D64" s="145"/>
      <c r="E64" s="146"/>
      <c r="F64" s="135"/>
      <c r="G64" s="138" t="s">
        <v>84</v>
      </c>
      <c r="H64" s="145" t="n">
        <f aca="false">IF(H105=Y103,H29-H63,IF(H105=Y104,H29-H63,IF(H105=Y105,H29-1,IF(H105=Y106,H29-1,IF(H105=Y107,H29-1,IF(H105=Y108,H29-1,IF(H105=Y109,H29-H63,IF(H105=Y110,H29-H63,IF(H105=Y111,H29-H63,0)))))))))</f>
        <v>0</v>
      </c>
      <c r="I64" s="145"/>
      <c r="J64" s="145"/>
      <c r="K64" s="146"/>
      <c r="L64" s="135"/>
      <c r="M64" s="138" t="s">
        <v>84</v>
      </c>
      <c r="N64" s="145" t="n">
        <f aca="false">IF(N105=Y103,H29-N63,IF(N105=Y104,H29-N63,IF(N105=Y105,H29-1,IF(N105=Y106,H29-1,IF(N105=Y107,H29-1,IF(N105=Y108,H29-1,IF(N105=Y109,H29-N63,IF(N105=Y110,H29-N63,IF(N105=Y111,H29-N63,0)))))))))</f>
        <v>0</v>
      </c>
      <c r="O64" s="145"/>
      <c r="P64" s="145"/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38"/>
      <c r="B65" s="145"/>
      <c r="C65" s="145"/>
      <c r="D65" s="145"/>
      <c r="E65" s="146"/>
      <c r="F65" s="135"/>
      <c r="G65" s="138"/>
      <c r="H65" s="145"/>
      <c r="I65" s="145"/>
      <c r="J65" s="145"/>
      <c r="K65" s="146"/>
      <c r="L65" s="135"/>
      <c r="M65" s="138"/>
      <c r="N65" s="145"/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/>
      <c r="B66" s="145"/>
      <c r="C66" s="145"/>
      <c r="D66" s="145"/>
      <c r="E66" s="146"/>
      <c r="F66" s="135"/>
      <c r="G66" s="138"/>
      <c r="H66" s="145"/>
      <c r="I66" s="145"/>
      <c r="J66" s="145"/>
      <c r="K66" s="146"/>
      <c r="L66" s="135"/>
      <c r="M66" s="138"/>
      <c r="N66" s="145"/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38" t="s">
        <v>21</v>
      </c>
      <c r="B67" s="144" t="n">
        <f aca="false">G18</f>
        <v>57885</v>
      </c>
      <c r="C67" s="145"/>
      <c r="D67" s="145"/>
      <c r="E67" s="146"/>
      <c r="F67" s="135"/>
      <c r="G67" s="138" t="s">
        <v>21</v>
      </c>
      <c r="H67" s="144" t="n">
        <f aca="false">G18</f>
        <v>57885</v>
      </c>
      <c r="I67" s="145"/>
      <c r="J67" s="145"/>
      <c r="K67" s="146"/>
      <c r="L67" s="135"/>
      <c r="M67" s="138" t="s">
        <v>21</v>
      </c>
      <c r="N67" s="144" t="n">
        <f aca="false">G18</f>
        <v>57885</v>
      </c>
      <c r="O67" s="145"/>
      <c r="P67" s="145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85</v>
      </c>
      <c r="B68" s="184" t="n">
        <v>0.07</v>
      </c>
      <c r="C68" s="145"/>
      <c r="D68" s="145"/>
      <c r="E68" s="146"/>
      <c r="F68" s="135"/>
      <c r="G68" s="183" t="s">
        <v>85</v>
      </c>
      <c r="H68" s="184" t="n">
        <v>0.07</v>
      </c>
      <c r="I68" s="145"/>
      <c r="J68" s="145"/>
      <c r="K68" s="146"/>
      <c r="L68" s="135"/>
      <c r="M68" s="183" t="s">
        <v>85</v>
      </c>
      <c r="N68" s="184" t="n">
        <v>0.07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8" t="s">
        <v>86</v>
      </c>
      <c r="B69" s="142" t="n">
        <f aca="false">B68+(B68*0.25*(H29/12-1))</f>
        <v>0.07</v>
      </c>
      <c r="C69" s="145"/>
      <c r="D69" s="145"/>
      <c r="E69" s="146"/>
      <c r="F69" s="135"/>
      <c r="G69" s="138" t="s">
        <v>86</v>
      </c>
      <c r="H69" s="142" t="n">
        <f aca="false">H68+(H68*0.25*(H29/12-1))</f>
        <v>0.07</v>
      </c>
      <c r="I69" s="145"/>
      <c r="J69" s="145"/>
      <c r="K69" s="146"/>
      <c r="L69" s="135"/>
      <c r="M69" s="138" t="s">
        <v>86</v>
      </c>
      <c r="N69" s="142" t="n">
        <f aca="false">N68+(N68*0.25*(H29/12-1))</f>
        <v>0.07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87</v>
      </c>
      <c r="B70" s="185" t="n">
        <f aca="false">B67*B69</f>
        <v>4051.95</v>
      </c>
      <c r="C70" s="145"/>
      <c r="D70" s="144" t="n">
        <f aca="false">B70-A151</f>
        <v>4051.95</v>
      </c>
      <c r="E70" s="146" t="n">
        <f aca="false">D70/12</f>
        <v>337.6625</v>
      </c>
      <c r="F70" s="135"/>
      <c r="G70" s="177" t="s">
        <v>87</v>
      </c>
      <c r="H70" s="185" t="n">
        <f aca="false">H67*H69</f>
        <v>4051.95</v>
      </c>
      <c r="I70" s="145"/>
      <c r="J70" s="144" t="n">
        <f aca="false">H70-G151</f>
        <v>4051.95</v>
      </c>
      <c r="K70" s="146"/>
      <c r="L70" s="135"/>
      <c r="M70" s="177" t="s">
        <v>87</v>
      </c>
      <c r="N70" s="185" t="n">
        <f aca="false">N67*N69</f>
        <v>4051.95</v>
      </c>
      <c r="O70" s="145"/>
      <c r="P70" s="144" t="n">
        <f aca="false">N70-M151</f>
        <v>4051.95</v>
      </c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88</v>
      </c>
      <c r="B71" s="184" t="n">
        <v>0.01</v>
      </c>
      <c r="C71" s="145"/>
      <c r="D71" s="145"/>
      <c r="E71" s="146"/>
      <c r="F71" s="135"/>
      <c r="G71" s="183" t="s">
        <v>88</v>
      </c>
      <c r="H71" s="184" t="n">
        <v>0.005</v>
      </c>
      <c r="I71" s="145"/>
      <c r="J71" s="145"/>
      <c r="K71" s="146"/>
      <c r="L71" s="135"/>
      <c r="M71" s="183" t="s">
        <v>88</v>
      </c>
      <c r="N71" s="184" t="n">
        <v>0.005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8" t="s">
        <v>89</v>
      </c>
      <c r="B72" s="142" t="n">
        <f aca="false">B71+(B71*0.5*(H29/12-1))</f>
        <v>0.01</v>
      </c>
      <c r="C72" s="145"/>
      <c r="D72" s="145"/>
      <c r="E72" s="146"/>
      <c r="F72" s="135"/>
      <c r="G72" s="138" t="s">
        <v>89</v>
      </c>
      <c r="H72" s="142" t="n">
        <f aca="false">H71+(H71*0.5*(H29/12-1))</f>
        <v>0.005</v>
      </c>
      <c r="I72" s="145"/>
      <c r="J72" s="145"/>
      <c r="K72" s="146"/>
      <c r="L72" s="135"/>
      <c r="M72" s="138" t="s">
        <v>89</v>
      </c>
      <c r="N72" s="142" t="n">
        <f aca="false">N71+(N71*0.5*(H29/12-1))</f>
        <v>0.005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90</v>
      </c>
      <c r="B73" s="185" t="n">
        <f aca="false">B67*B72</f>
        <v>578.85</v>
      </c>
      <c r="C73" s="145"/>
      <c r="D73" s="144"/>
      <c r="E73" s="146"/>
      <c r="F73" s="135"/>
      <c r="G73" s="177" t="s">
        <v>90</v>
      </c>
      <c r="H73" s="185" t="n">
        <f aca="false">H67*H72</f>
        <v>289.425</v>
      </c>
      <c r="I73" s="145"/>
      <c r="J73" s="144"/>
      <c r="K73" s="146"/>
      <c r="L73" s="135"/>
      <c r="M73" s="177" t="s">
        <v>90</v>
      </c>
      <c r="N73" s="185" t="n">
        <f aca="false">N67*N72</f>
        <v>289.425</v>
      </c>
      <c r="O73" s="145"/>
      <c r="P73" s="144"/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91</v>
      </c>
      <c r="B74" s="184" t="n">
        <v>0.0075</v>
      </c>
      <c r="C74" s="145"/>
      <c r="D74" s="145"/>
      <c r="E74" s="146"/>
      <c r="F74" s="135"/>
      <c r="G74" s="183" t="s">
        <v>91</v>
      </c>
      <c r="H74" s="184" t="n">
        <v>0.0075</v>
      </c>
      <c r="I74" s="145"/>
      <c r="J74" s="145"/>
      <c r="K74" s="146"/>
      <c r="L74" s="135"/>
      <c r="M74" s="183" t="s">
        <v>91</v>
      </c>
      <c r="N74" s="184" t="n">
        <v>0.0075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92</v>
      </c>
      <c r="B75" s="186" t="n">
        <v>0.12</v>
      </c>
      <c r="C75" s="145"/>
      <c r="D75" s="145"/>
      <c r="E75" s="146"/>
      <c r="F75" s="135"/>
      <c r="G75" s="136" t="s">
        <v>92</v>
      </c>
      <c r="H75" s="186" t="n">
        <v>0.12</v>
      </c>
      <c r="I75" s="145"/>
      <c r="J75" s="145"/>
      <c r="K75" s="146"/>
      <c r="L75" s="135"/>
      <c r="M75" s="136" t="s">
        <v>92</v>
      </c>
      <c r="N75" s="186" t="n">
        <v>0.12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93</v>
      </c>
      <c r="B76" s="187" t="n">
        <f aca="false">B74*(1+B75)</f>
        <v>0.0084</v>
      </c>
      <c r="C76" s="145"/>
      <c r="D76" s="145"/>
      <c r="E76" s="146"/>
      <c r="F76" s="135"/>
      <c r="G76" s="177" t="s">
        <v>93</v>
      </c>
      <c r="H76" s="187" t="n">
        <f aca="false">H74*(1+H75)</f>
        <v>0.0084</v>
      </c>
      <c r="I76" s="145"/>
      <c r="J76" s="145"/>
      <c r="K76" s="146"/>
      <c r="L76" s="135"/>
      <c r="M76" s="177" t="s">
        <v>93</v>
      </c>
      <c r="N76" s="187" t="n">
        <f aca="false">N74*(1+N75)</f>
        <v>0.0084</v>
      </c>
      <c r="O76" s="145"/>
      <c r="P76" s="145"/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94</v>
      </c>
      <c r="B77" s="188" t="n">
        <v>200</v>
      </c>
      <c r="C77" s="145"/>
      <c r="D77" s="145"/>
      <c r="E77" s="146"/>
      <c r="F77" s="135"/>
      <c r="G77" s="183" t="s">
        <v>94</v>
      </c>
      <c r="H77" s="188" t="n">
        <v>160</v>
      </c>
      <c r="I77" s="145"/>
      <c r="J77" s="145"/>
      <c r="K77" s="146"/>
      <c r="L77" s="135"/>
      <c r="M77" s="183" t="s">
        <v>94</v>
      </c>
      <c r="N77" s="188" t="n">
        <v>160</v>
      </c>
      <c r="O77" s="145"/>
      <c r="P77" s="145"/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6" t="s">
        <v>95</v>
      </c>
      <c r="B78" s="189" t="n">
        <v>5</v>
      </c>
      <c r="C78" s="145"/>
      <c r="D78" s="145"/>
      <c r="E78" s="146"/>
      <c r="F78" s="135"/>
      <c r="G78" s="136" t="s">
        <v>95</v>
      </c>
      <c r="H78" s="189" t="n">
        <v>4.5</v>
      </c>
      <c r="I78" s="145"/>
      <c r="J78" s="145"/>
      <c r="K78" s="146"/>
      <c r="L78" s="135"/>
      <c r="M78" s="136" t="s">
        <v>95</v>
      </c>
      <c r="N78" s="189" t="n">
        <v>4.5</v>
      </c>
      <c r="O78" s="145"/>
      <c r="P78" s="145"/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77" t="s">
        <v>96</v>
      </c>
      <c r="B79" s="185" t="n">
        <f aca="false">B78*H29</f>
        <v>60</v>
      </c>
      <c r="C79" s="145"/>
      <c r="D79" s="144" t="n">
        <f aca="false">B79+B77</f>
        <v>260</v>
      </c>
      <c r="E79" s="190" t="n">
        <f aca="false">D79+D85+D86</f>
        <v>660</v>
      </c>
      <c r="F79" s="135"/>
      <c r="G79" s="177" t="s">
        <v>96</v>
      </c>
      <c r="H79" s="185" t="n">
        <f aca="false">H78*H29</f>
        <v>54</v>
      </c>
      <c r="I79" s="145"/>
      <c r="J79" s="144" t="n">
        <f aca="false">H79+H77</f>
        <v>214</v>
      </c>
      <c r="K79" s="146"/>
      <c r="L79" s="135"/>
      <c r="M79" s="177" t="s">
        <v>96</v>
      </c>
      <c r="N79" s="185" t="n">
        <f aca="false">N78*H29</f>
        <v>54</v>
      </c>
      <c r="O79" s="145"/>
      <c r="P79" s="144" t="n">
        <f aca="false">N79+N77</f>
        <v>214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83" t="s">
        <v>97</v>
      </c>
      <c r="B80" s="188" t="n">
        <v>165</v>
      </c>
      <c r="C80" s="145"/>
      <c r="D80" s="145"/>
      <c r="E80" s="190" t="n">
        <f aca="false">E79+D82</f>
        <v>703.333333333333</v>
      </c>
      <c r="F80" s="135"/>
      <c r="G80" s="183" t="s">
        <v>97</v>
      </c>
      <c r="H80" s="188" t="n">
        <v>150</v>
      </c>
      <c r="I80" s="145"/>
      <c r="J80" s="145"/>
      <c r="K80" s="146"/>
      <c r="L80" s="135"/>
      <c r="M80" s="191" t="s">
        <v>97</v>
      </c>
      <c r="N80" s="192" t="n">
        <v>0</v>
      </c>
      <c r="O80" s="145"/>
      <c r="P80" s="145"/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36" t="s">
        <v>98</v>
      </c>
      <c r="B81" s="189" t="n">
        <v>355</v>
      </c>
      <c r="C81" s="145"/>
      <c r="D81" s="145"/>
      <c r="E81" s="146" t="n">
        <f aca="false">E80/12</f>
        <v>58.6111111111111</v>
      </c>
      <c r="F81" s="135"/>
      <c r="G81" s="136" t="s">
        <v>98</v>
      </c>
      <c r="H81" s="189" t="n">
        <f aca="false">IF(G18&gt;40000, 325, 0)</f>
        <v>325</v>
      </c>
      <c r="I81" s="145"/>
      <c r="J81" s="145"/>
      <c r="K81" s="146"/>
      <c r="L81" s="135"/>
      <c r="M81" s="193" t="s">
        <v>98</v>
      </c>
      <c r="N81" s="194" t="n">
        <v>0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77" t="s">
        <v>99</v>
      </c>
      <c r="B82" s="185" t="n">
        <f aca="false">((B80+B81)/12)*(H29-11)</f>
        <v>43.3333333333333</v>
      </c>
      <c r="C82" s="145"/>
      <c r="D82" s="144" t="n">
        <f aca="false">IF(A50="YES", 0, B82)</f>
        <v>43.3333333333333</v>
      </c>
      <c r="E82" s="146"/>
      <c r="F82" s="135"/>
      <c r="G82" s="177" t="s">
        <v>99</v>
      </c>
      <c r="H82" s="185" t="n">
        <f aca="false">((H80+H81)/12)*(H29-11)</f>
        <v>39.5833333333333</v>
      </c>
      <c r="I82" s="145"/>
      <c r="J82" s="144" t="n">
        <f aca="false">IF(A50="YES", 0, H82)</f>
        <v>39.5833333333333</v>
      </c>
      <c r="K82" s="146"/>
      <c r="L82" s="135"/>
      <c r="M82" s="195" t="s">
        <v>99</v>
      </c>
      <c r="N82" s="196" t="n">
        <f aca="false">((N80+N81)/12)*(H29-11)</f>
        <v>0</v>
      </c>
      <c r="O82" s="145"/>
      <c r="P82" s="144" t="n">
        <f aca="false">IF(A50="YES", 0, N82)</f>
        <v>0</v>
      </c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183" t="s">
        <v>100</v>
      </c>
      <c r="B83" s="188" t="n">
        <v>0</v>
      </c>
      <c r="C83" s="145"/>
      <c r="D83" s="144" t="n">
        <f aca="false">B83</f>
        <v>0</v>
      </c>
      <c r="E83" s="146" t="n">
        <f aca="false">D83/12</f>
        <v>0</v>
      </c>
      <c r="F83" s="135"/>
      <c r="G83" s="183" t="s">
        <v>100</v>
      </c>
      <c r="H83" s="188" t="n">
        <f aca="false">H108</f>
        <v>1200</v>
      </c>
      <c r="I83" s="145"/>
      <c r="J83" s="144" t="n">
        <f aca="false">H83</f>
        <v>1200</v>
      </c>
      <c r="K83" s="146"/>
      <c r="L83" s="135"/>
      <c r="M83" s="183" t="s">
        <v>100</v>
      </c>
      <c r="N83" s="188" t="n">
        <f aca="false">N108</f>
        <v>1200</v>
      </c>
      <c r="O83" s="145"/>
      <c r="P83" s="144" t="n">
        <f aca="false">N83</f>
        <v>1200</v>
      </c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 t="s">
        <v>101</v>
      </c>
      <c r="B84" s="143" t="n">
        <v>0</v>
      </c>
      <c r="C84" s="145"/>
      <c r="D84" s="144" t="n">
        <f aca="false">B84</f>
        <v>0</v>
      </c>
      <c r="E84" s="146"/>
      <c r="F84" s="135"/>
      <c r="G84" s="138" t="s">
        <v>102</v>
      </c>
      <c r="H84" s="143" t="n">
        <f aca="false">J108</f>
        <v>1500</v>
      </c>
      <c r="I84" s="145"/>
      <c r="J84" s="144" t="n">
        <f aca="false">H84</f>
        <v>1500</v>
      </c>
      <c r="K84" s="146"/>
      <c r="L84" s="135"/>
      <c r="M84" s="138" t="s">
        <v>102</v>
      </c>
      <c r="N84" s="143" t="n">
        <f aca="false">P108</f>
        <v>1500</v>
      </c>
      <c r="O84" s="145"/>
      <c r="P84" s="144" t="n">
        <f aca="false">N84</f>
        <v>1500</v>
      </c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36" t="s">
        <v>103</v>
      </c>
      <c r="B85" s="189" t="n">
        <v>200</v>
      </c>
      <c r="C85" s="145"/>
      <c r="D85" s="144" t="n">
        <f aca="false">B85</f>
        <v>200</v>
      </c>
      <c r="E85" s="146"/>
      <c r="F85" s="135"/>
      <c r="G85" s="136" t="s">
        <v>103</v>
      </c>
      <c r="H85" s="189" t="n">
        <v>100</v>
      </c>
      <c r="I85" s="145"/>
      <c r="J85" s="144" t="n">
        <f aca="false">H85</f>
        <v>100</v>
      </c>
      <c r="K85" s="146"/>
      <c r="L85" s="135"/>
      <c r="M85" s="136" t="s">
        <v>103</v>
      </c>
      <c r="N85" s="189" t="n">
        <v>100</v>
      </c>
      <c r="O85" s="145"/>
      <c r="P85" s="144" t="n">
        <f aca="false">N85</f>
        <v>100</v>
      </c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97" t="s">
        <v>104</v>
      </c>
      <c r="B86" s="198" t="n">
        <v>200</v>
      </c>
      <c r="C86" s="145"/>
      <c r="D86" s="144" t="n">
        <f aca="false">B86</f>
        <v>200</v>
      </c>
      <c r="E86" s="146"/>
      <c r="F86" s="135"/>
      <c r="G86" s="197" t="s">
        <v>104</v>
      </c>
      <c r="H86" s="198" t="n">
        <v>100</v>
      </c>
      <c r="I86" s="145"/>
      <c r="J86" s="144" t="n">
        <f aca="false">H86</f>
        <v>100</v>
      </c>
      <c r="K86" s="146"/>
      <c r="L86" s="135"/>
      <c r="M86" s="197" t="s">
        <v>104</v>
      </c>
      <c r="N86" s="198" t="n">
        <v>100</v>
      </c>
      <c r="O86" s="145"/>
      <c r="P86" s="144" t="n">
        <f aca="false">N86</f>
        <v>100</v>
      </c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99" t="s">
        <v>105</v>
      </c>
      <c r="B87" s="200" t="n">
        <f aca="false">SUM(D70:D86)</f>
        <v>4755.28333333333</v>
      </c>
      <c r="C87" s="145"/>
      <c r="D87" s="145"/>
      <c r="E87" s="146"/>
      <c r="F87" s="135"/>
      <c r="G87" s="199" t="s">
        <v>105</v>
      </c>
      <c r="H87" s="200" t="n">
        <f aca="false">SUM(J70:J86)</f>
        <v>7205.53333333333</v>
      </c>
      <c r="I87" s="145"/>
      <c r="J87" s="145"/>
      <c r="K87" s="146"/>
      <c r="L87" s="135"/>
      <c r="M87" s="199" t="s">
        <v>105</v>
      </c>
      <c r="N87" s="200" t="n">
        <f aca="false">SUM(P70:P86)</f>
        <v>7165.95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 t="s">
        <v>106</v>
      </c>
      <c r="B88" s="143" t="n">
        <f aca="false">B87/H29</f>
        <v>396.273611111111</v>
      </c>
      <c r="C88" s="145"/>
      <c r="D88" s="145"/>
      <c r="E88" s="146"/>
      <c r="F88" s="135"/>
      <c r="G88" s="138" t="s">
        <v>106</v>
      </c>
      <c r="H88" s="143" t="n">
        <f aca="false">H87/H29</f>
        <v>600.461111111111</v>
      </c>
      <c r="I88" s="145"/>
      <c r="J88" s="145"/>
      <c r="K88" s="146"/>
      <c r="L88" s="135"/>
      <c r="M88" s="138" t="s">
        <v>106</v>
      </c>
      <c r="N88" s="143" t="n">
        <f aca="false">N87/H29</f>
        <v>597.1625</v>
      </c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201" t="s">
        <v>107</v>
      </c>
      <c r="B89" s="202" t="n">
        <f aca="false">H46</f>
        <v>500.833333333333</v>
      </c>
      <c r="C89" s="145"/>
      <c r="D89" s="145"/>
      <c r="E89" s="146"/>
      <c r="F89" s="135"/>
      <c r="G89" s="201" t="s">
        <v>107</v>
      </c>
      <c r="H89" s="202" t="n">
        <f aca="false">H46</f>
        <v>500.833333333333</v>
      </c>
      <c r="I89" s="145"/>
      <c r="J89" s="145"/>
      <c r="K89" s="146"/>
      <c r="L89" s="135"/>
      <c r="M89" s="201" t="s">
        <v>107</v>
      </c>
      <c r="N89" s="202" t="n">
        <f aca="false">H46</f>
        <v>500.833333333333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138"/>
      <c r="B90" s="144"/>
      <c r="C90" s="145"/>
      <c r="D90" s="145"/>
      <c r="E90" s="146"/>
      <c r="F90" s="135"/>
      <c r="G90" s="138"/>
      <c r="H90" s="144"/>
      <c r="I90" s="145"/>
      <c r="J90" s="145"/>
      <c r="K90" s="146"/>
      <c r="L90" s="135"/>
      <c r="M90" s="138"/>
      <c r="N90" s="144"/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180" t="s">
        <v>108</v>
      </c>
      <c r="B91" s="203" t="n">
        <f aca="false">((B89*H29)+B87)*1.2</f>
        <v>12918.34</v>
      </c>
      <c r="C91" s="145"/>
      <c r="D91" s="145"/>
      <c r="E91" s="146"/>
      <c r="F91" s="135"/>
      <c r="G91" s="180" t="s">
        <v>108</v>
      </c>
      <c r="H91" s="203" t="n">
        <f aca="false">((H89*H29)+H87)*1.2</f>
        <v>15858.64</v>
      </c>
      <c r="I91" s="145"/>
      <c r="J91" s="145"/>
      <c r="K91" s="146"/>
      <c r="L91" s="135"/>
      <c r="M91" s="180" t="s">
        <v>108</v>
      </c>
      <c r="N91" s="203" t="n">
        <f aca="false">((N89*H29)+N87)</f>
        <v>13175.95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38" t="s">
        <v>109</v>
      </c>
      <c r="B92" s="143" t="n">
        <f aca="false">(((B89*H29)+B87)/(1-B76))*B76</f>
        <v>91.1944130697862</v>
      </c>
      <c r="C92" s="145"/>
      <c r="D92" s="145"/>
      <c r="E92" s="204"/>
      <c r="F92" s="135"/>
      <c r="G92" s="138" t="s">
        <v>109</v>
      </c>
      <c r="H92" s="143" t="n">
        <f aca="false">(((H89*H29)+H87)/(1-H76))*H76</f>
        <v>111.950867285196</v>
      </c>
      <c r="I92" s="145"/>
      <c r="J92" s="145"/>
      <c r="K92" s="146"/>
      <c r="L92" s="135"/>
      <c r="M92" s="138" t="s">
        <v>109</v>
      </c>
      <c r="N92" s="143" t="n">
        <f aca="false">(N91/(1-N76))*N76</f>
        <v>111.615550625252</v>
      </c>
      <c r="O92" s="145"/>
      <c r="P92" s="145"/>
      <c r="Q92" s="146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77" t="s">
        <v>110</v>
      </c>
      <c r="B93" s="185" t="n">
        <f aca="false">IF(B116="YES",((B91+B92)-E120),(B91+B92))</f>
        <v>13009.5344130698</v>
      </c>
      <c r="C93" s="145"/>
      <c r="D93" s="145"/>
      <c r="E93" s="146"/>
      <c r="F93" s="135"/>
      <c r="G93" s="177" t="s">
        <v>110</v>
      </c>
      <c r="H93" s="185" t="n">
        <f aca="false">IF(H116="YES",((H91+H92)-K120),(H91+H92))</f>
        <v>17970.5908672852</v>
      </c>
      <c r="I93" s="145"/>
      <c r="J93" s="145"/>
      <c r="K93" s="146"/>
      <c r="L93" s="135"/>
      <c r="M93" s="177" t="s">
        <v>110</v>
      </c>
      <c r="N93" s="185" t="n">
        <f aca="false">IF(N116="YES",((N91+N92)-K120),(N91+N92))</f>
        <v>15287.5655506253</v>
      </c>
      <c r="O93" s="145"/>
      <c r="P93" s="145"/>
      <c r="Q93" s="146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18.75" hidden="false" customHeight="true" outlineLevel="0" collapsed="false">
      <c r="A94" s="138"/>
      <c r="B94" s="144"/>
      <c r="C94" s="145"/>
      <c r="D94" s="145"/>
      <c r="E94" s="146"/>
      <c r="F94" s="135"/>
      <c r="G94" s="138"/>
      <c r="H94" s="144"/>
      <c r="I94" s="145"/>
      <c r="J94" s="145"/>
      <c r="K94" s="146"/>
      <c r="L94" s="135"/>
      <c r="M94" s="138"/>
      <c r="N94" s="144"/>
      <c r="O94" s="145"/>
      <c r="P94" s="145"/>
      <c r="Q94" s="146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99" t="s">
        <v>65</v>
      </c>
      <c r="B95" s="200" t="n">
        <f aca="false">IF(B105=Z104,(((H44*B35)+(H44*B35)*(B111/100))/(B64)),(((H44*B35)+(H44*B35)*(B111/100))/(B63+B64)))*1.2</f>
        <v>72</v>
      </c>
      <c r="C95" s="145"/>
      <c r="D95" s="145"/>
      <c r="E95" s="146"/>
      <c r="F95" s="135"/>
      <c r="G95" s="199" t="s">
        <v>65</v>
      </c>
      <c r="H95" s="200" t="e">
        <f aca="false">(((H44*B35)+((H44*B35)*H111))/(H63+H64))*1.2</f>
        <v>#DIV/0!</v>
      </c>
      <c r="I95" s="145"/>
      <c r="J95" s="145"/>
      <c r="K95" s="146"/>
      <c r="L95" s="135"/>
      <c r="M95" s="199" t="s">
        <v>65</v>
      </c>
      <c r="N95" s="200" t="e">
        <f aca="false">((H44*B35)+((H44*B35)*N111))/(N63+N64)</f>
        <v>#DIV/0!</v>
      </c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05" t="s">
        <v>111</v>
      </c>
      <c r="B96" s="206" t="n">
        <f aca="false">IF(B105=Z104, (B93-D111)/(B64), B93/(B63+B64))</f>
        <v>1084.12786775582</v>
      </c>
      <c r="C96" s="145"/>
      <c r="D96" s="145"/>
      <c r="E96" s="146"/>
      <c r="F96" s="135"/>
      <c r="G96" s="205" t="s">
        <v>111</v>
      </c>
      <c r="H96" s="206" t="e">
        <f aca="false">IF(H105=Y104, (H93-J111)/(H64), H93/(H63+H64))</f>
        <v>#DIV/0!</v>
      </c>
      <c r="I96" s="145"/>
      <c r="J96" s="145"/>
      <c r="K96" s="146"/>
      <c r="L96" s="135"/>
      <c r="M96" s="205" t="s">
        <v>111</v>
      </c>
      <c r="N96" s="206" t="e">
        <f aca="false">IF(N105=Y104, (N93-P111)/(N64), N93/(N63+N64))</f>
        <v>#DIV/0!</v>
      </c>
      <c r="O96" s="145"/>
      <c r="P96" s="145"/>
      <c r="Q96" s="146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207" t="s">
        <v>112</v>
      </c>
      <c r="B97" s="208" t="n">
        <f aca="false">IF(A111="YES", B96+B95, B96)</f>
        <v>1156.12786775582</v>
      </c>
      <c r="C97" s="145"/>
      <c r="D97" s="209"/>
      <c r="E97" s="146"/>
      <c r="F97" s="135"/>
      <c r="G97" s="207" t="s">
        <v>112</v>
      </c>
      <c r="H97" s="208" t="e">
        <f aca="false">IF(G111="YES", H96+H95, H96)</f>
        <v>#DIV/0!</v>
      </c>
      <c r="I97" s="145"/>
      <c r="J97" s="145"/>
      <c r="K97" s="146"/>
      <c r="L97" s="135"/>
      <c r="M97" s="207" t="s">
        <v>112</v>
      </c>
      <c r="N97" s="208" t="e">
        <f aca="false">IF(M111="YES", N96+N95, N96)</f>
        <v>#DIV/0!</v>
      </c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/>
      <c r="Z97" s="135"/>
    </row>
    <row r="98" customFormat="false" ht="18.75" hidden="false" customHeight="true" outlineLevel="0" collapsed="false">
      <c r="A98" s="177"/>
      <c r="B98" s="178"/>
      <c r="C98" s="178"/>
      <c r="D98" s="178"/>
      <c r="E98" s="179"/>
      <c r="F98" s="135"/>
      <c r="G98" s="177"/>
      <c r="H98" s="178"/>
      <c r="I98" s="178"/>
      <c r="J98" s="178"/>
      <c r="K98" s="179"/>
      <c r="L98" s="135"/>
      <c r="M98" s="177"/>
      <c r="N98" s="178"/>
      <c r="O98" s="178"/>
      <c r="P98" s="178"/>
      <c r="Q98" s="179"/>
      <c r="R98" s="135"/>
      <c r="S98" s="135"/>
      <c r="T98" s="135"/>
      <c r="U98" s="135"/>
      <c r="V98" s="135"/>
      <c r="W98" s="135"/>
      <c r="X98" s="135"/>
      <c r="Y98" s="135"/>
      <c r="Z98" s="135"/>
    </row>
    <row r="99" customFormat="false" ht="18.75" hidden="false" customHeight="true" outlineLevel="0" collapsed="false">
      <c r="A99" s="145"/>
      <c r="B99" s="145"/>
      <c r="C99" s="145"/>
      <c r="D99" s="145"/>
      <c r="E99" s="145"/>
      <c r="F99" s="135"/>
      <c r="G99" s="145"/>
      <c r="H99" s="145"/>
      <c r="I99" s="145"/>
      <c r="J99" s="145"/>
      <c r="K99" s="145"/>
      <c r="L99" s="135"/>
      <c r="M99" s="145"/>
      <c r="N99" s="145"/>
      <c r="O99" s="145"/>
      <c r="P99" s="145"/>
      <c r="Q99" s="145"/>
      <c r="R99" s="135"/>
      <c r="S99" s="135"/>
      <c r="T99" s="135"/>
      <c r="U99" s="135"/>
      <c r="V99" s="135"/>
      <c r="W99" s="135"/>
      <c r="X99" s="135"/>
      <c r="Y99" s="135"/>
      <c r="Z99" s="135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5"/>
      <c r="G100" s="27" t="s">
        <v>114</v>
      </c>
      <c r="H100" s="27"/>
      <c r="I100" s="27"/>
      <c r="J100" s="27"/>
      <c r="K100" s="27"/>
      <c r="L100" s="135"/>
      <c r="M100" s="27" t="s">
        <v>115</v>
      </c>
      <c r="N100" s="27"/>
      <c r="O100" s="27"/>
      <c r="P100" s="27"/>
      <c r="Q100" s="27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customFormat="false" ht="18.75" hidden="false" customHeight="true" outlineLevel="0" collapsed="false">
      <c r="A101" s="138"/>
      <c r="B101" s="145"/>
      <c r="C101" s="145"/>
      <c r="D101" s="145"/>
      <c r="E101" s="146"/>
      <c r="F101" s="135"/>
      <c r="G101" s="138"/>
      <c r="H101" s="145"/>
      <c r="I101" s="145"/>
      <c r="J101" s="145"/>
      <c r="K101" s="146"/>
      <c r="L101" s="135"/>
      <c r="M101" s="138"/>
      <c r="N101" s="145"/>
      <c r="O101" s="145"/>
      <c r="P101" s="145"/>
      <c r="Q101" s="146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5"/>
      <c r="G102" s="29" t="s">
        <v>116</v>
      </c>
      <c r="H102" s="29"/>
      <c r="I102" s="29"/>
      <c r="J102" s="29"/>
      <c r="K102" s="29"/>
      <c r="L102" s="135"/>
      <c r="M102" s="29" t="s">
        <v>116</v>
      </c>
      <c r="N102" s="29"/>
      <c r="O102" s="29"/>
      <c r="P102" s="29"/>
      <c r="Q102" s="29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/>
      <c r="Z103" s="135" t="s">
        <v>117</v>
      </c>
    </row>
    <row r="104" customFormat="false" ht="18.75" hidden="false" customHeight="true" outlineLevel="0" collapsed="false">
      <c r="A104" s="138" t="s">
        <v>118</v>
      </c>
      <c r="B104" s="145" t="s">
        <v>30</v>
      </c>
      <c r="C104" s="145"/>
      <c r="D104" s="145" t="s">
        <v>119</v>
      </c>
      <c r="E104" s="146"/>
      <c r="F104" s="135"/>
      <c r="G104" s="138" t="s">
        <v>118</v>
      </c>
      <c r="H104" s="145" t="s">
        <v>30</v>
      </c>
      <c r="I104" s="145"/>
      <c r="J104" s="145" t="s">
        <v>119</v>
      </c>
      <c r="K104" s="146"/>
      <c r="L104" s="135"/>
      <c r="M104" s="138" t="s">
        <v>118</v>
      </c>
      <c r="N104" s="145" t="s">
        <v>30</v>
      </c>
      <c r="O104" s="145"/>
      <c r="P104" s="145" t="s">
        <v>119</v>
      </c>
      <c r="Q104" s="146"/>
      <c r="R104" s="135"/>
      <c r="S104" s="135"/>
      <c r="T104" s="135"/>
      <c r="U104" s="135"/>
      <c r="V104" s="135"/>
      <c r="W104" s="135"/>
      <c r="X104" s="135"/>
      <c r="Y104" s="135"/>
      <c r="Z104" s="135" t="s">
        <v>120</v>
      </c>
    </row>
    <row r="105" customFormat="false" ht="18.75" hidden="false" customHeight="true" outlineLevel="0" collapsed="false">
      <c r="A105" s="154"/>
      <c r="B105" s="109" t="s">
        <v>117</v>
      </c>
      <c r="C105" s="109"/>
      <c r="D105" s="110" t="n">
        <v>1000</v>
      </c>
      <c r="E105" s="110"/>
      <c r="F105" s="135"/>
      <c r="G105" s="154" t="s">
        <v>121</v>
      </c>
      <c r="H105" s="109" t="s">
        <v>122</v>
      </c>
      <c r="I105" s="109"/>
      <c r="J105" s="110" t="n">
        <v>5000</v>
      </c>
      <c r="K105" s="110"/>
      <c r="L105" s="135"/>
      <c r="M105" s="154" t="s">
        <v>121</v>
      </c>
      <c r="N105" s="109" t="s">
        <v>123</v>
      </c>
      <c r="O105" s="109"/>
      <c r="P105" s="110" t="n">
        <v>0</v>
      </c>
      <c r="Q105" s="110"/>
      <c r="R105" s="135"/>
      <c r="S105" s="135"/>
      <c r="T105" s="135"/>
      <c r="U105" s="135"/>
      <c r="V105" s="135"/>
      <c r="W105" s="135"/>
      <c r="X105" s="135"/>
      <c r="Y105" s="135"/>
      <c r="Z105" s="135" t="s">
        <v>124</v>
      </c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 t="s">
        <v>125</v>
      </c>
    </row>
    <row r="107" customFormat="false" ht="18.75" hidden="false" customHeight="true" outlineLevel="0" collapsed="false">
      <c r="A107" s="138" t="s">
        <v>126</v>
      </c>
      <c r="B107" s="145" t="s">
        <v>127</v>
      </c>
      <c r="C107" s="145"/>
      <c r="D107" s="145" t="s">
        <v>128</v>
      </c>
      <c r="E107" s="146"/>
      <c r="F107" s="135"/>
      <c r="G107" s="138" t="s">
        <v>126</v>
      </c>
      <c r="H107" s="145" t="s">
        <v>127</v>
      </c>
      <c r="I107" s="145"/>
      <c r="J107" s="145" t="s">
        <v>128</v>
      </c>
      <c r="K107" s="146"/>
      <c r="L107" s="135"/>
      <c r="M107" s="138" t="s">
        <v>126</v>
      </c>
      <c r="N107" s="145" t="s">
        <v>127</v>
      </c>
      <c r="O107" s="145"/>
      <c r="P107" s="145" t="s">
        <v>128</v>
      </c>
      <c r="Q107" s="146"/>
      <c r="R107" s="135"/>
      <c r="S107" s="135"/>
      <c r="T107" s="135"/>
      <c r="U107" s="135"/>
      <c r="V107" s="135"/>
      <c r="W107" s="135"/>
      <c r="X107" s="135"/>
      <c r="Y107" s="135"/>
      <c r="Z107" s="135" t="s">
        <v>129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5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5"/>
      <c r="M108" s="111" t="n">
        <v>199.99</v>
      </c>
      <c r="N108" s="112" t="n">
        <v>1200</v>
      </c>
      <c r="O108" s="112"/>
      <c r="P108" s="112" t="n">
        <v>1500</v>
      </c>
      <c r="Q108" s="112"/>
      <c r="R108" s="135"/>
      <c r="S108" s="135"/>
      <c r="T108" s="135"/>
      <c r="U108" s="135"/>
      <c r="V108" s="135"/>
      <c r="W108" s="135"/>
      <c r="X108" s="135"/>
      <c r="Y108" s="135"/>
      <c r="Z108" s="135" t="s">
        <v>123</v>
      </c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 t="s">
        <v>122</v>
      </c>
    </row>
    <row r="110" customFormat="false" ht="18.75" hidden="false" customHeight="true" outlineLevel="0" collapsed="false">
      <c r="A110" s="154" t="s">
        <v>130</v>
      </c>
      <c r="B110" s="135" t="s">
        <v>131</v>
      </c>
      <c r="C110" s="145"/>
      <c r="D110" s="145" t="s">
        <v>132</v>
      </c>
      <c r="E110" s="146"/>
      <c r="F110" s="135"/>
      <c r="G110" s="154" t="s">
        <v>130</v>
      </c>
      <c r="H110" s="135" t="s">
        <v>131</v>
      </c>
      <c r="I110" s="145"/>
      <c r="J110" s="145" t="s">
        <v>132</v>
      </c>
      <c r="K110" s="146"/>
      <c r="L110" s="135"/>
      <c r="M110" s="154" t="s">
        <v>130</v>
      </c>
      <c r="N110" s="135" t="s">
        <v>131</v>
      </c>
      <c r="O110" s="145"/>
      <c r="P110" s="145" t="s">
        <v>132</v>
      </c>
      <c r="Q110" s="146"/>
      <c r="R110" s="135"/>
      <c r="S110" s="135"/>
      <c r="T110" s="135"/>
      <c r="U110" s="135"/>
      <c r="V110" s="135"/>
      <c r="W110" s="135"/>
      <c r="X110" s="135"/>
      <c r="Y110" s="135"/>
      <c r="Z110" s="135" t="s">
        <v>133</v>
      </c>
    </row>
    <row r="111" customFormat="false" ht="18.75" hidden="false" customHeight="true" outlineLevel="0" collapsed="false">
      <c r="A111" s="156" t="s">
        <v>25</v>
      </c>
      <c r="B111" s="109" t="n">
        <v>20</v>
      </c>
      <c r="C111" s="109"/>
      <c r="D111" s="112" t="n">
        <v>200</v>
      </c>
      <c r="E111" s="112"/>
      <c r="F111" s="135"/>
      <c r="G111" s="156" t="s">
        <v>25</v>
      </c>
      <c r="H111" s="113" t="n">
        <v>0.2</v>
      </c>
      <c r="I111" s="113"/>
      <c r="J111" s="112" t="n">
        <v>5000</v>
      </c>
      <c r="K111" s="112"/>
      <c r="L111" s="135"/>
      <c r="M111" s="156" t="s">
        <v>25</v>
      </c>
      <c r="N111" s="113" t="n">
        <v>0.2</v>
      </c>
      <c r="O111" s="113"/>
      <c r="P111" s="112" t="n">
        <v>5000</v>
      </c>
      <c r="Q111" s="112"/>
      <c r="R111" s="135"/>
      <c r="S111" s="135"/>
      <c r="T111" s="135"/>
      <c r="U111" s="135"/>
      <c r="V111" s="135"/>
      <c r="W111" s="135"/>
      <c r="X111" s="135"/>
      <c r="Y111" s="135"/>
      <c r="Z111" s="135" t="s">
        <v>134</v>
      </c>
    </row>
    <row r="112" customFormat="false" ht="18.75" hidden="false" customHeight="true" outlineLevel="0" collapsed="false">
      <c r="A112" s="138"/>
      <c r="B112" s="145"/>
      <c r="C112" s="145"/>
      <c r="D112" s="145" t="s">
        <v>75</v>
      </c>
      <c r="E112" s="146"/>
      <c r="F112" s="135"/>
      <c r="G112" s="138"/>
      <c r="H112" s="145"/>
      <c r="I112" s="145"/>
      <c r="J112" s="145"/>
      <c r="K112" s="146"/>
      <c r="L112" s="135"/>
      <c r="M112" s="138"/>
      <c r="N112" s="145"/>
      <c r="O112" s="145"/>
      <c r="P112" s="145"/>
      <c r="Q112" s="146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/>
      <c r="B113" s="145"/>
      <c r="C113" s="145"/>
      <c r="D113" s="145"/>
      <c r="E113" s="146"/>
      <c r="F113" s="135"/>
      <c r="G113" s="138"/>
      <c r="H113" s="145"/>
      <c r="I113" s="145"/>
      <c r="J113" s="145"/>
      <c r="K113" s="146"/>
      <c r="L113" s="135"/>
      <c r="M113" s="138"/>
      <c r="N113" s="145" t="s">
        <v>135</v>
      </c>
      <c r="O113" s="156" t="s">
        <v>25</v>
      </c>
      <c r="P113" s="145"/>
      <c r="Q113" s="146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29" t="s">
        <v>136</v>
      </c>
      <c r="B114" s="29"/>
      <c r="C114" s="29"/>
      <c r="D114" s="29"/>
      <c r="E114" s="29"/>
      <c r="F114" s="135"/>
      <c r="G114" s="29" t="s">
        <v>136</v>
      </c>
      <c r="H114" s="29"/>
      <c r="I114" s="29"/>
      <c r="J114" s="29"/>
      <c r="K114" s="29"/>
      <c r="L114" s="135"/>
      <c r="M114" s="29" t="s">
        <v>136</v>
      </c>
      <c r="N114" s="29"/>
      <c r="O114" s="29"/>
      <c r="P114" s="29"/>
      <c r="Q114" s="29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/>
      <c r="B115" s="145"/>
      <c r="C115" s="145"/>
      <c r="D115" s="145"/>
      <c r="E115" s="146"/>
      <c r="F115" s="135"/>
      <c r="G115" s="138"/>
      <c r="H115" s="145"/>
      <c r="I115" s="145"/>
      <c r="J115" s="145"/>
      <c r="K115" s="146"/>
      <c r="L115" s="135"/>
      <c r="M115" s="138"/>
      <c r="N115" s="145"/>
      <c r="O115" s="145"/>
      <c r="P115" s="145"/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 t="s">
        <v>137</v>
      </c>
      <c r="B116" s="156" t="s">
        <v>26</v>
      </c>
      <c r="C116" s="145"/>
      <c r="D116" s="145"/>
      <c r="E116" s="146"/>
      <c r="F116" s="135"/>
      <c r="G116" s="138" t="s">
        <v>137</v>
      </c>
      <c r="H116" s="156" t="s">
        <v>25</v>
      </c>
      <c r="I116" s="145"/>
      <c r="J116" s="145"/>
      <c r="K116" s="146"/>
      <c r="L116" s="135"/>
      <c r="M116" s="138" t="s">
        <v>137</v>
      </c>
      <c r="N116" s="156" t="s">
        <v>25</v>
      </c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38"/>
      <c r="B117" s="145"/>
      <c r="C117" s="145"/>
      <c r="D117" s="145"/>
      <c r="E117" s="146"/>
      <c r="F117" s="135"/>
      <c r="G117" s="138"/>
      <c r="H117" s="145"/>
      <c r="I117" s="145"/>
      <c r="J117" s="145"/>
      <c r="K117" s="146"/>
      <c r="L117" s="135"/>
      <c r="M117" s="138"/>
      <c r="N117" s="145"/>
      <c r="O117" s="145"/>
      <c r="P117" s="145"/>
      <c r="Q117" s="146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138</v>
      </c>
      <c r="B118" s="145"/>
      <c r="C118" s="145"/>
      <c r="D118" s="111" t="n">
        <v>10000</v>
      </c>
      <c r="E118" s="112" t="n">
        <v>6000</v>
      </c>
      <c r="F118" s="135"/>
      <c r="G118" s="138" t="s">
        <v>138</v>
      </c>
      <c r="H118" s="145"/>
      <c r="I118" s="145"/>
      <c r="J118" s="111" t="n">
        <v>10000</v>
      </c>
      <c r="K118" s="112" t="n">
        <v>5000</v>
      </c>
      <c r="L118" s="135"/>
      <c r="M118" s="138" t="s">
        <v>138</v>
      </c>
      <c r="N118" s="145"/>
      <c r="O118" s="145"/>
      <c r="P118" s="111" t="n">
        <v>10000</v>
      </c>
      <c r="Q118" s="112" t="n">
        <v>5000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138" t="s">
        <v>139</v>
      </c>
      <c r="B119" s="145"/>
      <c r="C119" s="145"/>
      <c r="D119" s="210" t="n">
        <f aca="false">E119</f>
        <v>2000</v>
      </c>
      <c r="E119" s="112" t="n">
        <v>2000</v>
      </c>
      <c r="F119" s="135"/>
      <c r="G119" s="138" t="s">
        <v>139</v>
      </c>
      <c r="H119" s="145"/>
      <c r="I119" s="145"/>
      <c r="J119" s="210" t="n">
        <f aca="false">K119</f>
        <v>7000</v>
      </c>
      <c r="K119" s="112" t="n">
        <v>7000</v>
      </c>
      <c r="L119" s="135"/>
      <c r="M119" s="138" t="s">
        <v>139</v>
      </c>
      <c r="N119" s="145"/>
      <c r="O119" s="145"/>
      <c r="P119" s="210" t="n">
        <f aca="false">Q119</f>
        <v>7000</v>
      </c>
      <c r="Q119" s="112" t="n">
        <v>7000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 t="s">
        <v>140</v>
      </c>
      <c r="B120" s="145"/>
      <c r="C120" s="145"/>
      <c r="D120" s="210" t="n">
        <f aca="false">D118-D119</f>
        <v>8000</v>
      </c>
      <c r="E120" s="115" t="n">
        <f aca="false">E118-E119</f>
        <v>4000</v>
      </c>
      <c r="F120" s="135"/>
      <c r="G120" s="138" t="s">
        <v>140</v>
      </c>
      <c r="H120" s="145"/>
      <c r="I120" s="145"/>
      <c r="J120" s="210" t="n">
        <f aca="false">J118-J119</f>
        <v>3000</v>
      </c>
      <c r="K120" s="115" t="n">
        <f aca="false">K118-K119</f>
        <v>-2000</v>
      </c>
      <c r="L120" s="135"/>
      <c r="M120" s="138" t="s">
        <v>140</v>
      </c>
      <c r="N120" s="145"/>
      <c r="O120" s="145"/>
      <c r="P120" s="210" t="n">
        <f aca="false">P118-P119</f>
        <v>3000</v>
      </c>
      <c r="Q120" s="115" t="n">
        <f aca="false">Q118-Q119</f>
        <v>-2000</v>
      </c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 t="s">
        <v>141</v>
      </c>
      <c r="B121" s="145"/>
      <c r="C121" s="145"/>
      <c r="D121" s="210" t="n">
        <f aca="false">D120-E120</f>
        <v>4000</v>
      </c>
      <c r="E121" s="146"/>
      <c r="F121" s="135"/>
      <c r="G121" s="138" t="s">
        <v>141</v>
      </c>
      <c r="H121" s="145"/>
      <c r="I121" s="145"/>
      <c r="J121" s="210" t="n">
        <f aca="false">J120-K120</f>
        <v>5000</v>
      </c>
      <c r="K121" s="146"/>
      <c r="L121" s="135"/>
      <c r="M121" s="138" t="s">
        <v>141</v>
      </c>
      <c r="N121" s="145"/>
      <c r="O121" s="145"/>
      <c r="P121" s="210" t="n">
        <f aca="false">P120-Q120</f>
        <v>5000</v>
      </c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138"/>
      <c r="B122" s="145"/>
      <c r="C122" s="145"/>
      <c r="D122" s="145"/>
      <c r="E122" s="146"/>
      <c r="F122" s="135"/>
      <c r="G122" s="138"/>
      <c r="H122" s="145"/>
      <c r="I122" s="145"/>
      <c r="J122" s="145"/>
      <c r="K122" s="146"/>
      <c r="L122" s="135"/>
      <c r="M122" s="138"/>
      <c r="N122" s="145"/>
      <c r="O122" s="145"/>
      <c r="P122" s="145"/>
      <c r="Q122" s="146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80" t="s">
        <v>142</v>
      </c>
      <c r="B123" s="181"/>
      <c r="C123" s="181"/>
      <c r="D123" s="181"/>
      <c r="E123" s="203" t="n">
        <f aca="false">D105</f>
        <v>1000</v>
      </c>
      <c r="F123" s="135"/>
      <c r="G123" s="180" t="s">
        <v>142</v>
      </c>
      <c r="H123" s="181"/>
      <c r="I123" s="181"/>
      <c r="J123" s="181"/>
      <c r="K123" s="203" t="n">
        <f aca="false">J105</f>
        <v>5000</v>
      </c>
      <c r="L123" s="135"/>
      <c r="M123" s="180" t="s">
        <v>142</v>
      </c>
      <c r="N123" s="181"/>
      <c r="O123" s="181"/>
      <c r="P123" s="181"/>
      <c r="Q123" s="203" t="n">
        <f aca="false">P105</f>
        <v>0</v>
      </c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52</v>
      </c>
      <c r="B124" s="145"/>
      <c r="C124" s="145"/>
      <c r="D124" s="145"/>
      <c r="E124" s="143" t="n">
        <f aca="false">A108</f>
        <v>239.99</v>
      </c>
      <c r="F124" s="135"/>
      <c r="G124" s="138" t="s">
        <v>52</v>
      </c>
      <c r="H124" s="145"/>
      <c r="I124" s="145"/>
      <c r="J124" s="145"/>
      <c r="K124" s="143" t="n">
        <f aca="false">G108</f>
        <v>239.988</v>
      </c>
      <c r="L124" s="135"/>
      <c r="M124" s="138" t="s">
        <v>52</v>
      </c>
      <c r="N124" s="145"/>
      <c r="O124" s="145"/>
      <c r="P124" s="145"/>
      <c r="Q124" s="143" t="n">
        <f aca="false">M108</f>
        <v>199.99</v>
      </c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211" t="s">
        <v>143</v>
      </c>
      <c r="B125" s="178"/>
      <c r="C125" s="178"/>
      <c r="D125" s="178"/>
      <c r="E125" s="185" t="n">
        <f aca="false">(E124+E123)-E120</f>
        <v>-2760.01</v>
      </c>
      <c r="F125" s="135"/>
      <c r="G125" s="211" t="s">
        <v>143</v>
      </c>
      <c r="H125" s="178"/>
      <c r="I125" s="178"/>
      <c r="J125" s="178"/>
      <c r="K125" s="185" t="n">
        <f aca="false">(K124+K123)-K120</f>
        <v>7239.988</v>
      </c>
      <c r="L125" s="135"/>
      <c r="M125" s="211" t="s">
        <v>143</v>
      </c>
      <c r="N125" s="178"/>
      <c r="O125" s="178"/>
      <c r="P125" s="178"/>
      <c r="Q125" s="185" t="n">
        <f aca="false">(Q124+Q123)-Q120</f>
        <v>2199.99</v>
      </c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138"/>
      <c r="B126" s="145"/>
      <c r="C126" s="145"/>
      <c r="D126" s="145"/>
      <c r="E126" s="146"/>
      <c r="F126" s="135"/>
      <c r="G126" s="138"/>
      <c r="H126" s="145"/>
      <c r="I126" s="145"/>
      <c r="J126" s="145"/>
      <c r="K126" s="146"/>
      <c r="L126" s="135"/>
      <c r="M126" s="138"/>
      <c r="N126" s="145"/>
      <c r="O126" s="145"/>
      <c r="P126" s="145"/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38"/>
      <c r="B127" s="145"/>
      <c r="C127" s="145"/>
      <c r="D127" s="145"/>
      <c r="E127" s="146"/>
      <c r="F127" s="135"/>
      <c r="G127" s="138"/>
      <c r="H127" s="145"/>
      <c r="I127" s="145"/>
      <c r="J127" s="145"/>
      <c r="K127" s="146"/>
      <c r="L127" s="135"/>
      <c r="M127" s="138"/>
      <c r="N127" s="145"/>
      <c r="O127" s="145"/>
      <c r="P127" s="145"/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29" t="s">
        <v>144</v>
      </c>
      <c r="B128" s="29"/>
      <c r="C128" s="29"/>
      <c r="D128" s="29"/>
      <c r="E128" s="29"/>
      <c r="F128" s="135"/>
      <c r="G128" s="29" t="s">
        <v>144</v>
      </c>
      <c r="H128" s="29"/>
      <c r="I128" s="29"/>
      <c r="J128" s="29"/>
      <c r="K128" s="29"/>
      <c r="L128" s="135"/>
      <c r="M128" s="29" t="s">
        <v>144</v>
      </c>
      <c r="N128" s="29"/>
      <c r="O128" s="29"/>
      <c r="P128" s="29"/>
      <c r="Q128" s="29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/>
      <c r="B129" s="145"/>
      <c r="C129" s="145"/>
      <c r="D129" s="145"/>
      <c r="E129" s="146"/>
      <c r="F129" s="135"/>
      <c r="G129" s="138"/>
      <c r="H129" s="145"/>
      <c r="I129" s="145"/>
      <c r="J129" s="145"/>
      <c r="K129" s="146"/>
      <c r="L129" s="135"/>
      <c r="M129" s="138"/>
      <c r="N129" s="145"/>
      <c r="O129" s="145"/>
      <c r="P129" s="145"/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138" t="s">
        <v>145</v>
      </c>
      <c r="B130" s="117" t="n">
        <v>0</v>
      </c>
      <c r="C130" s="117"/>
      <c r="D130" s="145"/>
      <c r="E130" s="146"/>
      <c r="F130" s="135"/>
      <c r="G130" s="138" t="s">
        <v>145</v>
      </c>
      <c r="H130" s="117" t="n">
        <v>0</v>
      </c>
      <c r="I130" s="117"/>
      <c r="J130" s="145"/>
      <c r="K130" s="146"/>
      <c r="L130" s="135"/>
      <c r="M130" s="138" t="s">
        <v>145</v>
      </c>
      <c r="N130" s="117" t="n">
        <v>0</v>
      </c>
      <c r="O130" s="117"/>
      <c r="P130" s="145"/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81</v>
      </c>
      <c r="B132" s="145" t="s">
        <v>82</v>
      </c>
      <c r="C132" s="145"/>
      <c r="D132" s="145" t="s">
        <v>84</v>
      </c>
      <c r="E132" s="146"/>
      <c r="F132" s="135"/>
      <c r="G132" s="138" t="s">
        <v>81</v>
      </c>
      <c r="H132" s="145" t="s">
        <v>82</v>
      </c>
      <c r="I132" s="145"/>
      <c r="J132" s="145" t="s">
        <v>84</v>
      </c>
      <c r="K132" s="146"/>
      <c r="L132" s="135"/>
      <c r="M132" s="138" t="s">
        <v>81</v>
      </c>
      <c r="N132" s="145" t="s">
        <v>82</v>
      </c>
      <c r="O132" s="145"/>
      <c r="P132" s="145" t="s">
        <v>84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6"/>
      <c r="F133" s="135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6"/>
      <c r="L133" s="135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212" t="s">
        <v>146</v>
      </c>
      <c r="B135" s="213" t="s">
        <v>147</v>
      </c>
      <c r="C135" s="213"/>
      <c r="D135" s="213" t="s">
        <v>112</v>
      </c>
      <c r="E135" s="146"/>
      <c r="F135" s="135"/>
      <c r="G135" s="212" t="s">
        <v>148</v>
      </c>
      <c r="H135" s="213" t="s">
        <v>149</v>
      </c>
      <c r="I135" s="213"/>
      <c r="J135" s="213" t="s">
        <v>150</v>
      </c>
      <c r="K135" s="146"/>
      <c r="L135" s="135"/>
      <c r="M135" s="212" t="s">
        <v>146</v>
      </c>
      <c r="N135" s="213" t="s">
        <v>147</v>
      </c>
      <c r="O135" s="213"/>
      <c r="P135" s="213" t="s">
        <v>112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2" t="n">
        <f aca="false">B96</f>
        <v>1084.12786775582</v>
      </c>
      <c r="B136" s="214" t="n">
        <f aca="false">IF(A111="YES", B95*B63, 0)</f>
        <v>72</v>
      </c>
      <c r="C136" s="214"/>
      <c r="D136" s="214" t="n">
        <f aca="false">B97</f>
        <v>1156.12786775582</v>
      </c>
      <c r="E136" s="146"/>
      <c r="F136" s="135"/>
      <c r="G136" s="122" t="e">
        <f aca="false">H96</f>
        <v>#DIV/0!</v>
      </c>
      <c r="H136" s="214" t="e">
        <f aca="false">IF(G111="YES", H95*H63, 0)</f>
        <v>#DIV/0!</v>
      </c>
      <c r="I136" s="214"/>
      <c r="J136" s="124" t="e">
        <f aca="false">H97</f>
        <v>#DIV/0!</v>
      </c>
      <c r="K136" s="146"/>
      <c r="L136" s="135"/>
      <c r="M136" s="122" t="e">
        <f aca="false">N96</f>
        <v>#DIV/0!</v>
      </c>
      <c r="N136" s="214" t="e">
        <f aca="false">IF(M111="YES", N95*N63, 0)</f>
        <v>#DIV/0!</v>
      </c>
      <c r="O136" s="214"/>
      <c r="P136" s="214" t="e">
        <f aca="false">N97</f>
        <v>#DIV/0!</v>
      </c>
      <c r="Q136" s="146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151</v>
      </c>
      <c r="B138" s="145" t="s">
        <v>152</v>
      </c>
      <c r="C138" s="145"/>
      <c r="D138" s="145" t="s">
        <v>153</v>
      </c>
      <c r="E138" s="146"/>
      <c r="F138" s="135"/>
      <c r="G138" s="138" t="s">
        <v>154</v>
      </c>
      <c r="H138" s="145" t="s">
        <v>155</v>
      </c>
      <c r="I138" s="145"/>
      <c r="J138" s="145" t="s">
        <v>156</v>
      </c>
      <c r="K138" s="146"/>
      <c r="L138" s="135"/>
      <c r="M138" s="138" t="s">
        <v>151</v>
      </c>
      <c r="N138" s="145" t="s">
        <v>152</v>
      </c>
      <c r="O138" s="145"/>
      <c r="P138" s="145" t="s">
        <v>153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5" t="n">
        <f aca="false">B96*B63</f>
        <v>1084.12786775582</v>
      </c>
      <c r="B139" s="215" t="n">
        <f aca="false">IF(A111="YES", B95*B63, 0)</f>
        <v>72</v>
      </c>
      <c r="C139" s="155"/>
      <c r="D139" s="128" t="n">
        <f aca="false">B97*B63</f>
        <v>1156.12786775582</v>
      </c>
      <c r="E139" s="146"/>
      <c r="F139" s="135"/>
      <c r="G139" s="125" t="e">
        <f aca="false">H96*H63</f>
        <v>#DIV/0!</v>
      </c>
      <c r="H139" s="215" t="e">
        <f aca="false">IF(G111="YES", H95*H63, 0)</f>
        <v>#DIV/0!</v>
      </c>
      <c r="I139" s="155"/>
      <c r="J139" s="215" t="e">
        <f aca="false">H97*H63</f>
        <v>#DIV/0!</v>
      </c>
      <c r="K139" s="146"/>
      <c r="L139" s="135"/>
      <c r="M139" s="125" t="e">
        <f aca="false">N96*N63</f>
        <v>#DIV/0!</v>
      </c>
      <c r="N139" s="215" t="e">
        <f aca="false">IF(M111="YES", N95*N63, 0)</f>
        <v>#DIV/0!</v>
      </c>
      <c r="O139" s="155"/>
      <c r="P139" s="128" t="e">
        <f aca="false">N97*N63</f>
        <v>#DIV/0!</v>
      </c>
      <c r="Q139" s="146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157</v>
      </c>
      <c r="B141" s="145" t="s">
        <v>158</v>
      </c>
      <c r="C141" s="145"/>
      <c r="D141" s="145" t="s">
        <v>159</v>
      </c>
      <c r="E141" s="146"/>
      <c r="F141" s="135"/>
      <c r="G141" s="138" t="s">
        <v>160</v>
      </c>
      <c r="H141" s="145" t="s">
        <v>161</v>
      </c>
      <c r="I141" s="145"/>
      <c r="J141" s="145" t="s">
        <v>162</v>
      </c>
      <c r="K141" s="146"/>
      <c r="L141" s="135"/>
      <c r="M141" s="138" t="s">
        <v>157</v>
      </c>
      <c r="N141" s="145" t="s">
        <v>158</v>
      </c>
      <c r="O141" s="145"/>
      <c r="P141" s="145" t="s">
        <v>159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E15*0.000006</f>
        <v>0.35115</v>
      </c>
      <c r="B142" s="215" t="n">
        <f aca="false">IF(A111="YES", E15*0.000002, 0)</f>
        <v>0.11705</v>
      </c>
      <c r="C142" s="215"/>
      <c r="D142" s="215" t="n">
        <f aca="false">A142+B142</f>
        <v>0.4682</v>
      </c>
      <c r="E142" s="130"/>
      <c r="F142" s="135"/>
      <c r="G142" s="129" t="n">
        <f aca="false">E15*0.000006</f>
        <v>0.35115</v>
      </c>
      <c r="H142" s="215" t="n">
        <f aca="false">IF(G111="YES", E15*0.000002, 0)</f>
        <v>0.11705</v>
      </c>
      <c r="I142" s="215"/>
      <c r="J142" s="215" t="n">
        <f aca="false">G142+H142</f>
        <v>0.4682</v>
      </c>
      <c r="K142" s="130"/>
      <c r="L142" s="135"/>
      <c r="M142" s="129" t="n">
        <f aca="false">E15*0.000006</f>
        <v>0.35115</v>
      </c>
      <c r="N142" s="215" t="n">
        <f aca="false">IF(M111="YES", E15*0.000002, 0)</f>
        <v>0.11705</v>
      </c>
      <c r="O142" s="215"/>
      <c r="P142" s="215" t="n">
        <f aca="false">M142+N142</f>
        <v>0.4682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163</v>
      </c>
      <c r="B144" s="145" t="s">
        <v>164</v>
      </c>
      <c r="C144" s="145"/>
      <c r="D144" s="145" t="s">
        <v>165</v>
      </c>
      <c r="E144" s="146"/>
      <c r="F144" s="135"/>
      <c r="G144" s="138" t="s">
        <v>166</v>
      </c>
      <c r="H144" s="145" t="s">
        <v>164</v>
      </c>
      <c r="I144" s="145"/>
      <c r="J144" s="145" t="s">
        <v>165</v>
      </c>
      <c r="K144" s="146"/>
      <c r="L144" s="135"/>
      <c r="M144" s="138" t="s">
        <v>163</v>
      </c>
      <c r="N144" s="145" t="s">
        <v>164</v>
      </c>
      <c r="O144" s="145"/>
      <c r="P144" s="145" t="s">
        <v>165</v>
      </c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f aca="false">A108</f>
        <v>239.99</v>
      </c>
      <c r="B145" s="215" t="n">
        <f aca="false">B73/1.2</f>
        <v>482.375</v>
      </c>
      <c r="C145" s="215"/>
      <c r="D145" s="215" t="n">
        <f aca="false">B108*0.9</f>
        <v>0</v>
      </c>
      <c r="E145" s="130"/>
      <c r="F145" s="135"/>
      <c r="G145" s="129" t="n">
        <f aca="false">G108</f>
        <v>239.988</v>
      </c>
      <c r="H145" s="215" t="n">
        <f aca="false">H73/1.2</f>
        <v>241.1875</v>
      </c>
      <c r="I145" s="215"/>
      <c r="J145" s="215" t="n">
        <f aca="false">H108*0.9</f>
        <v>1080</v>
      </c>
      <c r="K145" s="130"/>
      <c r="L145" s="135"/>
      <c r="M145" s="129" t="n">
        <f aca="false">M108</f>
        <v>199.99</v>
      </c>
      <c r="N145" s="215" t="n">
        <f aca="false">N73/1.2</f>
        <v>241.1875</v>
      </c>
      <c r="O145" s="215"/>
      <c r="P145" s="215" t="n">
        <f aca="false">N108*0.9</f>
        <v>1080</v>
      </c>
      <c r="Q145" s="130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38"/>
      <c r="N146" s="14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 t="s">
        <v>167</v>
      </c>
      <c r="B147" s="145" t="s">
        <v>168</v>
      </c>
      <c r="C147" s="145"/>
      <c r="D147" s="145" t="s">
        <v>169</v>
      </c>
      <c r="E147" s="146"/>
      <c r="F147" s="135"/>
      <c r="G147" s="138" t="s">
        <v>167</v>
      </c>
      <c r="H147" s="145" t="s">
        <v>168</v>
      </c>
      <c r="I147" s="145"/>
      <c r="J147" s="145" t="s">
        <v>169</v>
      </c>
      <c r="K147" s="146"/>
      <c r="L147" s="135"/>
      <c r="M147" s="138" t="s">
        <v>167</v>
      </c>
      <c r="N147" s="145" t="s">
        <v>168</v>
      </c>
      <c r="O147" s="145"/>
      <c r="P147" s="145" t="s">
        <v>169</v>
      </c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5" t="n">
        <f aca="false">A108-100</f>
        <v>139.99</v>
      </c>
      <c r="C148" s="215"/>
      <c r="D148" s="215" t="n">
        <f aca="false">(B145+D145+A148+B148)-B151</f>
        <v>1822.365</v>
      </c>
      <c r="E148" s="130"/>
      <c r="F148" s="135"/>
      <c r="G148" s="129" t="n">
        <f aca="false">IF(G111="YES", ((A41*H111)*0.1)*(G133), 0)</f>
        <v>12</v>
      </c>
      <c r="H148" s="215" t="n">
        <f aca="false">G108-100</f>
        <v>139.988</v>
      </c>
      <c r="I148" s="215"/>
      <c r="J148" s="215" t="n">
        <f aca="false">(H145+J145+G148+H148)-H151</f>
        <v>1473.1755</v>
      </c>
      <c r="K148" s="130"/>
      <c r="L148" s="135"/>
      <c r="M148" s="129" t="n">
        <f aca="false">IF(M111="YES", ((A41*N111)*0.1)*(M133), 0)</f>
        <v>12</v>
      </c>
      <c r="N148" s="215" t="n">
        <f aca="false">M108-100</f>
        <v>99.99</v>
      </c>
      <c r="O148" s="215"/>
      <c r="P148" s="215" t="n">
        <f aca="false">(N145+P145+M148+N148)-N151</f>
        <v>1433.1775</v>
      </c>
      <c r="Q148" s="130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45"/>
      <c r="C149" s="145"/>
      <c r="D149" s="145"/>
      <c r="E149" s="146"/>
      <c r="F149" s="135"/>
      <c r="G149" s="138"/>
      <c r="H149" s="145"/>
      <c r="I149" s="14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138" t="s">
        <v>170</v>
      </c>
      <c r="B150" s="145" t="s">
        <v>171</v>
      </c>
      <c r="C150" s="145"/>
      <c r="D150" s="145"/>
      <c r="E150" s="146"/>
      <c r="F150" s="135"/>
      <c r="G150" s="138" t="s">
        <v>170</v>
      </c>
      <c r="H150" s="145" t="s">
        <v>171</v>
      </c>
      <c r="I150" s="145"/>
      <c r="J150" s="145"/>
      <c r="K150" s="146"/>
      <c r="L150" s="135"/>
      <c r="M150" s="138" t="s">
        <v>170</v>
      </c>
      <c r="N150" s="145" t="s">
        <v>171</v>
      </c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129" t="n">
        <v>0</v>
      </c>
      <c r="B151" s="215" t="n">
        <f aca="false">(B145+D145+A148+B148)*(A151/B70)</f>
        <v>0</v>
      </c>
      <c r="C151" s="145"/>
      <c r="D151" s="145"/>
      <c r="E151" s="146"/>
      <c r="F151" s="135"/>
      <c r="G151" s="129" t="n">
        <f aca="false">IF((1200-H108) &lt;= 0, 0, (1200-H108))</f>
        <v>0</v>
      </c>
      <c r="H151" s="215" t="n">
        <f aca="false">(H145+J145+G148+H148)*(G151/H70)</f>
        <v>0</v>
      </c>
      <c r="I151" s="145"/>
      <c r="J151" s="145"/>
      <c r="K151" s="146"/>
      <c r="L151" s="135"/>
      <c r="M151" s="129" t="n">
        <f aca="false">IF((1200-N108) &lt;= 0, 0, (1200-N108))</f>
        <v>0</v>
      </c>
      <c r="N151" s="215" t="n">
        <f aca="false">(N145+P145+M148+N148)*(M151/N70)</f>
        <v>0</v>
      </c>
      <c r="O151" s="145"/>
      <c r="P151" s="145"/>
      <c r="Q151" s="146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138"/>
      <c r="B152" s="145"/>
      <c r="C152" s="145"/>
      <c r="D152" s="145"/>
      <c r="E152" s="146"/>
      <c r="F152" s="135"/>
      <c r="G152" s="138"/>
      <c r="H152" s="145"/>
      <c r="I152" s="145"/>
      <c r="J152" s="145"/>
      <c r="K152" s="146"/>
      <c r="L152" s="135"/>
      <c r="M152" s="129"/>
      <c r="N152" s="215"/>
      <c r="O152" s="14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131" t="s">
        <v>172</v>
      </c>
      <c r="N153" s="210" t="s">
        <v>173</v>
      </c>
      <c r="O153" s="145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172" t="s">
        <v>174</v>
      </c>
      <c r="B154" s="145"/>
      <c r="C154" s="145"/>
      <c r="D154" s="173"/>
      <c r="E154" s="174"/>
      <c r="F154" s="135"/>
      <c r="G154" s="172" t="s">
        <v>174</v>
      </c>
      <c r="H154" s="145"/>
      <c r="I154" s="145"/>
      <c r="J154" s="173"/>
      <c r="K154" s="174"/>
      <c r="L154" s="135"/>
      <c r="M154" s="132" t="n">
        <f aca="false">H40</f>
        <v>0</v>
      </c>
      <c r="N154" s="133" t="n">
        <v>0.99</v>
      </c>
      <c r="O154" s="13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75"/>
      <c r="C155" s="175"/>
      <c r="D155" s="145"/>
      <c r="E155" s="146"/>
      <c r="F155" s="135"/>
      <c r="G155" s="138"/>
      <c r="H155" s="175"/>
      <c r="I155" s="175"/>
      <c r="J155" s="145"/>
      <c r="K155" s="146"/>
      <c r="L155" s="135"/>
      <c r="M155" s="138"/>
      <c r="N155" s="145"/>
      <c r="O155" s="14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5"/>
      <c r="E156" s="146"/>
      <c r="F156" s="135"/>
      <c r="G156" s="71" t="s">
        <v>81</v>
      </c>
      <c r="H156" s="72" t="s">
        <v>82</v>
      </c>
      <c r="I156" s="72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5"/>
      <c r="E157" s="146"/>
      <c r="F157" s="135"/>
      <c r="G157" s="71"/>
      <c r="H157" s="73" t="str">
        <f aca="false">B57</f>
        <v>5000</v>
      </c>
      <c r="I157" s="73"/>
      <c r="J157" s="145"/>
      <c r="K157" s="146"/>
      <c r="L157" s="135"/>
      <c r="M157" s="172" t="s">
        <v>174</v>
      </c>
      <c r="N157" s="145"/>
      <c r="O157" s="145"/>
      <c r="P157" s="173"/>
      <c r="Q157" s="174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1156.12786775582</v>
      </c>
      <c r="C158" s="75"/>
      <c r="D158" s="145"/>
      <c r="E158" s="146"/>
      <c r="F158" s="135"/>
      <c r="G158" s="74" t="str">
        <f aca="false">A58</f>
        <v>12</v>
      </c>
      <c r="H158" s="75" t="e">
        <f aca="false">H97</f>
        <v>#DIV/0!</v>
      </c>
      <c r="I158" s="75"/>
      <c r="J158" s="145"/>
      <c r="K158" s="146"/>
      <c r="L158" s="135"/>
      <c r="M158" s="138"/>
      <c r="N158" s="175"/>
      <c r="O158" s="17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8"/>
      <c r="B159" s="145"/>
      <c r="C159" s="145"/>
      <c r="D159" s="145"/>
      <c r="E159" s="146"/>
      <c r="F159" s="135"/>
      <c r="G159" s="138"/>
      <c r="H159" s="145"/>
      <c r="I159" s="145"/>
      <c r="J159" s="145"/>
      <c r="K159" s="146"/>
      <c r="L159" s="135"/>
      <c r="M159" s="71" t="s">
        <v>81</v>
      </c>
      <c r="N159" s="72" t="s">
        <v>82</v>
      </c>
      <c r="O159" s="72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8"/>
      <c r="B160" s="145"/>
      <c r="C160" s="145"/>
      <c r="D160" s="145"/>
      <c r="E160" s="146"/>
      <c r="F160" s="135"/>
      <c r="G160" s="138"/>
      <c r="H160" s="145"/>
      <c r="I160" s="145"/>
      <c r="J160" s="145"/>
      <c r="K160" s="146"/>
      <c r="L160" s="135"/>
      <c r="M160" s="71"/>
      <c r="N160" s="73" t="str">
        <f aca="false">B57</f>
        <v>5000</v>
      </c>
      <c r="O160" s="73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8"/>
      <c r="B161" s="145"/>
      <c r="C161" s="145"/>
      <c r="D161" s="145"/>
      <c r="E161" s="146"/>
      <c r="F161" s="135"/>
      <c r="G161" s="138"/>
      <c r="H161" s="145"/>
      <c r="I161" s="145"/>
      <c r="J161" s="145"/>
      <c r="K161" s="146"/>
      <c r="L161" s="135"/>
      <c r="M161" s="74" t="str">
        <f aca="false">A58</f>
        <v>12</v>
      </c>
      <c r="N161" s="75" t="e">
        <f aca="false">N97</f>
        <v>#DIV/0!</v>
      </c>
      <c r="O161" s="7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8"/>
      <c r="B162" s="145"/>
      <c r="C162" s="145"/>
      <c r="D162" s="145"/>
      <c r="E162" s="146"/>
      <c r="F162" s="135"/>
      <c r="G162" s="138"/>
      <c r="H162" s="145"/>
      <c r="I162" s="145"/>
      <c r="J162" s="145"/>
      <c r="K162" s="146"/>
      <c r="L162" s="135"/>
      <c r="M162" s="138"/>
      <c r="N162" s="145"/>
      <c r="O162" s="145"/>
      <c r="P162" s="145"/>
      <c r="Q162" s="146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77"/>
      <c r="B163" s="178"/>
      <c r="C163" s="178"/>
      <c r="D163" s="178"/>
      <c r="E163" s="179"/>
      <c r="F163" s="135"/>
      <c r="G163" s="177"/>
      <c r="H163" s="178"/>
      <c r="I163" s="178"/>
      <c r="J163" s="178"/>
      <c r="K163" s="179"/>
      <c r="L163" s="135"/>
      <c r="M163" s="138"/>
      <c r="N163" s="145"/>
      <c r="O163" s="145"/>
      <c r="P163" s="145"/>
      <c r="Q163" s="146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8"/>
      <c r="N164" s="145"/>
      <c r="O164" s="145"/>
      <c r="P164" s="145"/>
      <c r="Q164" s="146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8"/>
      <c r="N165" s="145"/>
      <c r="O165" s="145"/>
      <c r="P165" s="145"/>
      <c r="Q165" s="146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8"/>
      <c r="N166" s="145"/>
      <c r="O166" s="145"/>
      <c r="P166" s="145"/>
      <c r="Q166" s="146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8"/>
      <c r="N167" s="145"/>
      <c r="O167" s="145"/>
      <c r="P167" s="145"/>
      <c r="Q167" s="146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77"/>
      <c r="N168" s="178"/>
      <c r="O168" s="178"/>
      <c r="P168" s="178"/>
      <c r="Q168" s="179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8.75" hidden="false" customHeight="true" outlineLevel="0" collapsed="false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customFormat="false" ht="18.75" hidden="false" customHeight="true" outlineLevel="0" collapsed="false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customFormat="false" ht="18.75" hidden="false" customHeight="true" outlineLevel="0" collapsed="false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customFormat="false" ht="18.75" hidden="false" customHeight="true" outlineLevel="0" collapsed="false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customFormat="false" ht="18.75" hidden="false" customHeight="true" outlineLevel="0" collapsed="false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customFormat="false" ht="18.75" hidden="false" customHeight="true" outlineLevel="0" collapsed="false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111" activeCellId="0" sqref="B111"/>
    </sheetView>
  </sheetViews>
  <sheetFormatPr defaultColWidth="10.878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139" t="n">
        <v>46854.17</v>
      </c>
      <c r="C3" s="139" t="n">
        <v>0</v>
      </c>
      <c r="D3" s="139" t="n">
        <v>833.33</v>
      </c>
      <c r="E3" s="140" t="n">
        <v>0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7" t="n">
        <f aca="false">B7+C7+D7+E3</f>
        <v>47687.5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(E9+E10)*20%</f>
        <v>9647.5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8" t="n">
        <f aca="false">(E9+E10+E13+E14+E11)-E12</f>
        <v>58525</v>
      </c>
      <c r="F15" s="135"/>
      <c r="G15" s="149" t="n">
        <f aca="false">E15</f>
        <v>58525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/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7.35" hidden="false" customHeight="fals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IF(A32=Y103,1,IF(A32=Y104,1,IF(A32=Y105,3,IF(A32=Y106,6,IF(A32=Y107,9,IF(A32=Y108,12,IF(A32=Y109,3,IF(A32=Y110,6,IF(A32=Y111,9,0)))))))))</f>
        <v>0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IF(A32=Y103,H29-H37,IF(A32=Y104,H29-H37,IF(A32=Y105,H29-1,IF(A32=Y106,H29-1,IF(A32=Y107,H29-1,IF(A32=Y108,H29-1,IF(A32=Y109,H29-H37,IF(A32=Y110,H29-H37,IF(A32=Y111,H29-H37,0)))))))))</f>
        <v>0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12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str">
        <f aca="false">IF(A32=Z103,A41,IF(A32=Z104,A41,IF(A32=Z105,(A41*3),IF(A32=Z106,(A41*6),IF(A32=Z107,(A41*9),IF(A32=Z108,(A41*12),IF(A32=Z109,A41,IF(A32=Z110,A41,IF(A32=Z111,A41,0)))))))))</f>
        <v>50</v>
      </c>
      <c r="E32" s="159"/>
      <c r="F32" s="135"/>
      <c r="G32" s="160" t="s">
        <v>177</v>
      </c>
      <c r="H32" s="158" t="str">
        <f aca="false">A41</f>
        <v>50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18.75" hidden="false" customHeight="tru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str">
        <f aca="false">D41</f>
        <v>6000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12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59" t="n">
        <f aca="false">B32+D32</f>
        <v>550</v>
      </c>
      <c r="B35" s="37" t="s">
        <v>44</v>
      </c>
      <c r="C35" s="37"/>
      <c r="D35" s="37" t="s">
        <v>45</v>
      </c>
      <c r="E35" s="37"/>
      <c r="F35" s="135"/>
      <c r="G35" s="162"/>
      <c r="H35" s="163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38"/>
      <c r="B36" s="145"/>
      <c r="C36" s="145"/>
      <c r="D36" s="145"/>
      <c r="E36" s="146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64" t="n">
        <f aca="false">(B35/12)*D35</f>
        <v>5000</v>
      </c>
      <c r="B38" s="37" t="s">
        <v>25</v>
      </c>
      <c r="C38" s="37"/>
      <c r="D38" s="42" t="s">
        <v>55</v>
      </c>
      <c r="E38" s="42"/>
      <c r="F38" s="135"/>
      <c r="G38" s="135"/>
      <c r="H38" s="135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57"/>
      <c r="B39" s="45"/>
      <c r="C39" s="45"/>
      <c r="D39" s="145"/>
      <c r="E39" s="146"/>
      <c r="F39" s="135"/>
      <c r="G39" s="135"/>
      <c r="H39" s="165"/>
      <c r="I39" s="165"/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16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42" t="s">
        <v>69</v>
      </c>
      <c r="B41" s="55" t="n">
        <f aca="false">IF(B38="YES", D38+A41, D38)</f>
        <v>550</v>
      </c>
      <c r="C41" s="55"/>
      <c r="D41" s="42" t="s">
        <v>62</v>
      </c>
      <c r="E41" s="42"/>
      <c r="F41" s="135"/>
      <c r="G41" s="135"/>
      <c r="H41" s="167"/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501</v>
      </c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42" t="s">
        <v>44</v>
      </c>
      <c r="B44" s="42" t="s">
        <v>70</v>
      </c>
      <c r="C44" s="42"/>
      <c r="D44" s="42" t="s">
        <v>300</v>
      </c>
      <c r="E44" s="42"/>
      <c r="F44" s="135"/>
      <c r="G44" s="135" t="s">
        <v>185</v>
      </c>
      <c r="H44" s="165" t="str">
        <f aca="false">H32</f>
        <v>50</v>
      </c>
      <c r="I44" s="62" t="n">
        <f aca="false">((A41*(B35-1))+D32)/B35</f>
        <v>50</v>
      </c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551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501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70" t="n">
        <v>0</v>
      </c>
      <c r="B47" s="367" t="s">
        <v>300</v>
      </c>
      <c r="C47" s="367"/>
      <c r="D47" s="42" t="s">
        <v>300</v>
      </c>
      <c r="E47" s="42"/>
      <c r="F47" s="135"/>
      <c r="G47" s="135"/>
      <c r="H47" s="165"/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5"/>
      <c r="G48" s="135"/>
      <c r="H48" s="165"/>
      <c r="I48" s="16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5"/>
      <c r="G49" s="135"/>
      <c r="H49" s="165"/>
      <c r="I49" s="16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B50" s="45"/>
      <c r="C50" s="45"/>
      <c r="D50" s="45"/>
      <c r="E50" s="61"/>
      <c r="F50" s="135"/>
      <c r="G50" s="135"/>
      <c r="H50" s="16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5"/>
      <c r="G51" s="135"/>
      <c r="H51" s="165"/>
      <c r="I51" s="16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5"/>
      <c r="G52" s="135"/>
      <c r="H52" s="165"/>
      <c r="I52" s="16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5"/>
      <c r="G53" s="135"/>
      <c r="H53" s="165"/>
      <c r="I53" s="16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2" t="s">
        <v>73</v>
      </c>
      <c r="B54" s="145"/>
      <c r="C54" s="145"/>
      <c r="D54" s="173"/>
      <c r="E54" s="174"/>
      <c r="F54" s="135"/>
      <c r="G54" s="135"/>
      <c r="H54" s="165"/>
      <c r="I54" s="16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38"/>
      <c r="B55" s="175"/>
      <c r="C55" s="175"/>
      <c r="D55" s="145"/>
      <c r="E55" s="146"/>
      <c r="F55" s="135"/>
      <c r="G55" s="135"/>
      <c r="H55" s="176"/>
      <c r="I55" s="16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5"/>
      <c r="E56" s="146"/>
      <c r="F56" s="135"/>
      <c r="G56" s="135"/>
      <c r="H56" s="135"/>
      <c r="I56" s="16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5"/>
      <c r="E57" s="146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551</v>
      </c>
      <c r="C58" s="75"/>
      <c r="D58" s="145"/>
      <c r="E58" s="146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77"/>
      <c r="B60" s="178"/>
      <c r="C60" s="178"/>
      <c r="D60" s="178"/>
      <c r="E60" s="179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45"/>
      <c r="B61" s="145"/>
      <c r="C61" s="145"/>
      <c r="D61" s="145"/>
      <c r="E61" s="145"/>
      <c r="F61" s="135"/>
      <c r="G61" s="145"/>
      <c r="H61" s="145"/>
      <c r="I61" s="145"/>
      <c r="J61" s="145"/>
      <c r="K61" s="145"/>
      <c r="L61" s="135"/>
      <c r="M61" s="145"/>
      <c r="N61" s="145"/>
      <c r="O61" s="145"/>
      <c r="P61" s="145"/>
      <c r="Q61" s="145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0"/>
      <c r="B62" s="181"/>
      <c r="C62" s="181"/>
      <c r="D62" s="181"/>
      <c r="E62" s="182"/>
      <c r="F62" s="135"/>
      <c r="G62" s="180"/>
      <c r="H62" s="181"/>
      <c r="I62" s="181"/>
      <c r="J62" s="181"/>
      <c r="K62" s="182"/>
      <c r="L62" s="135"/>
      <c r="M62" s="180"/>
      <c r="N62" s="181"/>
      <c r="O62" s="181"/>
      <c r="P62" s="181"/>
      <c r="Q62" s="182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83</v>
      </c>
      <c r="B63" s="145" t="n">
        <f aca="false">IF(B105=Z103,1,IF(B105=Z104,1,IF(B105=Z105,3,IF(B105=Z106,6,IF(B105=Z107,9,IF(B105=Z108,12,IF(B105=Z109,3,IF(B105=Z110,6,IF(B105=Z111,9,0)))))))))</f>
        <v>9</v>
      </c>
      <c r="C63" s="145"/>
      <c r="D63" s="145"/>
      <c r="E63" s="146"/>
      <c r="F63" s="135"/>
      <c r="G63" s="138" t="s">
        <v>83</v>
      </c>
      <c r="H63" s="145" t="n">
        <f aca="false">IF(H105=Y103,1,IF(H105=Y104,1,IF(H105=Y105,3,IF(H105=Y106,6,IF(H105=Y107,9,IF(H105=Y108,12,IF(H105=Y109,3,IF(H105=Y110,6,IF(H105=Y111,9,0)))))))))</f>
        <v>0</v>
      </c>
      <c r="I63" s="145"/>
      <c r="J63" s="145"/>
      <c r="K63" s="146"/>
      <c r="L63" s="135"/>
      <c r="M63" s="138" t="s">
        <v>83</v>
      </c>
      <c r="N63" s="145" t="n">
        <f aca="false">IF(N105=Y103,1,IF(N105=Y104,1,IF(N105=Y105,3,IF(N105=Y106,6,IF(N105=Y107,9,IF(N105=Y108,12,IF(N105=Y109,3,IF(N105=Y110,6,IF(N105=Y111,9,0)))))))))</f>
        <v>0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38" t="s">
        <v>84</v>
      </c>
      <c r="B64" s="145" t="n">
        <f aca="false">IF(B105=Z103,H29-B63,IF(B105=Z104,H29-B63,IF(B105=Z105,H29-1,IF(B105=Z106,H29-1,IF(B105=Z107,H29-1,IF(B105=Z108,H29-1,IF(B105=Z109,H29-B63,IF(B105=Z110,H29-B63,IF(B105=Z111,H29-B63,0)))))))))</f>
        <v>3</v>
      </c>
      <c r="C64" s="145"/>
      <c r="D64" s="145"/>
      <c r="E64" s="146"/>
      <c r="F64" s="135"/>
      <c r="G64" s="138" t="s">
        <v>84</v>
      </c>
      <c r="H64" s="145" t="n">
        <f aca="false">IF(H105=Y103,H29-H63,IF(H105=Y104,H29-H63,IF(H105=Y105,H29-1,IF(H105=Y106,H29-1,IF(H105=Y107,H29-1,IF(H105=Y108,H29-1,IF(H105=Y109,H29-H63,IF(H105=Y110,H29-H63,IF(H105=Y111,H29-H63,0)))))))))</f>
        <v>0</v>
      </c>
      <c r="I64" s="145"/>
      <c r="J64" s="145"/>
      <c r="K64" s="146"/>
      <c r="L64" s="135"/>
      <c r="M64" s="138" t="s">
        <v>84</v>
      </c>
      <c r="N64" s="145" t="n">
        <f aca="false">IF(N105=Y103,H29-N63,IF(N105=Y104,H29-N63,IF(N105=Y105,H29-1,IF(N105=Y106,H29-1,IF(N105=Y107,H29-1,IF(N105=Y108,H29-1,IF(N105=Y109,H29-N63,IF(N105=Y110,H29-N63,IF(N105=Y111,H29-N63,0)))))))))</f>
        <v>0</v>
      </c>
      <c r="O64" s="145"/>
      <c r="P64" s="145"/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38"/>
      <c r="C65" s="145"/>
      <c r="D65" s="145"/>
      <c r="E65" s="146"/>
      <c r="F65" s="135"/>
      <c r="G65" s="138"/>
      <c r="H65" s="145"/>
      <c r="I65" s="145"/>
      <c r="J65" s="145"/>
      <c r="K65" s="146"/>
      <c r="L65" s="135"/>
      <c r="M65" s="138"/>
      <c r="N65" s="145"/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/>
      <c r="B66" s="145"/>
      <c r="C66" s="145"/>
      <c r="D66" s="145"/>
      <c r="E66" s="146"/>
      <c r="F66" s="135"/>
      <c r="G66" s="138"/>
      <c r="H66" s="145"/>
      <c r="I66" s="145"/>
      <c r="J66" s="145"/>
      <c r="K66" s="146"/>
      <c r="L66" s="135"/>
      <c r="M66" s="138"/>
      <c r="N66" s="145"/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38" t="s">
        <v>21</v>
      </c>
      <c r="B67" s="144" t="n">
        <f aca="false">G18</f>
        <v>57885</v>
      </c>
      <c r="C67" s="145"/>
      <c r="D67" s="145"/>
      <c r="E67" s="146"/>
      <c r="F67" s="135"/>
      <c r="G67" s="138" t="s">
        <v>21</v>
      </c>
      <c r="H67" s="144" t="n">
        <f aca="false">G18</f>
        <v>57885</v>
      </c>
      <c r="I67" s="145"/>
      <c r="J67" s="145"/>
      <c r="K67" s="146"/>
      <c r="L67" s="135"/>
      <c r="M67" s="138" t="s">
        <v>21</v>
      </c>
      <c r="N67" s="144" t="n">
        <f aca="false">G18</f>
        <v>57885</v>
      </c>
      <c r="O67" s="145"/>
      <c r="P67" s="145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85</v>
      </c>
      <c r="B68" s="184" t="n">
        <v>0.07</v>
      </c>
      <c r="C68" s="145"/>
      <c r="D68" s="145"/>
      <c r="E68" s="146"/>
      <c r="F68" s="135"/>
      <c r="G68" s="183" t="s">
        <v>85</v>
      </c>
      <c r="H68" s="184" t="n">
        <v>0.07</v>
      </c>
      <c r="I68" s="145"/>
      <c r="J68" s="145"/>
      <c r="K68" s="146"/>
      <c r="L68" s="135"/>
      <c r="M68" s="183" t="s">
        <v>85</v>
      </c>
      <c r="N68" s="184" t="n">
        <v>0.07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8" t="s">
        <v>86</v>
      </c>
      <c r="B69" s="142" t="n">
        <f aca="false">B68+(B68*0.25*(H29/12-1))</f>
        <v>0.07</v>
      </c>
      <c r="C69" s="145"/>
      <c r="D69" s="145"/>
      <c r="E69" s="146"/>
      <c r="F69" s="135"/>
      <c r="G69" s="138" t="s">
        <v>86</v>
      </c>
      <c r="H69" s="142" t="n">
        <f aca="false">H68+(H68*0.25*(H29/12-1))</f>
        <v>0.07</v>
      </c>
      <c r="I69" s="145"/>
      <c r="J69" s="145"/>
      <c r="K69" s="146"/>
      <c r="L69" s="135"/>
      <c r="M69" s="138" t="s">
        <v>86</v>
      </c>
      <c r="N69" s="142" t="n">
        <f aca="false">N68+(N68*0.25*(H29/12-1))</f>
        <v>0.07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87</v>
      </c>
      <c r="B70" s="185" t="n">
        <f aca="false">B67*B69</f>
        <v>4051.95</v>
      </c>
      <c r="C70" s="145"/>
      <c r="D70" s="144" t="n">
        <f aca="false">B70-A151</f>
        <v>4051.95</v>
      </c>
      <c r="E70" s="146" t="n">
        <f aca="false">D70/12</f>
        <v>337.6625</v>
      </c>
      <c r="F70" s="135"/>
      <c r="G70" s="177" t="s">
        <v>87</v>
      </c>
      <c r="H70" s="185" t="n">
        <f aca="false">H67*H69</f>
        <v>4051.95</v>
      </c>
      <c r="I70" s="145"/>
      <c r="J70" s="144" t="n">
        <f aca="false">H70-G151</f>
        <v>4051.95</v>
      </c>
      <c r="K70" s="146"/>
      <c r="L70" s="135"/>
      <c r="M70" s="177" t="s">
        <v>87</v>
      </c>
      <c r="N70" s="185" t="n">
        <f aca="false">N67*N69</f>
        <v>4051.95</v>
      </c>
      <c r="O70" s="145"/>
      <c r="P70" s="144" t="n">
        <f aca="false">N70-M151</f>
        <v>4051.95</v>
      </c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88</v>
      </c>
      <c r="B71" s="184" t="n">
        <v>0.01</v>
      </c>
      <c r="C71" s="145"/>
      <c r="D71" s="145"/>
      <c r="E71" s="146"/>
      <c r="F71" s="135"/>
      <c r="G71" s="183" t="s">
        <v>88</v>
      </c>
      <c r="H71" s="184" t="n">
        <v>0.005</v>
      </c>
      <c r="I71" s="145"/>
      <c r="J71" s="145"/>
      <c r="K71" s="146"/>
      <c r="L71" s="135"/>
      <c r="M71" s="183" t="s">
        <v>88</v>
      </c>
      <c r="N71" s="184" t="n">
        <v>0.005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8" t="s">
        <v>89</v>
      </c>
      <c r="B72" s="142" t="n">
        <f aca="false">B71+(B71*0.5*(H29/12-1))</f>
        <v>0.01</v>
      </c>
      <c r="C72" s="145"/>
      <c r="D72" s="145"/>
      <c r="E72" s="146"/>
      <c r="F72" s="135"/>
      <c r="G72" s="138" t="s">
        <v>89</v>
      </c>
      <c r="H72" s="142" t="n">
        <f aca="false">H71+(H71*0.5*(H29/12-1))</f>
        <v>0.005</v>
      </c>
      <c r="I72" s="145"/>
      <c r="J72" s="145"/>
      <c r="K72" s="146"/>
      <c r="L72" s="135"/>
      <c r="M72" s="138" t="s">
        <v>89</v>
      </c>
      <c r="N72" s="142" t="n">
        <f aca="false">N71+(N71*0.5*(H29/12-1))</f>
        <v>0.005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90</v>
      </c>
      <c r="B73" s="185" t="n">
        <f aca="false">B67*B72</f>
        <v>578.85</v>
      </c>
      <c r="C73" s="145"/>
      <c r="D73" s="144"/>
      <c r="E73" s="146"/>
      <c r="F73" s="135"/>
      <c r="G73" s="177" t="s">
        <v>90</v>
      </c>
      <c r="H73" s="185" t="n">
        <f aca="false">H67*H72</f>
        <v>289.425</v>
      </c>
      <c r="I73" s="145"/>
      <c r="J73" s="144"/>
      <c r="K73" s="146"/>
      <c r="L73" s="135"/>
      <c r="M73" s="177" t="s">
        <v>90</v>
      </c>
      <c r="N73" s="185" t="n">
        <f aca="false">N67*N72</f>
        <v>289.425</v>
      </c>
      <c r="O73" s="145"/>
      <c r="P73" s="144"/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91</v>
      </c>
      <c r="B74" s="184" t="n">
        <v>0.0075</v>
      </c>
      <c r="C74" s="145"/>
      <c r="D74" s="145"/>
      <c r="E74" s="146"/>
      <c r="F74" s="135"/>
      <c r="G74" s="183" t="s">
        <v>91</v>
      </c>
      <c r="H74" s="184" t="n">
        <v>0.0075</v>
      </c>
      <c r="I74" s="145"/>
      <c r="J74" s="145"/>
      <c r="K74" s="146"/>
      <c r="L74" s="135"/>
      <c r="M74" s="183" t="s">
        <v>91</v>
      </c>
      <c r="N74" s="184" t="n">
        <v>0.0075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92</v>
      </c>
      <c r="B75" s="186" t="n">
        <v>0.12</v>
      </c>
      <c r="C75" s="145"/>
      <c r="D75" s="145"/>
      <c r="E75" s="146"/>
      <c r="F75" s="135"/>
      <c r="G75" s="136" t="s">
        <v>92</v>
      </c>
      <c r="H75" s="186" t="n">
        <v>0.12</v>
      </c>
      <c r="I75" s="145"/>
      <c r="J75" s="145"/>
      <c r="K75" s="146"/>
      <c r="L75" s="135"/>
      <c r="M75" s="136" t="s">
        <v>92</v>
      </c>
      <c r="N75" s="186" t="n">
        <v>0.12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93</v>
      </c>
      <c r="B76" s="187" t="n">
        <f aca="false">B74*(1+B75)</f>
        <v>0.0084</v>
      </c>
      <c r="C76" s="145"/>
      <c r="D76" s="145"/>
      <c r="E76" s="146"/>
      <c r="F76" s="135"/>
      <c r="G76" s="177" t="s">
        <v>93</v>
      </c>
      <c r="H76" s="187" t="n">
        <f aca="false">H74*(1+H75)</f>
        <v>0.0084</v>
      </c>
      <c r="I76" s="145"/>
      <c r="J76" s="145"/>
      <c r="K76" s="146"/>
      <c r="L76" s="135"/>
      <c r="M76" s="177" t="s">
        <v>93</v>
      </c>
      <c r="N76" s="187" t="n">
        <f aca="false">N74*(1+N75)</f>
        <v>0.0084</v>
      </c>
      <c r="O76" s="145"/>
      <c r="P76" s="145"/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94</v>
      </c>
      <c r="B77" s="188" t="n">
        <v>200</v>
      </c>
      <c r="C77" s="145"/>
      <c r="D77" s="145"/>
      <c r="E77" s="146"/>
      <c r="F77" s="135"/>
      <c r="G77" s="183" t="s">
        <v>94</v>
      </c>
      <c r="H77" s="188" t="n">
        <v>160</v>
      </c>
      <c r="I77" s="145"/>
      <c r="J77" s="145"/>
      <c r="K77" s="146"/>
      <c r="L77" s="135"/>
      <c r="M77" s="183" t="s">
        <v>94</v>
      </c>
      <c r="N77" s="188" t="n">
        <v>160</v>
      </c>
      <c r="O77" s="145"/>
      <c r="P77" s="145"/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6" t="s">
        <v>95</v>
      </c>
      <c r="B78" s="189" t="n">
        <v>5</v>
      </c>
      <c r="C78" s="145"/>
      <c r="D78" s="145"/>
      <c r="E78" s="146"/>
      <c r="F78" s="135"/>
      <c r="G78" s="136" t="s">
        <v>95</v>
      </c>
      <c r="H78" s="189" t="n">
        <v>4.5</v>
      </c>
      <c r="I78" s="145"/>
      <c r="J78" s="145"/>
      <c r="K78" s="146"/>
      <c r="L78" s="135"/>
      <c r="M78" s="136" t="s">
        <v>95</v>
      </c>
      <c r="N78" s="189" t="n">
        <v>4.5</v>
      </c>
      <c r="O78" s="145"/>
      <c r="P78" s="145"/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77" t="s">
        <v>96</v>
      </c>
      <c r="B79" s="185" t="n">
        <f aca="false">B78*H29</f>
        <v>60</v>
      </c>
      <c r="C79" s="145"/>
      <c r="D79" s="144" t="n">
        <f aca="false">B79+B77</f>
        <v>260</v>
      </c>
      <c r="E79" s="190" t="n">
        <f aca="false">D79+D85+D86</f>
        <v>660</v>
      </c>
      <c r="F79" s="135"/>
      <c r="G79" s="177" t="s">
        <v>96</v>
      </c>
      <c r="H79" s="185" t="n">
        <f aca="false">H78*H29</f>
        <v>54</v>
      </c>
      <c r="I79" s="145"/>
      <c r="J79" s="144" t="n">
        <f aca="false">H79+H77</f>
        <v>214</v>
      </c>
      <c r="K79" s="146"/>
      <c r="L79" s="135"/>
      <c r="M79" s="177" t="s">
        <v>96</v>
      </c>
      <c r="N79" s="185" t="n">
        <f aca="false">N78*H29</f>
        <v>54</v>
      </c>
      <c r="O79" s="145"/>
      <c r="P79" s="144" t="n">
        <f aca="false">N79+N77</f>
        <v>214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83" t="s">
        <v>97</v>
      </c>
      <c r="B80" s="188" t="n">
        <v>165</v>
      </c>
      <c r="C80" s="145"/>
      <c r="D80" s="145"/>
      <c r="E80" s="190" t="n">
        <f aca="false">E79+D82</f>
        <v>703.333333333333</v>
      </c>
      <c r="F80" s="135"/>
      <c r="G80" s="183" t="s">
        <v>97</v>
      </c>
      <c r="H80" s="188" t="n">
        <v>150</v>
      </c>
      <c r="I80" s="145"/>
      <c r="J80" s="145"/>
      <c r="K80" s="146"/>
      <c r="L80" s="135"/>
      <c r="M80" s="191" t="s">
        <v>97</v>
      </c>
      <c r="N80" s="192" t="n">
        <v>0</v>
      </c>
      <c r="O80" s="145"/>
      <c r="P80" s="145"/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36" t="s">
        <v>98</v>
      </c>
      <c r="B81" s="189" t="n">
        <v>355</v>
      </c>
      <c r="C81" s="145"/>
      <c r="D81" s="145"/>
      <c r="E81" s="146" t="n">
        <f aca="false">E80/12</f>
        <v>58.6111111111111</v>
      </c>
      <c r="F81" s="135"/>
      <c r="G81" s="136" t="s">
        <v>98</v>
      </c>
      <c r="H81" s="189" t="n">
        <f aca="false">IF(G18&gt;40000, 325, 0)</f>
        <v>325</v>
      </c>
      <c r="I81" s="145"/>
      <c r="J81" s="145"/>
      <c r="K81" s="146"/>
      <c r="L81" s="135"/>
      <c r="M81" s="193" t="s">
        <v>98</v>
      </c>
      <c r="N81" s="194" t="n">
        <v>0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77" t="s">
        <v>99</v>
      </c>
      <c r="B82" s="185" t="n">
        <f aca="false">((B80+B81)/12)*(H29-11)</f>
        <v>43.3333333333333</v>
      </c>
      <c r="C82" s="145"/>
      <c r="D82" s="144" t="n">
        <f aca="false">IF(A50="YES", 0, B82)</f>
        <v>43.3333333333333</v>
      </c>
      <c r="E82" s="146"/>
      <c r="F82" s="135"/>
      <c r="G82" s="177" t="s">
        <v>99</v>
      </c>
      <c r="H82" s="185" t="n">
        <f aca="false">((H80+H81)/12)*(H29-11)</f>
        <v>39.5833333333333</v>
      </c>
      <c r="I82" s="145"/>
      <c r="J82" s="144" t="n">
        <f aca="false">IF(A50="YES", 0, H82)</f>
        <v>39.5833333333333</v>
      </c>
      <c r="K82" s="146"/>
      <c r="L82" s="135"/>
      <c r="M82" s="195" t="s">
        <v>99</v>
      </c>
      <c r="N82" s="196" t="n">
        <f aca="false">((N80+N81)/12)*(H29-11)</f>
        <v>0</v>
      </c>
      <c r="O82" s="145"/>
      <c r="P82" s="144" t="n">
        <f aca="false">IF(A50="YES", 0, N82)</f>
        <v>0</v>
      </c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183" t="s">
        <v>100</v>
      </c>
      <c r="B83" s="188" t="n">
        <v>0</v>
      </c>
      <c r="C83" s="145"/>
      <c r="D83" s="144" t="n">
        <f aca="false">B83</f>
        <v>0</v>
      </c>
      <c r="E83" s="146" t="n">
        <f aca="false">D83/12</f>
        <v>0</v>
      </c>
      <c r="F83" s="135"/>
      <c r="G83" s="183" t="s">
        <v>100</v>
      </c>
      <c r="H83" s="188" t="n">
        <f aca="false">H108</f>
        <v>1200</v>
      </c>
      <c r="I83" s="145"/>
      <c r="J83" s="144" t="n">
        <f aca="false">H83</f>
        <v>1200</v>
      </c>
      <c r="K83" s="146"/>
      <c r="L83" s="135"/>
      <c r="M83" s="183" t="s">
        <v>100</v>
      </c>
      <c r="N83" s="188" t="n">
        <f aca="false">N108</f>
        <v>1200</v>
      </c>
      <c r="O83" s="145"/>
      <c r="P83" s="144" t="n">
        <f aca="false">N83</f>
        <v>1200</v>
      </c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 t="s">
        <v>101</v>
      </c>
      <c r="B84" s="143" t="n">
        <v>0</v>
      </c>
      <c r="C84" s="145"/>
      <c r="D84" s="144" t="n">
        <f aca="false">B84</f>
        <v>0</v>
      </c>
      <c r="E84" s="146"/>
      <c r="F84" s="135"/>
      <c r="G84" s="138" t="s">
        <v>102</v>
      </c>
      <c r="H84" s="143" t="n">
        <f aca="false">J108</f>
        <v>1500</v>
      </c>
      <c r="I84" s="145"/>
      <c r="J84" s="144" t="n">
        <f aca="false">H84</f>
        <v>1500</v>
      </c>
      <c r="K84" s="146"/>
      <c r="L84" s="135"/>
      <c r="M84" s="138" t="s">
        <v>102</v>
      </c>
      <c r="N84" s="143" t="n">
        <f aca="false">P108</f>
        <v>1500</v>
      </c>
      <c r="O84" s="145"/>
      <c r="P84" s="144" t="n">
        <f aca="false">N84</f>
        <v>1500</v>
      </c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36" t="s">
        <v>103</v>
      </c>
      <c r="B85" s="189" t="n">
        <v>200</v>
      </c>
      <c r="C85" s="145"/>
      <c r="D85" s="144" t="n">
        <f aca="false">B85</f>
        <v>200</v>
      </c>
      <c r="E85" s="146"/>
      <c r="F85" s="135"/>
      <c r="G85" s="136" t="s">
        <v>103</v>
      </c>
      <c r="H85" s="189" t="n">
        <v>100</v>
      </c>
      <c r="I85" s="145"/>
      <c r="J85" s="144" t="n">
        <f aca="false">H85</f>
        <v>100</v>
      </c>
      <c r="K85" s="146"/>
      <c r="L85" s="135"/>
      <c r="M85" s="136" t="s">
        <v>103</v>
      </c>
      <c r="N85" s="189" t="n">
        <v>100</v>
      </c>
      <c r="O85" s="145"/>
      <c r="P85" s="144" t="n">
        <f aca="false">N85</f>
        <v>100</v>
      </c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97" t="s">
        <v>104</v>
      </c>
      <c r="B86" s="198" t="n">
        <v>200</v>
      </c>
      <c r="C86" s="145"/>
      <c r="D86" s="144" t="n">
        <f aca="false">B86</f>
        <v>200</v>
      </c>
      <c r="E86" s="146"/>
      <c r="F86" s="135"/>
      <c r="G86" s="197" t="s">
        <v>104</v>
      </c>
      <c r="H86" s="198" t="n">
        <v>100</v>
      </c>
      <c r="I86" s="145"/>
      <c r="J86" s="144" t="n">
        <f aca="false">H86</f>
        <v>100</v>
      </c>
      <c r="K86" s="146"/>
      <c r="L86" s="135"/>
      <c r="M86" s="197" t="s">
        <v>104</v>
      </c>
      <c r="N86" s="198" t="n">
        <v>100</v>
      </c>
      <c r="O86" s="145"/>
      <c r="P86" s="144" t="n">
        <f aca="false">N86</f>
        <v>100</v>
      </c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99" t="s">
        <v>105</v>
      </c>
      <c r="B87" s="200" t="n">
        <f aca="false">SUM(D70:D86)</f>
        <v>4755.28333333333</v>
      </c>
      <c r="C87" s="145"/>
      <c r="D87" s="145"/>
      <c r="E87" s="146"/>
      <c r="F87" s="135"/>
      <c r="G87" s="199" t="s">
        <v>105</v>
      </c>
      <c r="H87" s="200" t="n">
        <f aca="false">SUM(J70:J86)</f>
        <v>7205.53333333333</v>
      </c>
      <c r="I87" s="145"/>
      <c r="J87" s="145"/>
      <c r="K87" s="146"/>
      <c r="L87" s="135"/>
      <c r="M87" s="199" t="s">
        <v>105</v>
      </c>
      <c r="N87" s="200" t="n">
        <f aca="false">SUM(P70:P86)</f>
        <v>7165.95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 t="s">
        <v>106</v>
      </c>
      <c r="B88" s="143" t="n">
        <f aca="false">B87/H29</f>
        <v>396.273611111111</v>
      </c>
      <c r="C88" s="145"/>
      <c r="D88" s="145"/>
      <c r="E88" s="146"/>
      <c r="F88" s="135"/>
      <c r="G88" s="138" t="s">
        <v>106</v>
      </c>
      <c r="H88" s="143" t="n">
        <f aca="false">H87/H29</f>
        <v>600.461111111111</v>
      </c>
      <c r="I88" s="145"/>
      <c r="J88" s="145"/>
      <c r="K88" s="146"/>
      <c r="L88" s="135"/>
      <c r="M88" s="138" t="s">
        <v>106</v>
      </c>
      <c r="N88" s="143" t="n">
        <f aca="false">N87/H29</f>
        <v>597.1625</v>
      </c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201" t="s">
        <v>107</v>
      </c>
      <c r="B89" s="202" t="n">
        <f aca="false">H46</f>
        <v>501</v>
      </c>
      <c r="C89" s="145"/>
      <c r="D89" s="145"/>
      <c r="E89" s="146"/>
      <c r="F89" s="135"/>
      <c r="G89" s="201" t="s">
        <v>107</v>
      </c>
      <c r="H89" s="202" t="n">
        <f aca="false">H46</f>
        <v>501</v>
      </c>
      <c r="I89" s="145"/>
      <c r="J89" s="145"/>
      <c r="K89" s="146"/>
      <c r="L89" s="135"/>
      <c r="M89" s="201" t="s">
        <v>107</v>
      </c>
      <c r="N89" s="202" t="n">
        <f aca="false">H46</f>
        <v>501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138"/>
      <c r="B90" s="144"/>
      <c r="C90" s="145"/>
      <c r="D90" s="145"/>
      <c r="E90" s="146"/>
      <c r="F90" s="135"/>
      <c r="G90" s="138"/>
      <c r="H90" s="144"/>
      <c r="I90" s="145"/>
      <c r="J90" s="145"/>
      <c r="K90" s="146"/>
      <c r="L90" s="135"/>
      <c r="M90" s="138"/>
      <c r="N90" s="144"/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180" t="s">
        <v>108</v>
      </c>
      <c r="B91" s="203" t="n">
        <f aca="false">((B89*H29)+B87)</f>
        <v>10767.2833333333</v>
      </c>
      <c r="C91" s="145"/>
      <c r="D91" s="145"/>
      <c r="E91" s="146"/>
      <c r="F91" s="135"/>
      <c r="G91" s="180" t="s">
        <v>108</v>
      </c>
      <c r="H91" s="203" t="n">
        <f aca="false">((H89*H29)+H87)*1.2</f>
        <v>15861.04</v>
      </c>
      <c r="I91" s="145"/>
      <c r="J91" s="145"/>
      <c r="K91" s="146"/>
      <c r="L91" s="135"/>
      <c r="M91" s="180" t="s">
        <v>108</v>
      </c>
      <c r="N91" s="203" t="n">
        <f aca="false">((N89*H29)+N87)</f>
        <v>13177.95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38" t="s">
        <v>109</v>
      </c>
      <c r="B92" s="143" t="n">
        <f aca="false">(((B89*H29)+B87)/(1-B76))*B76</f>
        <v>91.211355385236</v>
      </c>
      <c r="C92" s="145"/>
      <c r="D92" s="145"/>
      <c r="E92" s="204"/>
      <c r="F92" s="135"/>
      <c r="G92" s="138" t="s">
        <v>109</v>
      </c>
      <c r="H92" s="143" t="n">
        <f aca="false">(((H89*H29)+H87)/(1-H76))*H76</f>
        <v>111.967809600645</v>
      </c>
      <c r="I92" s="145"/>
      <c r="J92" s="145"/>
      <c r="K92" s="146"/>
      <c r="L92" s="135"/>
      <c r="M92" s="138" t="s">
        <v>109</v>
      </c>
      <c r="N92" s="143" t="n">
        <f aca="false">(N91/(1-N76))*N76</f>
        <v>111.632492940702</v>
      </c>
      <c r="O92" s="145"/>
      <c r="P92" s="145"/>
      <c r="Q92" s="146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77" t="s">
        <v>110</v>
      </c>
      <c r="B93" s="185" t="n">
        <f aca="false">IF(B116="YES",((B91+B92)-E120),(B91+B92))</f>
        <v>6858.49468871857</v>
      </c>
      <c r="C93" s="145"/>
      <c r="D93" s="145"/>
      <c r="E93" s="146"/>
      <c r="F93" s="135"/>
      <c r="G93" s="177" t="s">
        <v>110</v>
      </c>
      <c r="H93" s="185" t="n">
        <f aca="false">IF(H116="YES",((H91+H92)-K120),(H91+H92))</f>
        <v>17973.0078096006</v>
      </c>
      <c r="I93" s="145"/>
      <c r="J93" s="145"/>
      <c r="K93" s="146"/>
      <c r="L93" s="135"/>
      <c r="M93" s="177" t="s">
        <v>110</v>
      </c>
      <c r="N93" s="185" t="n">
        <f aca="false">IF(N116="YES",((N91+N92)-K120),(N91+N92))</f>
        <v>15289.5824929407</v>
      </c>
      <c r="O93" s="145"/>
      <c r="P93" s="145"/>
      <c r="Q93" s="146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18.75" hidden="false" customHeight="true" outlineLevel="0" collapsed="false">
      <c r="A94" s="138"/>
      <c r="B94" s="144"/>
      <c r="C94" s="145"/>
      <c r="D94" s="145"/>
      <c r="E94" s="146"/>
      <c r="F94" s="135"/>
      <c r="G94" s="138"/>
      <c r="H94" s="144"/>
      <c r="I94" s="145"/>
      <c r="J94" s="145"/>
      <c r="K94" s="146"/>
      <c r="L94" s="135"/>
      <c r="M94" s="138"/>
      <c r="N94" s="144"/>
      <c r="O94" s="145"/>
      <c r="P94" s="145"/>
      <c r="Q94" s="146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99" t="s">
        <v>65</v>
      </c>
      <c r="B95" s="200" t="n">
        <f aca="false">IF(B105=Z104,(((H44*B35)+(H44*B35)*(B111/100))/(B64)),(((H44*B35)+(H44*B35)*(B111/100))/(B63+B64)))</f>
        <v>60</v>
      </c>
      <c r="C95" s="145"/>
      <c r="D95" s="145"/>
      <c r="E95" s="146"/>
      <c r="F95" s="135"/>
      <c r="G95" s="199" t="s">
        <v>65</v>
      </c>
      <c r="H95" s="200" t="e">
        <f aca="false">(((H44*B35)+((H44*B35)*H111))/(H63+H64))*1.2</f>
        <v>#DIV/0!</v>
      </c>
      <c r="I95" s="145"/>
      <c r="J95" s="145"/>
      <c r="K95" s="146"/>
      <c r="L95" s="135"/>
      <c r="M95" s="199" t="s">
        <v>65</v>
      </c>
      <c r="N95" s="200" t="e">
        <f aca="false">((H44*B35)+((H44*B35)*N111))/(N63+N64)</f>
        <v>#DIV/0!</v>
      </c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05" t="s">
        <v>111</v>
      </c>
      <c r="B96" s="206" t="n">
        <f aca="false">IF(B105=Z104, (B93-D111)/(B64), B93/(B63+B64))</f>
        <v>571.541224059881</v>
      </c>
      <c r="C96" s="145"/>
      <c r="D96" s="145"/>
      <c r="E96" s="146"/>
      <c r="F96" s="135"/>
      <c r="G96" s="205" t="s">
        <v>111</v>
      </c>
      <c r="H96" s="206" t="e">
        <f aca="false">IF(H105=Y104, (H93-J111)/(H64), H93/(H63+H64))</f>
        <v>#DIV/0!</v>
      </c>
      <c r="I96" s="145"/>
      <c r="J96" s="145"/>
      <c r="K96" s="146"/>
      <c r="L96" s="135"/>
      <c r="M96" s="205" t="s">
        <v>111</v>
      </c>
      <c r="N96" s="206" t="e">
        <f aca="false">IF(N105=Y104, (N93-P111)/(N64), N93/(N63+N64))</f>
        <v>#DIV/0!</v>
      </c>
      <c r="O96" s="145"/>
      <c r="P96" s="145"/>
      <c r="Q96" s="146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207" t="s">
        <v>112</v>
      </c>
      <c r="B97" s="208" t="n">
        <f aca="false">IF(A111="YES", B96+B95, B96)</f>
        <v>631.541224059881</v>
      </c>
      <c r="C97" s="145"/>
      <c r="D97" s="209"/>
      <c r="E97" s="146"/>
      <c r="F97" s="135"/>
      <c r="G97" s="207" t="s">
        <v>112</v>
      </c>
      <c r="H97" s="208" t="e">
        <f aca="false">IF(G111="YES", H96+H95, H96)</f>
        <v>#DIV/0!</v>
      </c>
      <c r="I97" s="145"/>
      <c r="J97" s="145"/>
      <c r="K97" s="146"/>
      <c r="L97" s="135"/>
      <c r="M97" s="207" t="s">
        <v>112</v>
      </c>
      <c r="N97" s="208" t="e">
        <f aca="false">IF(M111="YES", N96+N95, N96)</f>
        <v>#DIV/0!</v>
      </c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/>
      <c r="Z97" s="135"/>
    </row>
    <row r="98" customFormat="false" ht="18.75" hidden="false" customHeight="true" outlineLevel="0" collapsed="false">
      <c r="A98" s="177"/>
      <c r="B98" s="178"/>
      <c r="C98" s="178"/>
      <c r="D98" s="178"/>
      <c r="E98" s="179"/>
      <c r="F98" s="135"/>
      <c r="G98" s="177"/>
      <c r="H98" s="178"/>
      <c r="I98" s="178"/>
      <c r="J98" s="178"/>
      <c r="K98" s="179"/>
      <c r="L98" s="135"/>
      <c r="M98" s="177"/>
      <c r="N98" s="178"/>
      <c r="O98" s="178"/>
      <c r="P98" s="178"/>
      <c r="Q98" s="179"/>
      <c r="R98" s="135"/>
      <c r="S98" s="135"/>
      <c r="T98" s="135"/>
      <c r="U98" s="135"/>
      <c r="V98" s="135"/>
      <c r="W98" s="135"/>
      <c r="X98" s="135"/>
      <c r="Y98" s="135"/>
      <c r="Z98" s="135"/>
    </row>
    <row r="99" customFormat="false" ht="18.75" hidden="false" customHeight="true" outlineLevel="0" collapsed="false">
      <c r="A99" s="145"/>
      <c r="B99" s="145"/>
      <c r="C99" s="145"/>
      <c r="D99" s="145"/>
      <c r="E99" s="145"/>
      <c r="F99" s="135"/>
      <c r="G99" s="145"/>
      <c r="H99" s="145"/>
      <c r="I99" s="145"/>
      <c r="J99" s="145"/>
      <c r="K99" s="145"/>
      <c r="L99" s="135"/>
      <c r="M99" s="145"/>
      <c r="N99" s="145"/>
      <c r="O99" s="145"/>
      <c r="P99" s="145"/>
      <c r="Q99" s="145"/>
      <c r="R99" s="135"/>
      <c r="S99" s="135"/>
      <c r="T99" s="135"/>
      <c r="U99" s="135"/>
      <c r="V99" s="135"/>
      <c r="W99" s="135"/>
      <c r="X99" s="135"/>
      <c r="Y99" s="135"/>
      <c r="Z99" s="135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5"/>
      <c r="G100" s="27" t="s">
        <v>114</v>
      </c>
      <c r="H100" s="27"/>
      <c r="I100" s="27"/>
      <c r="J100" s="27"/>
      <c r="K100" s="27"/>
      <c r="L100" s="135"/>
      <c r="M100" s="27" t="s">
        <v>115</v>
      </c>
      <c r="N100" s="27"/>
      <c r="O100" s="27"/>
      <c r="P100" s="27"/>
      <c r="Q100" s="27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customFormat="false" ht="18.75" hidden="false" customHeight="true" outlineLevel="0" collapsed="false">
      <c r="A101" s="138"/>
      <c r="B101" s="145"/>
      <c r="C101" s="145"/>
      <c r="D101" s="145"/>
      <c r="E101" s="146"/>
      <c r="F101" s="135"/>
      <c r="G101" s="138"/>
      <c r="H101" s="145"/>
      <c r="I101" s="145"/>
      <c r="J101" s="145"/>
      <c r="K101" s="146"/>
      <c r="L101" s="135"/>
      <c r="M101" s="138"/>
      <c r="N101" s="145"/>
      <c r="O101" s="145"/>
      <c r="P101" s="145"/>
      <c r="Q101" s="146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5"/>
      <c r="G102" s="29" t="s">
        <v>116</v>
      </c>
      <c r="H102" s="29"/>
      <c r="I102" s="29"/>
      <c r="J102" s="29"/>
      <c r="K102" s="29"/>
      <c r="L102" s="135"/>
      <c r="M102" s="29" t="s">
        <v>116</v>
      </c>
      <c r="N102" s="29"/>
      <c r="O102" s="29"/>
      <c r="P102" s="29"/>
      <c r="Q102" s="29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/>
      <c r="Z103" s="135" t="s">
        <v>117</v>
      </c>
    </row>
    <row r="104" customFormat="false" ht="18.75" hidden="false" customHeight="true" outlineLevel="0" collapsed="false">
      <c r="A104" s="138" t="s">
        <v>118</v>
      </c>
      <c r="B104" s="145" t="s">
        <v>30</v>
      </c>
      <c r="C104" s="145"/>
      <c r="D104" s="145" t="s">
        <v>119</v>
      </c>
      <c r="E104" s="146"/>
      <c r="F104" s="135"/>
      <c r="G104" s="138" t="s">
        <v>118</v>
      </c>
      <c r="H104" s="145" t="s">
        <v>30</v>
      </c>
      <c r="I104" s="145"/>
      <c r="J104" s="145" t="s">
        <v>119</v>
      </c>
      <c r="K104" s="146"/>
      <c r="L104" s="135"/>
      <c r="M104" s="138" t="s">
        <v>118</v>
      </c>
      <c r="N104" s="145" t="s">
        <v>30</v>
      </c>
      <c r="O104" s="145"/>
      <c r="P104" s="145" t="s">
        <v>119</v>
      </c>
      <c r="Q104" s="146"/>
      <c r="R104" s="135"/>
      <c r="S104" s="135"/>
      <c r="T104" s="135"/>
      <c r="U104" s="135"/>
      <c r="V104" s="135"/>
      <c r="W104" s="135"/>
      <c r="X104" s="135"/>
      <c r="Y104" s="135"/>
      <c r="Z104" s="135" t="s">
        <v>120</v>
      </c>
    </row>
    <row r="105" customFormat="false" ht="18.75" hidden="false" customHeight="true" outlineLevel="0" collapsed="false">
      <c r="A105" s="154"/>
      <c r="B105" s="109" t="s">
        <v>190</v>
      </c>
      <c r="C105" s="109"/>
      <c r="D105" s="110" t="n">
        <v>1000</v>
      </c>
      <c r="E105" s="110"/>
      <c r="F105" s="135"/>
      <c r="G105" s="154" t="s">
        <v>121</v>
      </c>
      <c r="H105" s="109" t="s">
        <v>122</v>
      </c>
      <c r="I105" s="109"/>
      <c r="J105" s="110" t="n">
        <v>5000</v>
      </c>
      <c r="K105" s="110"/>
      <c r="L105" s="135"/>
      <c r="M105" s="154" t="s">
        <v>121</v>
      </c>
      <c r="N105" s="109" t="s">
        <v>123</v>
      </c>
      <c r="O105" s="109"/>
      <c r="P105" s="110" t="n">
        <v>0</v>
      </c>
      <c r="Q105" s="110"/>
      <c r="R105" s="135"/>
      <c r="S105" s="135"/>
      <c r="T105" s="135"/>
      <c r="U105" s="135"/>
      <c r="V105" s="135"/>
      <c r="W105" s="135"/>
      <c r="X105" s="135"/>
      <c r="Y105" s="135"/>
      <c r="Z105" s="135" t="s">
        <v>124</v>
      </c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 t="s">
        <v>125</v>
      </c>
    </row>
    <row r="107" customFormat="false" ht="18.75" hidden="false" customHeight="true" outlineLevel="0" collapsed="false">
      <c r="A107" s="138" t="s">
        <v>126</v>
      </c>
      <c r="B107" s="145" t="s">
        <v>127</v>
      </c>
      <c r="C107" s="145"/>
      <c r="D107" s="145" t="s">
        <v>128</v>
      </c>
      <c r="E107" s="146"/>
      <c r="F107" s="135"/>
      <c r="G107" s="138" t="s">
        <v>126</v>
      </c>
      <c r="H107" s="145" t="s">
        <v>127</v>
      </c>
      <c r="I107" s="145"/>
      <c r="J107" s="145" t="s">
        <v>128</v>
      </c>
      <c r="K107" s="146"/>
      <c r="L107" s="135"/>
      <c r="M107" s="138" t="s">
        <v>126</v>
      </c>
      <c r="N107" s="145" t="s">
        <v>127</v>
      </c>
      <c r="O107" s="145"/>
      <c r="P107" s="145" t="s">
        <v>128</v>
      </c>
      <c r="Q107" s="146"/>
      <c r="R107" s="135"/>
      <c r="S107" s="135"/>
      <c r="T107" s="135"/>
      <c r="U107" s="135"/>
      <c r="V107" s="135"/>
      <c r="W107" s="135"/>
      <c r="X107" s="135"/>
      <c r="Y107" s="135"/>
      <c r="Z107" s="135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5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5"/>
      <c r="M108" s="111" t="n">
        <v>199.99</v>
      </c>
      <c r="N108" s="112" t="n">
        <v>1200</v>
      </c>
      <c r="O108" s="112"/>
      <c r="P108" s="112" t="n">
        <v>1500</v>
      </c>
      <c r="Q108" s="112"/>
      <c r="R108" s="135"/>
      <c r="S108" s="135"/>
      <c r="T108" s="135"/>
      <c r="U108" s="135"/>
      <c r="V108" s="135"/>
      <c r="W108" s="135"/>
      <c r="X108" s="135"/>
      <c r="Y108" s="135"/>
      <c r="Z108" s="135" t="s">
        <v>123</v>
      </c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 t="s">
        <v>122</v>
      </c>
    </row>
    <row r="110" customFormat="false" ht="18.75" hidden="false" customHeight="true" outlineLevel="0" collapsed="false">
      <c r="A110" s="154" t="s">
        <v>130</v>
      </c>
      <c r="B110" s="135" t="s">
        <v>131</v>
      </c>
      <c r="C110" s="145"/>
      <c r="D110" s="145" t="s">
        <v>132</v>
      </c>
      <c r="E110" s="146"/>
      <c r="F110" s="135"/>
      <c r="G110" s="154" t="s">
        <v>130</v>
      </c>
      <c r="H110" s="135" t="s">
        <v>131</v>
      </c>
      <c r="I110" s="145"/>
      <c r="J110" s="145" t="s">
        <v>132</v>
      </c>
      <c r="K110" s="146"/>
      <c r="L110" s="135"/>
      <c r="M110" s="154" t="s">
        <v>130</v>
      </c>
      <c r="N110" s="135" t="s">
        <v>131</v>
      </c>
      <c r="O110" s="145"/>
      <c r="P110" s="145" t="s">
        <v>132</v>
      </c>
      <c r="Q110" s="146"/>
      <c r="R110" s="135"/>
      <c r="S110" s="135"/>
      <c r="T110" s="135"/>
      <c r="U110" s="135"/>
      <c r="V110" s="135"/>
      <c r="W110" s="135"/>
      <c r="X110" s="135"/>
      <c r="Y110" s="135"/>
      <c r="Z110" s="135" t="s">
        <v>133</v>
      </c>
    </row>
    <row r="111" customFormat="false" ht="18.75" hidden="false" customHeight="true" outlineLevel="0" collapsed="false">
      <c r="A111" s="156" t="s">
        <v>25</v>
      </c>
      <c r="B111" s="109" t="n">
        <v>20</v>
      </c>
      <c r="C111" s="109"/>
      <c r="D111" s="112" t="s">
        <v>191</v>
      </c>
      <c r="E111" s="112"/>
      <c r="F111" s="135"/>
      <c r="G111" s="156" t="s">
        <v>25</v>
      </c>
      <c r="H111" s="113" t="n">
        <v>0.2</v>
      </c>
      <c r="I111" s="113"/>
      <c r="J111" s="112" t="n">
        <v>5000</v>
      </c>
      <c r="K111" s="112"/>
      <c r="L111" s="135"/>
      <c r="M111" s="156" t="s">
        <v>25</v>
      </c>
      <c r="N111" s="113" t="n">
        <v>0.2</v>
      </c>
      <c r="O111" s="113"/>
      <c r="P111" s="112" t="n">
        <v>5000</v>
      </c>
      <c r="Q111" s="112"/>
      <c r="R111" s="135"/>
      <c r="S111" s="135"/>
      <c r="T111" s="135"/>
      <c r="U111" s="135"/>
      <c r="V111" s="135"/>
      <c r="W111" s="135"/>
      <c r="X111" s="135"/>
      <c r="Y111" s="135"/>
      <c r="Z111" s="135" t="s">
        <v>134</v>
      </c>
    </row>
    <row r="112" customFormat="false" ht="18.75" hidden="false" customHeight="true" outlineLevel="0" collapsed="false">
      <c r="A112" s="138"/>
      <c r="B112" s="145"/>
      <c r="C112" s="145"/>
      <c r="D112" s="145" t="s">
        <v>75</v>
      </c>
      <c r="E112" s="146"/>
      <c r="F112" s="135"/>
      <c r="G112" s="138"/>
      <c r="H112" s="145"/>
      <c r="I112" s="145"/>
      <c r="J112" s="145"/>
      <c r="K112" s="146"/>
      <c r="L112" s="135"/>
      <c r="M112" s="138"/>
      <c r="N112" s="145"/>
      <c r="O112" s="145"/>
      <c r="P112" s="145"/>
      <c r="Q112" s="146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/>
      <c r="B113" s="145"/>
      <c r="C113" s="145"/>
      <c r="D113" s="145"/>
      <c r="E113" s="146"/>
      <c r="F113" s="135"/>
      <c r="G113" s="138"/>
      <c r="H113" s="145"/>
      <c r="I113" s="145"/>
      <c r="J113" s="145"/>
      <c r="K113" s="146"/>
      <c r="L113" s="135"/>
      <c r="M113" s="138"/>
      <c r="N113" s="145" t="s">
        <v>135</v>
      </c>
      <c r="O113" s="156" t="s">
        <v>25</v>
      </c>
      <c r="P113" s="145"/>
      <c r="Q113" s="146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29" t="s">
        <v>136</v>
      </c>
      <c r="B114" s="29"/>
      <c r="C114" s="29"/>
      <c r="D114" s="29"/>
      <c r="E114" s="29"/>
      <c r="F114" s="135"/>
      <c r="G114" s="29" t="s">
        <v>136</v>
      </c>
      <c r="H114" s="29"/>
      <c r="I114" s="29"/>
      <c r="J114" s="29"/>
      <c r="K114" s="29"/>
      <c r="L114" s="135"/>
      <c r="M114" s="29" t="s">
        <v>136</v>
      </c>
      <c r="N114" s="29"/>
      <c r="O114" s="29"/>
      <c r="P114" s="29"/>
      <c r="Q114" s="29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/>
      <c r="B115" s="145"/>
      <c r="C115" s="145"/>
      <c r="D115" s="145"/>
      <c r="E115" s="146"/>
      <c r="F115" s="135"/>
      <c r="G115" s="138"/>
      <c r="H115" s="145"/>
      <c r="I115" s="145"/>
      <c r="J115" s="145"/>
      <c r="K115" s="146"/>
      <c r="L115" s="135"/>
      <c r="M115" s="138"/>
      <c r="N115" s="145"/>
      <c r="O115" s="145"/>
      <c r="P115" s="145"/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 t="s">
        <v>137</v>
      </c>
      <c r="B116" s="156" t="s">
        <v>25</v>
      </c>
      <c r="C116" s="145"/>
      <c r="D116" s="145"/>
      <c r="E116" s="146"/>
      <c r="F116" s="135"/>
      <c r="G116" s="138" t="s">
        <v>137</v>
      </c>
      <c r="H116" s="156" t="s">
        <v>25</v>
      </c>
      <c r="I116" s="145"/>
      <c r="J116" s="145"/>
      <c r="K116" s="146"/>
      <c r="L116" s="135"/>
      <c r="M116" s="138" t="s">
        <v>137</v>
      </c>
      <c r="N116" s="156" t="s">
        <v>25</v>
      </c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38"/>
      <c r="B117" s="145"/>
      <c r="C117" s="145"/>
      <c r="D117" s="145"/>
      <c r="E117" s="146"/>
      <c r="F117" s="135"/>
      <c r="G117" s="138"/>
      <c r="H117" s="145"/>
      <c r="I117" s="145"/>
      <c r="J117" s="145"/>
      <c r="K117" s="146"/>
      <c r="L117" s="135"/>
      <c r="M117" s="138"/>
      <c r="N117" s="145"/>
      <c r="O117" s="145"/>
      <c r="P117" s="145"/>
      <c r="Q117" s="146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138</v>
      </c>
      <c r="B118" s="145"/>
      <c r="C118" s="145"/>
      <c r="D118" s="111" t="n">
        <v>10000</v>
      </c>
      <c r="E118" s="112" t="n">
        <v>6000</v>
      </c>
      <c r="F118" s="135"/>
      <c r="G118" s="138" t="s">
        <v>138</v>
      </c>
      <c r="H118" s="145"/>
      <c r="I118" s="145"/>
      <c r="J118" s="111" t="n">
        <v>10000</v>
      </c>
      <c r="K118" s="112" t="n">
        <v>5000</v>
      </c>
      <c r="L118" s="135"/>
      <c r="M118" s="138" t="s">
        <v>138</v>
      </c>
      <c r="N118" s="145"/>
      <c r="O118" s="145"/>
      <c r="P118" s="111" t="n">
        <v>10000</v>
      </c>
      <c r="Q118" s="112" t="n">
        <v>5000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138" t="s">
        <v>139</v>
      </c>
      <c r="B119" s="145"/>
      <c r="C119" s="145"/>
      <c r="D119" s="210" t="n">
        <f aca="false">E119</f>
        <v>2000</v>
      </c>
      <c r="E119" s="112" t="n">
        <v>2000</v>
      </c>
      <c r="F119" s="135"/>
      <c r="G119" s="138" t="s">
        <v>139</v>
      </c>
      <c r="H119" s="145"/>
      <c r="I119" s="145"/>
      <c r="J119" s="210" t="n">
        <f aca="false">K119</f>
        <v>7000</v>
      </c>
      <c r="K119" s="112" t="n">
        <v>7000</v>
      </c>
      <c r="L119" s="135"/>
      <c r="M119" s="138" t="s">
        <v>139</v>
      </c>
      <c r="N119" s="145"/>
      <c r="O119" s="145"/>
      <c r="P119" s="210" t="n">
        <f aca="false">Q119</f>
        <v>7000</v>
      </c>
      <c r="Q119" s="112" t="n">
        <v>7000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 t="s">
        <v>140</v>
      </c>
      <c r="B120" s="145"/>
      <c r="C120" s="145"/>
      <c r="D120" s="210" t="n">
        <f aca="false">D118-D119</f>
        <v>8000</v>
      </c>
      <c r="E120" s="115" t="n">
        <f aca="false">E118-E119</f>
        <v>4000</v>
      </c>
      <c r="F120" s="135"/>
      <c r="G120" s="138" t="s">
        <v>140</v>
      </c>
      <c r="H120" s="145"/>
      <c r="I120" s="145"/>
      <c r="J120" s="210" t="n">
        <f aca="false">J118-J119</f>
        <v>3000</v>
      </c>
      <c r="K120" s="115" t="n">
        <f aca="false">K118-K119</f>
        <v>-2000</v>
      </c>
      <c r="L120" s="135"/>
      <c r="M120" s="138" t="s">
        <v>140</v>
      </c>
      <c r="N120" s="145"/>
      <c r="O120" s="145"/>
      <c r="P120" s="210" t="n">
        <f aca="false">P118-P119</f>
        <v>3000</v>
      </c>
      <c r="Q120" s="115" t="n">
        <f aca="false">Q118-Q119</f>
        <v>-2000</v>
      </c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 t="s">
        <v>141</v>
      </c>
      <c r="B121" s="145"/>
      <c r="C121" s="145"/>
      <c r="D121" s="210" t="n">
        <f aca="false">D120-E120</f>
        <v>4000</v>
      </c>
      <c r="E121" s="146"/>
      <c r="F121" s="135"/>
      <c r="G121" s="138" t="s">
        <v>141</v>
      </c>
      <c r="H121" s="145"/>
      <c r="I121" s="145"/>
      <c r="J121" s="210" t="n">
        <f aca="false">J120-K120</f>
        <v>5000</v>
      </c>
      <c r="K121" s="146"/>
      <c r="L121" s="135"/>
      <c r="M121" s="138" t="s">
        <v>141</v>
      </c>
      <c r="N121" s="145"/>
      <c r="O121" s="145"/>
      <c r="P121" s="210" t="n">
        <f aca="false">P120-Q120</f>
        <v>5000</v>
      </c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138"/>
      <c r="B122" s="145"/>
      <c r="C122" s="145"/>
      <c r="D122" s="145"/>
      <c r="E122" s="146"/>
      <c r="F122" s="135"/>
      <c r="G122" s="138"/>
      <c r="H122" s="145"/>
      <c r="I122" s="145"/>
      <c r="J122" s="145"/>
      <c r="K122" s="146"/>
      <c r="L122" s="135"/>
      <c r="M122" s="138"/>
      <c r="N122" s="145"/>
      <c r="O122" s="145"/>
      <c r="P122" s="145"/>
      <c r="Q122" s="146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80" t="s">
        <v>142</v>
      </c>
      <c r="B123" s="181"/>
      <c r="C123" s="181"/>
      <c r="D123" s="181"/>
      <c r="E123" s="203" t="n">
        <f aca="false">D105</f>
        <v>1000</v>
      </c>
      <c r="F123" s="135"/>
      <c r="G123" s="180" t="s">
        <v>142</v>
      </c>
      <c r="H123" s="181"/>
      <c r="I123" s="181"/>
      <c r="J123" s="181"/>
      <c r="K123" s="203" t="n">
        <f aca="false">J105</f>
        <v>5000</v>
      </c>
      <c r="L123" s="135"/>
      <c r="M123" s="180" t="s">
        <v>142</v>
      </c>
      <c r="N123" s="181"/>
      <c r="O123" s="181"/>
      <c r="P123" s="181"/>
      <c r="Q123" s="203" t="n">
        <f aca="false">P105</f>
        <v>0</v>
      </c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52</v>
      </c>
      <c r="B124" s="145"/>
      <c r="C124" s="145"/>
      <c r="D124" s="145"/>
      <c r="E124" s="143" t="n">
        <f aca="false">A108</f>
        <v>199.99</v>
      </c>
      <c r="F124" s="135"/>
      <c r="G124" s="138" t="s">
        <v>52</v>
      </c>
      <c r="H124" s="145"/>
      <c r="I124" s="145"/>
      <c r="J124" s="145"/>
      <c r="K124" s="143" t="n">
        <f aca="false">G108</f>
        <v>239.988</v>
      </c>
      <c r="L124" s="135"/>
      <c r="M124" s="138" t="s">
        <v>52</v>
      </c>
      <c r="N124" s="145"/>
      <c r="O124" s="145"/>
      <c r="P124" s="145"/>
      <c r="Q124" s="143" t="n">
        <f aca="false">M108</f>
        <v>199.99</v>
      </c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211" t="s">
        <v>143</v>
      </c>
      <c r="B125" s="178"/>
      <c r="C125" s="178"/>
      <c r="D125" s="178"/>
      <c r="E125" s="185" t="n">
        <f aca="false">(E124+E123)-E120</f>
        <v>-2800.01</v>
      </c>
      <c r="F125" s="135"/>
      <c r="G125" s="211" t="s">
        <v>143</v>
      </c>
      <c r="H125" s="178"/>
      <c r="I125" s="178"/>
      <c r="J125" s="178"/>
      <c r="K125" s="185" t="n">
        <f aca="false">(K124+K123)-K120</f>
        <v>7239.988</v>
      </c>
      <c r="L125" s="135"/>
      <c r="M125" s="211" t="s">
        <v>143</v>
      </c>
      <c r="N125" s="178"/>
      <c r="O125" s="178"/>
      <c r="P125" s="178"/>
      <c r="Q125" s="185" t="n">
        <f aca="false">(Q124+Q123)-Q120</f>
        <v>2199.99</v>
      </c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138"/>
      <c r="B126" s="145"/>
      <c r="C126" s="145"/>
      <c r="D126" s="145"/>
      <c r="E126" s="146"/>
      <c r="F126" s="135"/>
      <c r="G126" s="138"/>
      <c r="H126" s="145"/>
      <c r="I126" s="145"/>
      <c r="J126" s="145"/>
      <c r="K126" s="146"/>
      <c r="L126" s="135"/>
      <c r="M126" s="138"/>
      <c r="N126" s="145"/>
      <c r="O126" s="145"/>
      <c r="P126" s="145"/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38"/>
      <c r="B127" s="145"/>
      <c r="C127" s="145"/>
      <c r="D127" s="145"/>
      <c r="E127" s="146"/>
      <c r="F127" s="135"/>
      <c r="G127" s="138"/>
      <c r="H127" s="145"/>
      <c r="I127" s="145"/>
      <c r="J127" s="145"/>
      <c r="K127" s="146"/>
      <c r="L127" s="135"/>
      <c r="M127" s="138"/>
      <c r="N127" s="145"/>
      <c r="O127" s="145"/>
      <c r="P127" s="145"/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29" t="s">
        <v>144</v>
      </c>
      <c r="B128" s="29"/>
      <c r="C128" s="29"/>
      <c r="D128" s="29"/>
      <c r="E128" s="29"/>
      <c r="F128" s="135"/>
      <c r="G128" s="29" t="s">
        <v>144</v>
      </c>
      <c r="H128" s="29"/>
      <c r="I128" s="29"/>
      <c r="J128" s="29"/>
      <c r="K128" s="29"/>
      <c r="L128" s="135"/>
      <c r="M128" s="29" t="s">
        <v>144</v>
      </c>
      <c r="N128" s="29"/>
      <c r="O128" s="29"/>
      <c r="P128" s="29"/>
      <c r="Q128" s="29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/>
      <c r="B129" s="145"/>
      <c r="C129" s="145"/>
      <c r="D129" s="145"/>
      <c r="E129" s="146"/>
      <c r="F129" s="135"/>
      <c r="G129" s="138"/>
      <c r="H129" s="145"/>
      <c r="I129" s="145"/>
      <c r="J129" s="145"/>
      <c r="K129" s="146"/>
      <c r="L129" s="135"/>
      <c r="M129" s="138"/>
      <c r="N129" s="145"/>
      <c r="O129" s="145"/>
      <c r="P129" s="145"/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138" t="s">
        <v>145</v>
      </c>
      <c r="B130" s="117" t="n">
        <v>0</v>
      </c>
      <c r="C130" s="117"/>
      <c r="D130" s="145"/>
      <c r="E130" s="146"/>
      <c r="F130" s="135"/>
      <c r="G130" s="138" t="s">
        <v>145</v>
      </c>
      <c r="H130" s="117" t="n">
        <v>0</v>
      </c>
      <c r="I130" s="117"/>
      <c r="J130" s="145"/>
      <c r="K130" s="146"/>
      <c r="L130" s="135"/>
      <c r="M130" s="138" t="s">
        <v>145</v>
      </c>
      <c r="N130" s="117" t="n">
        <v>0</v>
      </c>
      <c r="O130" s="117"/>
      <c r="P130" s="145"/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81</v>
      </c>
      <c r="B132" s="145" t="s">
        <v>82</v>
      </c>
      <c r="C132" s="145"/>
      <c r="D132" s="145" t="s">
        <v>84</v>
      </c>
      <c r="E132" s="146"/>
      <c r="F132" s="135"/>
      <c r="G132" s="138" t="s">
        <v>81</v>
      </c>
      <c r="H132" s="145" t="s">
        <v>82</v>
      </c>
      <c r="I132" s="145"/>
      <c r="J132" s="145" t="s">
        <v>84</v>
      </c>
      <c r="K132" s="146"/>
      <c r="L132" s="135"/>
      <c r="M132" s="138" t="s">
        <v>81</v>
      </c>
      <c r="N132" s="145" t="s">
        <v>82</v>
      </c>
      <c r="O132" s="145"/>
      <c r="P132" s="145" t="s">
        <v>84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6"/>
      <c r="F133" s="135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6"/>
      <c r="L133" s="135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212" t="s">
        <v>146</v>
      </c>
      <c r="B135" s="213" t="s">
        <v>147</v>
      </c>
      <c r="C135" s="213"/>
      <c r="D135" s="213" t="s">
        <v>112</v>
      </c>
      <c r="E135" s="146"/>
      <c r="F135" s="135"/>
      <c r="G135" s="212" t="s">
        <v>148</v>
      </c>
      <c r="H135" s="213" t="s">
        <v>149</v>
      </c>
      <c r="I135" s="213"/>
      <c r="J135" s="213" t="s">
        <v>150</v>
      </c>
      <c r="K135" s="146"/>
      <c r="L135" s="135"/>
      <c r="M135" s="212" t="s">
        <v>146</v>
      </c>
      <c r="N135" s="213" t="s">
        <v>147</v>
      </c>
      <c r="O135" s="213"/>
      <c r="P135" s="213" t="s">
        <v>112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2" t="n">
        <f aca="false">B96</f>
        <v>571.541224059881</v>
      </c>
      <c r="B136" s="214" t="n">
        <f aca="false">IF(A111="YES", B95*B63, 0)</f>
        <v>540</v>
      </c>
      <c r="C136" s="214"/>
      <c r="D136" s="214" t="n">
        <f aca="false">B97</f>
        <v>631.541224059881</v>
      </c>
      <c r="E136" s="146"/>
      <c r="F136" s="135"/>
      <c r="G136" s="122" t="e">
        <f aca="false">H96</f>
        <v>#DIV/0!</v>
      </c>
      <c r="H136" s="214" t="e">
        <f aca="false">IF(G111="YES", H95*H63, 0)</f>
        <v>#DIV/0!</v>
      </c>
      <c r="I136" s="214"/>
      <c r="J136" s="124" t="e">
        <f aca="false">H97</f>
        <v>#DIV/0!</v>
      </c>
      <c r="K136" s="146"/>
      <c r="L136" s="135"/>
      <c r="M136" s="122" t="e">
        <f aca="false">N96</f>
        <v>#DIV/0!</v>
      </c>
      <c r="N136" s="214" t="e">
        <f aca="false">IF(M111="YES", N95*N63, 0)</f>
        <v>#DIV/0!</v>
      </c>
      <c r="O136" s="214"/>
      <c r="P136" s="214" t="e">
        <f aca="false">N97</f>
        <v>#DIV/0!</v>
      </c>
      <c r="Q136" s="146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151</v>
      </c>
      <c r="B138" s="145" t="s">
        <v>152</v>
      </c>
      <c r="C138" s="145"/>
      <c r="D138" s="145" t="s">
        <v>153</v>
      </c>
      <c r="E138" s="146"/>
      <c r="F138" s="135"/>
      <c r="G138" s="138" t="s">
        <v>154</v>
      </c>
      <c r="H138" s="145" t="s">
        <v>155</v>
      </c>
      <c r="I138" s="145"/>
      <c r="J138" s="145" t="s">
        <v>156</v>
      </c>
      <c r="K138" s="146"/>
      <c r="L138" s="135"/>
      <c r="M138" s="138" t="s">
        <v>151</v>
      </c>
      <c r="N138" s="145" t="s">
        <v>152</v>
      </c>
      <c r="O138" s="145"/>
      <c r="P138" s="145" t="s">
        <v>153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5" t="n">
        <f aca="false">B96*B63</f>
        <v>5143.87101653893</v>
      </c>
      <c r="B139" s="215" t="n">
        <f aca="false">IF(A111="YES", B95*B63, 0)</f>
        <v>540</v>
      </c>
      <c r="C139" s="155"/>
      <c r="D139" s="128" t="n">
        <f aca="false">B97*B63</f>
        <v>5683.87101653893</v>
      </c>
      <c r="E139" s="146"/>
      <c r="F139" s="135"/>
      <c r="G139" s="125" t="e">
        <f aca="false">H96*H63</f>
        <v>#DIV/0!</v>
      </c>
      <c r="H139" s="215" t="e">
        <f aca="false">IF(G111="YES", H95*H63, 0)</f>
        <v>#DIV/0!</v>
      </c>
      <c r="I139" s="155"/>
      <c r="J139" s="215" t="e">
        <f aca="false">H97*H63</f>
        <v>#DIV/0!</v>
      </c>
      <c r="K139" s="146"/>
      <c r="L139" s="135"/>
      <c r="M139" s="125" t="e">
        <f aca="false">N96*N63</f>
        <v>#DIV/0!</v>
      </c>
      <c r="N139" s="215" t="e">
        <f aca="false">IF(M111="YES", N95*N63, 0)</f>
        <v>#DIV/0!</v>
      </c>
      <c r="O139" s="155"/>
      <c r="P139" s="128" t="e">
        <f aca="false">N97*N63</f>
        <v>#DIV/0!</v>
      </c>
      <c r="Q139" s="146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157</v>
      </c>
      <c r="B141" s="145" t="s">
        <v>158</v>
      </c>
      <c r="C141" s="145"/>
      <c r="D141" s="145" t="s">
        <v>159</v>
      </c>
      <c r="E141" s="146"/>
      <c r="F141" s="135"/>
      <c r="G141" s="138" t="s">
        <v>160</v>
      </c>
      <c r="H141" s="145" t="s">
        <v>161</v>
      </c>
      <c r="I141" s="145"/>
      <c r="J141" s="145" t="s">
        <v>162</v>
      </c>
      <c r="K141" s="146"/>
      <c r="L141" s="135"/>
      <c r="M141" s="138" t="s">
        <v>157</v>
      </c>
      <c r="N141" s="145" t="s">
        <v>158</v>
      </c>
      <c r="O141" s="145"/>
      <c r="P141" s="145" t="s">
        <v>159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E15*0.000006</f>
        <v>0.35115</v>
      </c>
      <c r="B142" s="215" t="n">
        <f aca="false">IF(A111="YES", E15*0.000002, 0)</f>
        <v>0.11705</v>
      </c>
      <c r="C142" s="215"/>
      <c r="D142" s="215" t="n">
        <f aca="false">A142+B142</f>
        <v>0.4682</v>
      </c>
      <c r="E142" s="130"/>
      <c r="F142" s="135"/>
      <c r="G142" s="129" t="n">
        <f aca="false">E15*0.000006</f>
        <v>0.35115</v>
      </c>
      <c r="H142" s="215" t="n">
        <f aca="false">IF(G111="YES", E15*0.000002, 0)</f>
        <v>0.11705</v>
      </c>
      <c r="I142" s="215"/>
      <c r="J142" s="215" t="n">
        <f aca="false">G142+H142</f>
        <v>0.4682</v>
      </c>
      <c r="K142" s="130"/>
      <c r="L142" s="135"/>
      <c r="M142" s="129" t="n">
        <f aca="false">E15*0.000006</f>
        <v>0.35115</v>
      </c>
      <c r="N142" s="215" t="n">
        <f aca="false">IF(M111="YES", E15*0.000002, 0)</f>
        <v>0.11705</v>
      </c>
      <c r="O142" s="215"/>
      <c r="P142" s="215" t="n">
        <f aca="false">M142+N142</f>
        <v>0.4682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163</v>
      </c>
      <c r="B144" s="145" t="s">
        <v>164</v>
      </c>
      <c r="C144" s="145"/>
      <c r="D144" s="145" t="s">
        <v>165</v>
      </c>
      <c r="E144" s="146"/>
      <c r="F144" s="135"/>
      <c r="G144" s="138" t="s">
        <v>166</v>
      </c>
      <c r="H144" s="145" t="s">
        <v>164</v>
      </c>
      <c r="I144" s="145"/>
      <c r="J144" s="145" t="s">
        <v>165</v>
      </c>
      <c r="K144" s="146"/>
      <c r="L144" s="135"/>
      <c r="M144" s="138" t="s">
        <v>163</v>
      </c>
      <c r="N144" s="145" t="s">
        <v>164</v>
      </c>
      <c r="O144" s="145"/>
      <c r="P144" s="145" t="s">
        <v>165</v>
      </c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f aca="false">A108</f>
        <v>199.99</v>
      </c>
      <c r="B145" s="215" t="n">
        <f aca="false">B73/1.2</f>
        <v>482.375</v>
      </c>
      <c r="C145" s="215"/>
      <c r="D145" s="215" t="n">
        <f aca="false">B108*0.9</f>
        <v>0</v>
      </c>
      <c r="E145" s="130"/>
      <c r="F145" s="135"/>
      <c r="G145" s="129" t="n">
        <f aca="false">G108</f>
        <v>239.988</v>
      </c>
      <c r="H145" s="215" t="n">
        <f aca="false">H73/1.2</f>
        <v>241.1875</v>
      </c>
      <c r="I145" s="215"/>
      <c r="J145" s="215" t="n">
        <f aca="false">H108*0.9</f>
        <v>1080</v>
      </c>
      <c r="K145" s="130"/>
      <c r="L145" s="135"/>
      <c r="M145" s="129" t="n">
        <f aca="false">M108</f>
        <v>199.99</v>
      </c>
      <c r="N145" s="215" t="n">
        <f aca="false">N73/1.2</f>
        <v>241.1875</v>
      </c>
      <c r="O145" s="215"/>
      <c r="P145" s="215" t="n">
        <f aca="false">N108*0.9</f>
        <v>1080</v>
      </c>
      <c r="Q145" s="130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38"/>
      <c r="N146" s="14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 t="s">
        <v>167</v>
      </c>
      <c r="B147" s="145" t="s">
        <v>168</v>
      </c>
      <c r="C147" s="145"/>
      <c r="D147" s="145" t="s">
        <v>169</v>
      </c>
      <c r="E147" s="146"/>
      <c r="F147" s="135"/>
      <c r="G147" s="138" t="s">
        <v>167</v>
      </c>
      <c r="H147" s="145" t="s">
        <v>168</v>
      </c>
      <c r="I147" s="145"/>
      <c r="J147" s="145" t="s">
        <v>169</v>
      </c>
      <c r="K147" s="146"/>
      <c r="L147" s="135"/>
      <c r="M147" s="138" t="s">
        <v>167</v>
      </c>
      <c r="N147" s="145" t="s">
        <v>168</v>
      </c>
      <c r="O147" s="145"/>
      <c r="P147" s="145" t="s">
        <v>169</v>
      </c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5" t="n">
        <f aca="false">A108-100</f>
        <v>99.99</v>
      </c>
      <c r="C148" s="215"/>
      <c r="D148" s="215" t="n">
        <f aca="false">(B145+D145+A148+B148)-B151</f>
        <v>1782.365</v>
      </c>
      <c r="E148" s="130"/>
      <c r="F148" s="135"/>
      <c r="G148" s="129" t="n">
        <f aca="false">IF(G111="YES", ((A41*H111)*0.1)*(G133), 0)</f>
        <v>12</v>
      </c>
      <c r="H148" s="215" t="n">
        <f aca="false">G108-100</f>
        <v>139.988</v>
      </c>
      <c r="I148" s="215"/>
      <c r="J148" s="215" t="n">
        <f aca="false">(H145+J145+G148+H148)-H151</f>
        <v>1473.1755</v>
      </c>
      <c r="K148" s="130"/>
      <c r="L148" s="135"/>
      <c r="M148" s="129" t="n">
        <f aca="false">IF(M111="YES", ((A41*N111)*0.1)*(M133), 0)</f>
        <v>12</v>
      </c>
      <c r="N148" s="215" t="n">
        <f aca="false">M108-100</f>
        <v>99.99</v>
      </c>
      <c r="O148" s="215"/>
      <c r="P148" s="215" t="n">
        <f aca="false">(N145+P145+M148+N148)-N151</f>
        <v>1433.1775</v>
      </c>
      <c r="Q148" s="130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45"/>
      <c r="C149" s="145"/>
      <c r="D149" s="145"/>
      <c r="E149" s="146"/>
      <c r="F149" s="135"/>
      <c r="G149" s="138"/>
      <c r="H149" s="145"/>
      <c r="I149" s="14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138" t="s">
        <v>170</v>
      </c>
      <c r="B150" s="145" t="s">
        <v>171</v>
      </c>
      <c r="C150" s="145"/>
      <c r="D150" s="145"/>
      <c r="E150" s="146"/>
      <c r="F150" s="135"/>
      <c r="G150" s="138" t="s">
        <v>170</v>
      </c>
      <c r="H150" s="145" t="s">
        <v>171</v>
      </c>
      <c r="I150" s="145"/>
      <c r="J150" s="145"/>
      <c r="K150" s="146"/>
      <c r="L150" s="135"/>
      <c r="M150" s="138" t="s">
        <v>170</v>
      </c>
      <c r="N150" s="145" t="s">
        <v>171</v>
      </c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129" t="n">
        <v>0</v>
      </c>
      <c r="B151" s="215" t="n">
        <f aca="false">(B145+D145+A148+B148)*(A151/B70)</f>
        <v>0</v>
      </c>
      <c r="C151" s="145"/>
      <c r="D151" s="145"/>
      <c r="E151" s="146"/>
      <c r="F151" s="135"/>
      <c r="G151" s="129" t="n">
        <f aca="false">IF((1200-H108) &lt;= 0, 0, (1200-H108))</f>
        <v>0</v>
      </c>
      <c r="H151" s="215" t="n">
        <f aca="false">(H145+J145+G148+H148)*(G151/H70)</f>
        <v>0</v>
      </c>
      <c r="I151" s="145"/>
      <c r="J151" s="145"/>
      <c r="K151" s="146"/>
      <c r="L151" s="135"/>
      <c r="M151" s="129" t="n">
        <f aca="false">IF((1200-N108) &lt;= 0, 0, (1200-N108))</f>
        <v>0</v>
      </c>
      <c r="N151" s="215" t="n">
        <f aca="false">(N145+P145+M148+N148)*(M151/N70)</f>
        <v>0</v>
      </c>
      <c r="O151" s="145"/>
      <c r="P151" s="145"/>
      <c r="Q151" s="146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138"/>
      <c r="B152" s="145"/>
      <c r="C152" s="145"/>
      <c r="D152" s="145"/>
      <c r="E152" s="146"/>
      <c r="F152" s="135"/>
      <c r="G152" s="138"/>
      <c r="H152" s="145"/>
      <c r="I152" s="145"/>
      <c r="J152" s="145"/>
      <c r="K152" s="146"/>
      <c r="L152" s="135"/>
      <c r="M152" s="129"/>
      <c r="N152" s="215"/>
      <c r="O152" s="14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131" t="s">
        <v>172</v>
      </c>
      <c r="N153" s="210" t="s">
        <v>173</v>
      </c>
      <c r="O153" s="145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172" t="s">
        <v>174</v>
      </c>
      <c r="B154" s="145"/>
      <c r="C154" s="145"/>
      <c r="D154" s="173"/>
      <c r="E154" s="174"/>
      <c r="F154" s="135"/>
      <c r="G154" s="172" t="s">
        <v>174</v>
      </c>
      <c r="H154" s="145"/>
      <c r="I154" s="145"/>
      <c r="J154" s="173"/>
      <c r="K154" s="174"/>
      <c r="L154" s="135"/>
      <c r="M154" s="132" t="n">
        <f aca="false">H40</f>
        <v>0</v>
      </c>
      <c r="N154" s="133" t="n">
        <v>0.99</v>
      </c>
      <c r="O154" s="13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75"/>
      <c r="C155" s="175"/>
      <c r="D155" s="145"/>
      <c r="E155" s="146"/>
      <c r="F155" s="135"/>
      <c r="G155" s="138"/>
      <c r="H155" s="175"/>
      <c r="I155" s="175"/>
      <c r="J155" s="145"/>
      <c r="K155" s="146"/>
      <c r="L155" s="135"/>
      <c r="M155" s="138"/>
      <c r="N155" s="145"/>
      <c r="O155" s="14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5"/>
      <c r="E156" s="146"/>
      <c r="F156" s="135"/>
      <c r="G156" s="71" t="s">
        <v>81</v>
      </c>
      <c r="H156" s="72" t="s">
        <v>82</v>
      </c>
      <c r="I156" s="72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5"/>
      <c r="E157" s="146"/>
      <c r="F157" s="135"/>
      <c r="G157" s="71"/>
      <c r="H157" s="73" t="str">
        <f aca="false">B57</f>
        <v>5000</v>
      </c>
      <c r="I157" s="73"/>
      <c r="J157" s="145"/>
      <c r="K157" s="146"/>
      <c r="L157" s="135"/>
      <c r="M157" s="172" t="s">
        <v>174</v>
      </c>
      <c r="N157" s="145"/>
      <c r="O157" s="145"/>
      <c r="P157" s="173"/>
      <c r="Q157" s="174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631.541224059881</v>
      </c>
      <c r="C158" s="75"/>
      <c r="D158" s="145"/>
      <c r="E158" s="146"/>
      <c r="F158" s="135"/>
      <c r="G158" s="74" t="str">
        <f aca="false">A58</f>
        <v>12</v>
      </c>
      <c r="H158" s="75" t="e">
        <f aca="false">H97</f>
        <v>#DIV/0!</v>
      </c>
      <c r="I158" s="75"/>
      <c r="J158" s="145"/>
      <c r="K158" s="146"/>
      <c r="L158" s="135"/>
      <c r="M158" s="138"/>
      <c r="N158" s="175"/>
      <c r="O158" s="17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8"/>
      <c r="B159" s="145"/>
      <c r="C159" s="145"/>
      <c r="D159" s="145"/>
      <c r="E159" s="146"/>
      <c r="F159" s="135"/>
      <c r="G159" s="138"/>
      <c r="H159" s="145"/>
      <c r="I159" s="145"/>
      <c r="J159" s="145"/>
      <c r="K159" s="146"/>
      <c r="L159" s="135"/>
      <c r="M159" s="71" t="s">
        <v>81</v>
      </c>
      <c r="N159" s="72" t="s">
        <v>82</v>
      </c>
      <c r="O159" s="72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8"/>
      <c r="B160" s="145"/>
      <c r="C160" s="145"/>
      <c r="D160" s="145"/>
      <c r="E160" s="146"/>
      <c r="F160" s="135"/>
      <c r="G160" s="138"/>
      <c r="H160" s="145"/>
      <c r="I160" s="145"/>
      <c r="J160" s="145"/>
      <c r="K160" s="146"/>
      <c r="L160" s="135"/>
      <c r="M160" s="71"/>
      <c r="N160" s="73" t="str">
        <f aca="false">B57</f>
        <v>5000</v>
      </c>
      <c r="O160" s="73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8"/>
      <c r="B161" s="145"/>
      <c r="C161" s="145"/>
      <c r="D161" s="145"/>
      <c r="E161" s="146"/>
      <c r="F161" s="135"/>
      <c r="G161" s="138"/>
      <c r="H161" s="145"/>
      <c r="I161" s="145"/>
      <c r="J161" s="145"/>
      <c r="K161" s="146"/>
      <c r="L161" s="135"/>
      <c r="M161" s="74" t="str">
        <f aca="false">A58</f>
        <v>12</v>
      </c>
      <c r="N161" s="75" t="e">
        <f aca="false">N97</f>
        <v>#DIV/0!</v>
      </c>
      <c r="O161" s="7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8"/>
      <c r="B162" s="145"/>
      <c r="C162" s="145"/>
      <c r="D162" s="145"/>
      <c r="E162" s="146"/>
      <c r="F162" s="135"/>
      <c r="G162" s="138"/>
      <c r="H162" s="145"/>
      <c r="I162" s="145"/>
      <c r="J162" s="145"/>
      <c r="K162" s="146"/>
      <c r="L162" s="135"/>
      <c r="M162" s="138"/>
      <c r="N162" s="145"/>
      <c r="O162" s="145"/>
      <c r="P162" s="145"/>
      <c r="Q162" s="146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77"/>
      <c r="B163" s="178"/>
      <c r="C163" s="178"/>
      <c r="D163" s="178"/>
      <c r="E163" s="179"/>
      <c r="F163" s="135"/>
      <c r="G163" s="177"/>
      <c r="H163" s="178"/>
      <c r="I163" s="178"/>
      <c r="J163" s="178"/>
      <c r="K163" s="179"/>
      <c r="L163" s="135"/>
      <c r="M163" s="138"/>
      <c r="N163" s="145"/>
      <c r="O163" s="145"/>
      <c r="P163" s="145"/>
      <c r="Q163" s="146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8"/>
      <c r="N164" s="145"/>
      <c r="O164" s="145"/>
      <c r="P164" s="145"/>
      <c r="Q164" s="146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8"/>
      <c r="N165" s="145"/>
      <c r="O165" s="145"/>
      <c r="P165" s="145"/>
      <c r="Q165" s="146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8"/>
      <c r="N166" s="145"/>
      <c r="O166" s="145"/>
      <c r="P166" s="145"/>
      <c r="Q166" s="146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8"/>
      <c r="N167" s="145"/>
      <c r="O167" s="145"/>
      <c r="P167" s="145"/>
      <c r="Q167" s="146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77"/>
      <c r="N168" s="178"/>
      <c r="O168" s="178"/>
      <c r="P168" s="178"/>
      <c r="Q168" s="179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8.75" hidden="false" customHeight="true" outlineLevel="0" collapsed="false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customFormat="false" ht="18.75" hidden="false" customHeight="true" outlineLevel="0" collapsed="false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customFormat="false" ht="18.75" hidden="false" customHeight="true" outlineLevel="0" collapsed="false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customFormat="false" ht="18.75" hidden="false" customHeight="true" outlineLevel="0" collapsed="false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customFormat="false" ht="18.75" hidden="false" customHeight="true" outlineLevel="0" collapsed="false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customFormat="false" ht="18.75" hidden="false" customHeight="true" outlineLevel="0" collapsed="false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90" activeCellId="0" sqref="B90"/>
    </sheetView>
  </sheetViews>
  <sheetFormatPr defaultColWidth="10.878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139" t="n">
        <v>46854.17</v>
      </c>
      <c r="C3" s="139" t="n">
        <v>0</v>
      </c>
      <c r="D3" s="139" t="n">
        <v>833.33</v>
      </c>
      <c r="E3" s="140" t="n">
        <v>0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368" t="n">
        <v>0</v>
      </c>
      <c r="C4" s="368" t="n">
        <v>0</v>
      </c>
      <c r="D4" s="368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(B3*B4)+B5</f>
        <v>0</v>
      </c>
      <c r="C6" s="144" t="n">
        <f aca="false">(C3*C4)+C5</f>
        <v>0</v>
      </c>
      <c r="D6" s="144" t="n">
        <f aca="false">(D3*D4)+D5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7" t="n">
        <f aca="false">B7+C7+D7+E3</f>
        <v>47687.5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(E9+E10)*20%</f>
        <v>9647.5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8" t="n">
        <f aca="false">(E9+E10+E13+E14+E11)-E12</f>
        <v>58525</v>
      </c>
      <c r="F15" s="135"/>
      <c r="G15" s="149" t="n">
        <f aca="false">E15</f>
        <v>58525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/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(B3+C3+E10+D3+E3)*1.2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8.75" hidden="false" customHeight="tru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IF(A32=Z101,1,IF(A32=Z102,1,IF(A32=Z103,3,IF(A32=Z104,6,IF(A32=Z105,9,IF(A32=Z106,12,IF(A32=Z107,3,IF(A32=Z108,6,IF(A32=Z109,9,0)))))))))</f>
        <v>1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IF(A32=Z101,H29-H27,IF(A32=Z102,H29-H27,IF(A32=Z103,H29-1,IF(A32=Z104,H29-1,IF(A32=Z105,H29-1,IF(A32=Z106,H29-1,IF(A32=Z107,H29-H27,IF(A32=Z108,H29-H27,IF(A32=Z109,H29-H27,0)))))))))</f>
        <v>11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n">
        <f aca="false">B35</f>
        <v>12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n">
        <f aca="false">D35</f>
        <v>5000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n">
        <f aca="false">D38</f>
        <v>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56" t="s">
        <v>117</v>
      </c>
      <c r="B32" s="159" t="n">
        <f aca="false">IF(A32=Z101,D38,IF(A32=Z102,D38,IF(A32=Z103,(D38*3),IF(A32=Z104,(D38*6),IF(A32=Z105,(D38*9),IF(A32=Z106,(D38*12),IF(A32=Z107,D38,IF(A32=Z108,D38,IF(A32=Z109,D38,0)))))))))</f>
        <v>500</v>
      </c>
      <c r="C32" s="159"/>
      <c r="D32" s="159" t="n">
        <f aca="false">IF(A32=Z101,A41,IF(A32=Z102,A41,IF(A32=Z103,(A41*3),IF(A32=Z104,(A41*6),IF(A32=Z105,(A41*9),IF(A32=Z106,(A41*12),IF(A32=Z107,A41,IF(A32=Z108,A41,IF(A32=Z109,A41,0)))))))))</f>
        <v>0</v>
      </c>
      <c r="E32" s="159"/>
      <c r="F32" s="135"/>
      <c r="G32" s="160" t="s">
        <v>177</v>
      </c>
      <c r="H32" s="158" t="n">
        <f aca="false">A41</f>
        <v>0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18.75" hidden="false" customHeight="true" outlineLevel="0" collapsed="false">
      <c r="A33" s="43"/>
      <c r="B33" s="118"/>
      <c r="C33" s="45"/>
      <c r="D33" s="161"/>
      <c r="E33" s="146"/>
      <c r="F33" s="135"/>
      <c r="G33" s="160"/>
      <c r="H33" s="152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n">
        <f aca="false">D41</f>
        <v>12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59" t="n">
        <f aca="false">B32+D32</f>
        <v>500</v>
      </c>
      <c r="B35" s="37" t="n">
        <v>12</v>
      </c>
      <c r="C35" s="37"/>
      <c r="D35" s="37" t="n">
        <v>5000</v>
      </c>
      <c r="E35" s="37"/>
      <c r="F35" s="135"/>
      <c r="G35" s="162"/>
      <c r="H35" s="163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38"/>
      <c r="B36" s="145"/>
      <c r="C36" s="145"/>
      <c r="D36" s="145"/>
      <c r="E36" s="146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64" t="n">
        <f aca="false">(B35/12)*D35</f>
        <v>5000</v>
      </c>
      <c r="B38" s="37" t="s">
        <v>26</v>
      </c>
      <c r="C38" s="37"/>
      <c r="D38" s="42" t="n">
        <v>500</v>
      </c>
      <c r="E38" s="42"/>
      <c r="F38" s="135"/>
      <c r="G38" s="135"/>
      <c r="H38" s="135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57"/>
      <c r="B39" s="45"/>
      <c r="C39" s="45"/>
      <c r="D39" s="145"/>
      <c r="E39" s="146"/>
      <c r="F39" s="135"/>
      <c r="G39" s="135"/>
      <c r="H39" s="165"/>
      <c r="I39" s="165"/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58" t="s">
        <v>147</v>
      </c>
      <c r="B40" s="59" t="s">
        <v>112</v>
      </c>
      <c r="C40" s="45"/>
      <c r="D40" s="128" t="s">
        <v>163</v>
      </c>
      <c r="E40" s="146"/>
      <c r="F40" s="135"/>
      <c r="G40" s="135"/>
      <c r="H40" s="165"/>
      <c r="I40" s="16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5"/>
      <c r="G41" s="135"/>
      <c r="H41" s="167"/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58" t="s">
        <v>157</v>
      </c>
      <c r="B43" s="59" t="s">
        <v>158</v>
      </c>
      <c r="C43" s="45"/>
      <c r="D43" s="59" t="s">
        <v>159</v>
      </c>
      <c r="E43" s="61"/>
      <c r="F43" s="135"/>
      <c r="G43" s="135" t="s">
        <v>184</v>
      </c>
      <c r="H43" s="165" t="n">
        <f aca="false">(((D38*(B35-1))+B32)/B35) + (D41/B35)</f>
        <v>501</v>
      </c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5"/>
      <c r="G44" s="135" t="s">
        <v>185</v>
      </c>
      <c r="H44" s="165" t="n">
        <f aca="false">((A41*(B35-1))+D32)/B35</f>
        <v>0</v>
      </c>
      <c r="I44" s="16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501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5"/>
      <c r="G46" s="135" t="s">
        <v>189</v>
      </c>
      <c r="H46" s="165" t="n">
        <f aca="false">H43</f>
        <v>501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5"/>
      <c r="G47" s="135"/>
      <c r="H47" s="165"/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172" t="s">
        <v>205</v>
      </c>
      <c r="B48" s="145"/>
      <c r="C48" s="145"/>
      <c r="D48" s="173"/>
      <c r="E48" s="174"/>
      <c r="F48" s="135"/>
      <c r="G48" s="135"/>
      <c r="H48" s="165"/>
      <c r="I48" s="16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138"/>
      <c r="B49" s="175"/>
      <c r="C49" s="175"/>
      <c r="D49" s="145"/>
      <c r="E49" s="146"/>
      <c r="F49" s="135"/>
      <c r="G49" s="135"/>
      <c r="H49" s="176"/>
      <c r="I49" s="16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5"/>
      <c r="E50" s="146"/>
      <c r="F50" s="135"/>
      <c r="G50" s="135"/>
      <c r="H50" s="13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5"/>
      <c r="E51" s="146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5"/>
      <c r="E52" s="146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138"/>
      <c r="B53" s="145"/>
      <c r="C53" s="145"/>
      <c r="D53" s="145"/>
      <c r="E53" s="146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7"/>
      <c r="B54" s="178"/>
      <c r="C54" s="178"/>
      <c r="D54" s="178"/>
      <c r="E54" s="179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45"/>
      <c r="B55" s="145"/>
      <c r="C55" s="145"/>
      <c r="D55" s="145"/>
      <c r="E55" s="145"/>
      <c r="F55" s="135"/>
      <c r="G55" s="145"/>
      <c r="H55" s="145"/>
      <c r="I55" s="145"/>
      <c r="J55" s="145"/>
      <c r="K55" s="14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180"/>
      <c r="B56" s="181"/>
      <c r="C56" s="181"/>
      <c r="D56" s="181"/>
      <c r="E56" s="182"/>
      <c r="F56" s="135"/>
      <c r="G56" s="180"/>
      <c r="H56" s="181"/>
      <c r="I56" s="181"/>
      <c r="J56" s="181"/>
      <c r="K56" s="182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138" t="s">
        <v>83</v>
      </c>
      <c r="B57" s="145" t="n">
        <f aca="false">IF(B99=Z101,1,IF(B99=Z102,1,IF(B99=Z103,3,IF(B99=Z104,6,IF(B99=Z105,9,IF(B99=Z106,12,IF(B99=Z107,3,IF(B99=Z108,6,IF(B99=Z109,9,0)))))))))</f>
        <v>9</v>
      </c>
      <c r="C57" s="145"/>
      <c r="D57" s="145"/>
      <c r="E57" s="146"/>
      <c r="F57" s="135"/>
      <c r="G57" s="138" t="s">
        <v>83</v>
      </c>
      <c r="H57" s="145" t="n">
        <f aca="false">IF(H99=Z101,1,IF(H99=Z102,1,IF(H99=Z103,3,IF(H99=Z104,6,IF(H99=Z105,9,IF(H99=Z106,12,IF(H99=Z107,3,IF(H99=Z108,6,IF(H99=Z109,9,0)))))))))</f>
        <v>1</v>
      </c>
      <c r="I57" s="145"/>
      <c r="J57" s="145"/>
      <c r="K57" s="146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138" t="s">
        <v>84</v>
      </c>
      <c r="B58" s="145" t="n">
        <f aca="false">IF(B99=Z101,H29-B57,IF(B99=Z102,H29-B57,IF(B99=Z103,H29-1,IF(B99=Z104,H29-1,IF(B99=Z105,H29-1,IF(B99=Z106,H29-1,IF(B99=Z107,H29-B57,IF(B99=Z108,H29-B57,IF(B99=Z109,H29-B57,0)))))))))</f>
        <v>3</v>
      </c>
      <c r="C58" s="145" t="s">
        <v>303</v>
      </c>
      <c r="D58" s="145"/>
      <c r="E58" s="146"/>
      <c r="F58" s="135"/>
      <c r="G58" s="138" t="s">
        <v>84</v>
      </c>
      <c r="H58" s="145" t="n">
        <f aca="false">IF(H99=Z101,H29-H57,IF(H99=Z102,H29-H57,IF(H99=Z103,H29-1,IF(H99=Z104,H29-1,IF(H99=Z105,H29-1,IF(H99=Z106,H29-1,IF(H99=Z107,H29-H57,IF(H99=Z108,H29-H57,IF(H99=Z109,H29-H57,0)))))))))</f>
        <v>11</v>
      </c>
      <c r="I58" s="145"/>
      <c r="J58" s="145"/>
      <c r="K58" s="146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8"/>
      <c r="H59" s="145"/>
      <c r="I59" s="145"/>
      <c r="J59" s="145"/>
      <c r="K59" s="146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38"/>
      <c r="B60" s="145"/>
      <c r="C60" s="145"/>
      <c r="D60" s="145"/>
      <c r="E60" s="146"/>
      <c r="F60" s="135"/>
      <c r="G60" s="138"/>
      <c r="H60" s="145"/>
      <c r="I60" s="145"/>
      <c r="J60" s="145"/>
      <c r="K60" s="146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38" t="s">
        <v>21</v>
      </c>
      <c r="B61" s="144" t="n">
        <f aca="false">G18</f>
        <v>57885</v>
      </c>
      <c r="C61" s="145"/>
      <c r="D61" s="145"/>
      <c r="E61" s="146"/>
      <c r="F61" s="135"/>
      <c r="G61" s="138" t="s">
        <v>21</v>
      </c>
      <c r="H61" s="144" t="n">
        <f aca="false">G18</f>
        <v>57885</v>
      </c>
      <c r="I61" s="145"/>
      <c r="J61" s="145"/>
      <c r="K61" s="146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3" t="s">
        <v>85</v>
      </c>
      <c r="B62" s="184" t="n">
        <v>0.07</v>
      </c>
      <c r="C62" s="145"/>
      <c r="D62" s="145"/>
      <c r="E62" s="146"/>
      <c r="F62" s="135"/>
      <c r="G62" s="183" t="s">
        <v>85</v>
      </c>
      <c r="H62" s="184" t="n">
        <v>0.07</v>
      </c>
      <c r="I62" s="145"/>
      <c r="J62" s="145"/>
      <c r="K62" s="146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86</v>
      </c>
      <c r="B63" s="142" t="n">
        <f aca="false">B62+(B62*0.25*(H29/12-1))</f>
        <v>0.07</v>
      </c>
      <c r="C63" s="145"/>
      <c r="D63" s="145"/>
      <c r="E63" s="146"/>
      <c r="F63" s="135"/>
      <c r="G63" s="138" t="s">
        <v>86</v>
      </c>
      <c r="H63" s="142" t="n">
        <f aca="false">H62+(H62*0.25*(H29/12-1))</f>
        <v>0.07</v>
      </c>
      <c r="I63" s="145"/>
      <c r="J63" s="145"/>
      <c r="K63" s="146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77" t="s">
        <v>87</v>
      </c>
      <c r="B64" s="185" t="n">
        <f aca="false">B61*B63</f>
        <v>4051.95</v>
      </c>
      <c r="C64" s="145"/>
      <c r="D64" s="144" t="n">
        <f aca="false">B64</f>
        <v>4051.95</v>
      </c>
      <c r="E64" s="146"/>
      <c r="F64" s="135"/>
      <c r="G64" s="177" t="s">
        <v>87</v>
      </c>
      <c r="H64" s="185" t="n">
        <f aca="false">H61*H63</f>
        <v>4051.95</v>
      </c>
      <c r="I64" s="145"/>
      <c r="J64" s="144" t="n">
        <f aca="false">H64</f>
        <v>4051.95</v>
      </c>
      <c r="K64" s="146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83" t="s">
        <v>88</v>
      </c>
      <c r="B65" s="184" t="n">
        <v>0.01</v>
      </c>
      <c r="C65" s="145"/>
      <c r="D65" s="145"/>
      <c r="E65" s="146"/>
      <c r="F65" s="135"/>
      <c r="G65" s="183" t="s">
        <v>88</v>
      </c>
      <c r="H65" s="184" t="n">
        <v>0.005</v>
      </c>
      <c r="I65" s="145"/>
      <c r="J65" s="145"/>
      <c r="K65" s="146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 t="s">
        <v>89</v>
      </c>
      <c r="B66" s="142" t="n">
        <f aca="false">B65+(B65*0.5*(H29/12-1))</f>
        <v>0.01</v>
      </c>
      <c r="C66" s="145"/>
      <c r="D66" s="145"/>
      <c r="E66" s="146"/>
      <c r="F66" s="135"/>
      <c r="G66" s="138" t="s">
        <v>89</v>
      </c>
      <c r="H66" s="142" t="n">
        <f aca="false">H65+(H65*0.5*(H29/12-1))</f>
        <v>0.005</v>
      </c>
      <c r="I66" s="145"/>
      <c r="J66" s="145"/>
      <c r="K66" s="146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77" t="s">
        <v>90</v>
      </c>
      <c r="B67" s="185" t="n">
        <f aca="false">B61*B66</f>
        <v>578.85</v>
      </c>
      <c r="C67" s="145"/>
      <c r="D67" s="144"/>
      <c r="E67" s="146"/>
      <c r="F67" s="135"/>
      <c r="G67" s="177" t="s">
        <v>90</v>
      </c>
      <c r="H67" s="185" t="n">
        <f aca="false">H61*H66</f>
        <v>289.425</v>
      </c>
      <c r="I67" s="145"/>
      <c r="J67" s="144"/>
      <c r="K67" s="146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91</v>
      </c>
      <c r="B68" s="184" t="n">
        <v>0.0075</v>
      </c>
      <c r="C68" s="145"/>
      <c r="D68" s="145"/>
      <c r="E68" s="146"/>
      <c r="F68" s="135"/>
      <c r="G68" s="183" t="s">
        <v>91</v>
      </c>
      <c r="H68" s="184" t="n">
        <v>0.0075</v>
      </c>
      <c r="I68" s="145"/>
      <c r="J68" s="145"/>
      <c r="K68" s="146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6" t="s">
        <v>92</v>
      </c>
      <c r="B69" s="186" t="n">
        <v>0.12</v>
      </c>
      <c r="C69" s="145"/>
      <c r="D69" s="145"/>
      <c r="E69" s="146"/>
      <c r="F69" s="135"/>
      <c r="G69" s="136" t="s">
        <v>92</v>
      </c>
      <c r="H69" s="186" t="n">
        <v>0.12</v>
      </c>
      <c r="I69" s="145"/>
      <c r="J69" s="145"/>
      <c r="K69" s="146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93</v>
      </c>
      <c r="B70" s="187" t="n">
        <f aca="false">B68*(1+B69)</f>
        <v>0.0084</v>
      </c>
      <c r="C70" s="145"/>
      <c r="D70" s="145"/>
      <c r="E70" s="146"/>
      <c r="F70" s="135"/>
      <c r="G70" s="177" t="s">
        <v>93</v>
      </c>
      <c r="H70" s="187" t="n">
        <f aca="false">H68*(1+H69)</f>
        <v>0.0084</v>
      </c>
      <c r="I70" s="145"/>
      <c r="J70" s="145"/>
      <c r="K70" s="146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94</v>
      </c>
      <c r="B71" s="188" t="n">
        <v>200</v>
      </c>
      <c r="C71" s="145"/>
      <c r="D71" s="145"/>
      <c r="E71" s="146"/>
      <c r="F71" s="135"/>
      <c r="G71" s="183" t="s">
        <v>94</v>
      </c>
      <c r="H71" s="188" t="n">
        <v>160</v>
      </c>
      <c r="I71" s="145"/>
      <c r="J71" s="145"/>
      <c r="K71" s="146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6" t="s">
        <v>95</v>
      </c>
      <c r="B72" s="189" t="n">
        <v>5</v>
      </c>
      <c r="C72" s="145"/>
      <c r="D72" s="145"/>
      <c r="E72" s="146"/>
      <c r="F72" s="135"/>
      <c r="G72" s="136" t="s">
        <v>95</v>
      </c>
      <c r="H72" s="189" t="n">
        <v>4.5</v>
      </c>
      <c r="I72" s="145"/>
      <c r="J72" s="145"/>
      <c r="K72" s="146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96</v>
      </c>
      <c r="B73" s="185" t="n">
        <f aca="false">B72*H29</f>
        <v>60</v>
      </c>
      <c r="C73" s="145"/>
      <c r="D73" s="144" t="n">
        <f aca="false">B73+B71</f>
        <v>260</v>
      </c>
      <c r="E73" s="146"/>
      <c r="F73" s="135"/>
      <c r="G73" s="177" t="s">
        <v>96</v>
      </c>
      <c r="H73" s="185" t="n">
        <f aca="false">H72*H29</f>
        <v>54</v>
      </c>
      <c r="I73" s="145"/>
      <c r="J73" s="144" t="n">
        <f aca="false">H73+H71</f>
        <v>214</v>
      </c>
      <c r="K73" s="146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97</v>
      </c>
      <c r="B74" s="188" t="n">
        <v>0</v>
      </c>
      <c r="C74" s="145"/>
      <c r="D74" s="145"/>
      <c r="E74" s="146"/>
      <c r="F74" s="135"/>
      <c r="G74" s="183" t="s">
        <v>97</v>
      </c>
      <c r="H74" s="188" t="n">
        <v>150</v>
      </c>
      <c r="I74" s="145"/>
      <c r="J74" s="145"/>
      <c r="K74" s="146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98</v>
      </c>
      <c r="B75" s="189" t="n">
        <v>0</v>
      </c>
      <c r="C75" s="145" t="n">
        <f aca="false">IF(G18&gt;40000, 325, 0)</f>
        <v>325</v>
      </c>
      <c r="D75" s="145"/>
      <c r="E75" s="146"/>
      <c r="F75" s="135"/>
      <c r="G75" s="136" t="s">
        <v>98</v>
      </c>
      <c r="H75" s="189" t="n">
        <f aca="false">IF(G18&gt;40000, 325, 0)</f>
        <v>325</v>
      </c>
      <c r="I75" s="145"/>
      <c r="J75" s="145"/>
      <c r="K75" s="146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99</v>
      </c>
      <c r="B76" s="185" t="n">
        <f aca="false">((B74+B75)/12)*(H29-11)</f>
        <v>0</v>
      </c>
      <c r="C76" s="145"/>
      <c r="D76" s="144" t="n">
        <f aca="false">B76</f>
        <v>0</v>
      </c>
      <c r="E76" s="146"/>
      <c r="F76" s="135"/>
      <c r="G76" s="177" t="s">
        <v>99</v>
      </c>
      <c r="H76" s="185" t="n">
        <f aca="false">((H74+H75)/12)*(H29-11)</f>
        <v>39.5833333333333</v>
      </c>
      <c r="I76" s="145"/>
      <c r="J76" s="144" t="n">
        <f aca="false">H76</f>
        <v>39.5833333333333</v>
      </c>
      <c r="K76" s="146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100</v>
      </c>
      <c r="B77" s="188" t="n">
        <f aca="false">B102</f>
        <v>0</v>
      </c>
      <c r="C77" s="145"/>
      <c r="D77" s="144" t="n">
        <f aca="false">B77</f>
        <v>0</v>
      </c>
      <c r="E77" s="146"/>
      <c r="F77" s="135"/>
      <c r="G77" s="183" t="s">
        <v>100</v>
      </c>
      <c r="H77" s="188" t="n">
        <f aca="false">H102</f>
        <v>1200</v>
      </c>
      <c r="I77" s="145"/>
      <c r="J77" s="144" t="n">
        <f aca="false">H77</f>
        <v>1200</v>
      </c>
      <c r="K77" s="146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8" t="s">
        <v>102</v>
      </c>
      <c r="B78" s="143" t="n">
        <f aca="false">D102</f>
        <v>0</v>
      </c>
      <c r="C78" s="145"/>
      <c r="D78" s="144" t="n">
        <f aca="false">B78</f>
        <v>0</v>
      </c>
      <c r="E78" s="146"/>
      <c r="F78" s="135"/>
      <c r="G78" s="138" t="s">
        <v>102</v>
      </c>
      <c r="H78" s="143" t="n">
        <f aca="false">J102</f>
        <v>0</v>
      </c>
      <c r="I78" s="145"/>
      <c r="J78" s="144" t="n">
        <f aca="false">H78</f>
        <v>0</v>
      </c>
      <c r="K78" s="146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36" t="s">
        <v>103</v>
      </c>
      <c r="B79" s="189" t="n">
        <v>200</v>
      </c>
      <c r="C79" s="145"/>
      <c r="D79" s="144" t="n">
        <f aca="false">B79</f>
        <v>200</v>
      </c>
      <c r="E79" s="146"/>
      <c r="F79" s="135"/>
      <c r="G79" s="136" t="s">
        <v>103</v>
      </c>
      <c r="H79" s="189" t="n">
        <v>100</v>
      </c>
      <c r="I79" s="145"/>
      <c r="J79" s="144" t="n">
        <f aca="false">H79</f>
        <v>100</v>
      </c>
      <c r="K79" s="146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97" t="s">
        <v>104</v>
      </c>
      <c r="B80" s="198" t="n">
        <v>200</v>
      </c>
      <c r="C80" s="145"/>
      <c r="D80" s="144" t="n">
        <f aca="false">B80</f>
        <v>200</v>
      </c>
      <c r="E80" s="146"/>
      <c r="F80" s="135"/>
      <c r="G80" s="197" t="s">
        <v>104</v>
      </c>
      <c r="H80" s="198" t="n">
        <v>100</v>
      </c>
      <c r="I80" s="145"/>
      <c r="J80" s="144" t="n">
        <f aca="false">H80</f>
        <v>100</v>
      </c>
      <c r="K80" s="146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99" t="s">
        <v>105</v>
      </c>
      <c r="B81" s="200" t="n">
        <f aca="false">SUM(D64:D80)</f>
        <v>4711.95</v>
      </c>
      <c r="C81" s="145"/>
      <c r="D81" s="145"/>
      <c r="E81" s="146"/>
      <c r="F81" s="135"/>
      <c r="G81" s="199" t="s">
        <v>105</v>
      </c>
      <c r="H81" s="200" t="n">
        <f aca="false">SUM(J64:J80)</f>
        <v>5705.53333333333</v>
      </c>
      <c r="I81" s="145"/>
      <c r="J81" s="145"/>
      <c r="K81" s="146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38" t="s">
        <v>106</v>
      </c>
      <c r="B82" s="143" t="n">
        <f aca="false">B81/H29</f>
        <v>392.6625</v>
      </c>
      <c r="C82" s="145"/>
      <c r="D82" s="145"/>
      <c r="E82" s="146"/>
      <c r="F82" s="135"/>
      <c r="G82" s="138" t="s">
        <v>106</v>
      </c>
      <c r="H82" s="143" t="n">
        <f aca="false">H81/H29</f>
        <v>475.461111111111</v>
      </c>
      <c r="I82" s="145"/>
      <c r="J82" s="145"/>
      <c r="K82" s="146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201" t="s">
        <v>107</v>
      </c>
      <c r="B83" s="202" t="n">
        <f aca="false">H46</f>
        <v>501</v>
      </c>
      <c r="C83" s="145"/>
      <c r="D83" s="145"/>
      <c r="E83" s="146"/>
      <c r="F83" s="135"/>
      <c r="G83" s="201" t="s">
        <v>107</v>
      </c>
      <c r="H83" s="202" t="n">
        <f aca="false">H46</f>
        <v>501</v>
      </c>
      <c r="I83" s="145"/>
      <c r="J83" s="145"/>
      <c r="K83" s="146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/>
      <c r="B84" s="144"/>
      <c r="C84" s="145"/>
      <c r="D84" s="145"/>
      <c r="E84" s="146"/>
      <c r="F84" s="135"/>
      <c r="G84" s="138"/>
      <c r="H84" s="144"/>
      <c r="I84" s="145"/>
      <c r="J84" s="145"/>
      <c r="K84" s="146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80" t="s">
        <v>108</v>
      </c>
      <c r="B85" s="203" t="n">
        <f aca="false">((B83*(H29)+B81))*1.2</f>
        <v>12868.74</v>
      </c>
      <c r="C85" s="145"/>
      <c r="D85" s="145"/>
      <c r="E85" s="146"/>
      <c r="F85" s="135"/>
      <c r="G85" s="180" t="s">
        <v>108</v>
      </c>
      <c r="H85" s="203" t="n">
        <f aca="false">((H83*(H27+H28))+H81)*1.2</f>
        <v>14061.04</v>
      </c>
      <c r="I85" s="145"/>
      <c r="J85" s="145"/>
      <c r="K85" s="146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38" t="s">
        <v>109</v>
      </c>
      <c r="B86" s="143" t="n">
        <f aca="false">(((B83*(H29))+B81)/(1-B70))*B70</f>
        <v>90.8442718838241</v>
      </c>
      <c r="C86" s="145"/>
      <c r="D86" s="145"/>
      <c r="E86" s="146"/>
      <c r="F86" s="135"/>
      <c r="G86" s="138" t="s">
        <v>109</v>
      </c>
      <c r="H86" s="143" t="n">
        <f aca="false">(((H83*(H27+H28))+H81)/(1-H70))*H70</f>
        <v>99.2610730133118</v>
      </c>
      <c r="I86" s="145"/>
      <c r="J86" s="145"/>
      <c r="K86" s="146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77" t="s">
        <v>110</v>
      </c>
      <c r="B87" s="185" t="n">
        <f aca="false">IF(B110="YES",((B85+B86)-E114),((B85+B86)))</f>
        <v>8959.58427188382</v>
      </c>
      <c r="C87" s="145"/>
      <c r="D87" s="145"/>
      <c r="E87" s="146"/>
      <c r="F87" s="135"/>
      <c r="G87" s="177" t="s">
        <v>110</v>
      </c>
      <c r="H87" s="185" t="n">
        <f aca="false">IF(H110="YES",((H85+H86)-A151-K114),((H85+H86)-A151))</f>
        <v>14160.3010730133</v>
      </c>
      <c r="I87" s="145"/>
      <c r="J87" s="145"/>
      <c r="K87" s="146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/>
      <c r="B88" s="144"/>
      <c r="C88" s="145"/>
      <c r="D88" s="145"/>
      <c r="E88" s="146"/>
      <c r="F88" s="135"/>
      <c r="G88" s="138"/>
      <c r="H88" s="144"/>
      <c r="I88" s="145"/>
      <c r="J88" s="145"/>
      <c r="K88" s="146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199" t="s">
        <v>65</v>
      </c>
      <c r="B89" s="369" t="n">
        <f aca="false">IF(B99=Z102,(((H44*B35)+(H44*B35)*(B105/100))/(B58))*1.2,(((H44*B35)+(H44*B35)*(B105/100))/(B57+B58))*1.2)</f>
        <v>0</v>
      </c>
      <c r="C89" s="145"/>
      <c r="D89" s="145"/>
      <c r="E89" s="146"/>
      <c r="F89" s="135"/>
      <c r="G89" s="199" t="s">
        <v>65</v>
      </c>
      <c r="H89" s="200" t="n">
        <f aca="false">(A41+(A41*H105))*1.2</f>
        <v>0</v>
      </c>
      <c r="I89" s="145"/>
      <c r="J89" s="145"/>
      <c r="K89" s="146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205" t="s">
        <v>111</v>
      </c>
      <c r="B90" s="206" t="n">
        <f aca="false">IF(B99=Z102, (B87-D105)/(B58), B87/(B57+B58))</f>
        <v>746.632022656985</v>
      </c>
      <c r="C90" s="145"/>
      <c r="D90" s="145"/>
      <c r="E90" s="146"/>
      <c r="F90" s="135"/>
      <c r="G90" s="205" t="s">
        <v>111</v>
      </c>
      <c r="H90" s="206" t="n">
        <f aca="false">IF(H99=AE98, (H87-J105)/(H58), H87/(H57+H58))</f>
        <v>1180.02508941778</v>
      </c>
      <c r="I90" s="145"/>
      <c r="J90" s="145"/>
      <c r="K90" s="146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207" t="s">
        <v>112</v>
      </c>
      <c r="B91" s="208" t="n">
        <f aca="false">IF(A105="YES", B90+B89, B90)</f>
        <v>746.632022656985</v>
      </c>
      <c r="C91" s="145"/>
      <c r="D91" s="145"/>
      <c r="E91" s="146"/>
      <c r="F91" s="135"/>
      <c r="G91" s="207" t="s">
        <v>112</v>
      </c>
      <c r="H91" s="208" t="n">
        <f aca="false">IF(G105="YES", H90+H89, H90)</f>
        <v>1180.02508941778</v>
      </c>
      <c r="I91" s="145"/>
      <c r="J91" s="145"/>
      <c r="K91" s="146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77"/>
      <c r="B92" s="178"/>
      <c r="C92" s="178"/>
      <c r="D92" s="178"/>
      <c r="E92" s="179"/>
      <c r="F92" s="135"/>
      <c r="G92" s="177"/>
      <c r="H92" s="178"/>
      <c r="I92" s="178"/>
      <c r="J92" s="178"/>
      <c r="K92" s="179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45"/>
      <c r="B93" s="145"/>
      <c r="C93" s="145"/>
      <c r="D93" s="145"/>
      <c r="E93" s="145"/>
      <c r="F93" s="135"/>
      <c r="G93" s="145"/>
      <c r="H93" s="145"/>
      <c r="I93" s="145"/>
      <c r="J93" s="145"/>
      <c r="K93" s="14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46.5" hidden="false" customHeight="true" outlineLevel="0" collapsed="false">
      <c r="A94" s="27" t="s">
        <v>114</v>
      </c>
      <c r="B94" s="27"/>
      <c r="C94" s="27"/>
      <c r="D94" s="27"/>
      <c r="E94" s="27"/>
      <c r="F94" s="135"/>
      <c r="G94" s="27" t="s">
        <v>114</v>
      </c>
      <c r="H94" s="27"/>
      <c r="I94" s="27"/>
      <c r="J94" s="27"/>
      <c r="K94" s="27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38"/>
      <c r="B95" s="145"/>
      <c r="C95" s="145"/>
      <c r="D95" s="145"/>
      <c r="E95" s="146"/>
      <c r="F95" s="135"/>
      <c r="G95" s="138"/>
      <c r="H95" s="145"/>
      <c r="I95" s="145"/>
      <c r="J95" s="145"/>
      <c r="K95" s="146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5"/>
      <c r="G96" s="29" t="s">
        <v>116</v>
      </c>
      <c r="H96" s="29"/>
      <c r="I96" s="29"/>
      <c r="J96" s="29"/>
      <c r="K96" s="29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138"/>
      <c r="B97" s="145"/>
      <c r="C97" s="145"/>
      <c r="D97" s="145"/>
      <c r="E97" s="146"/>
      <c r="F97" s="135"/>
      <c r="G97" s="138"/>
      <c r="H97" s="145"/>
      <c r="I97" s="145"/>
      <c r="J97" s="145"/>
      <c r="K97" s="146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customFormat="false" ht="18.75" hidden="false" customHeight="true" outlineLevel="0" collapsed="false">
      <c r="A98" s="138" t="s">
        <v>118</v>
      </c>
      <c r="B98" s="145" t="s">
        <v>30</v>
      </c>
      <c r="C98" s="145"/>
      <c r="D98" s="145" t="s">
        <v>119</v>
      </c>
      <c r="E98" s="146"/>
      <c r="F98" s="135"/>
      <c r="G98" s="138" t="s">
        <v>118</v>
      </c>
      <c r="H98" s="145" t="s">
        <v>30</v>
      </c>
      <c r="I98" s="145"/>
      <c r="J98" s="145" t="s">
        <v>119</v>
      </c>
      <c r="K98" s="146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customFormat="false" ht="18.75" hidden="false" customHeight="true" outlineLevel="0" collapsed="false">
      <c r="A99" s="154" t="s">
        <v>121</v>
      </c>
      <c r="B99" s="109" t="s">
        <v>190</v>
      </c>
      <c r="C99" s="109"/>
      <c r="D99" s="112" t="n">
        <v>1000</v>
      </c>
      <c r="E99" s="112"/>
      <c r="F99" s="135"/>
      <c r="G99" s="154" t="s">
        <v>121</v>
      </c>
      <c r="H99" s="109" t="s">
        <v>117</v>
      </c>
      <c r="I99" s="109"/>
      <c r="J99" s="112" t="n">
        <v>0</v>
      </c>
      <c r="K99" s="112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customFormat="false" ht="18.75" hidden="false" customHeight="true" outlineLevel="0" collapsed="false">
      <c r="A100" s="138"/>
      <c r="B100" s="145"/>
      <c r="C100" s="145"/>
      <c r="D100" s="145"/>
      <c r="E100" s="146"/>
      <c r="F100" s="135"/>
      <c r="G100" s="138"/>
      <c r="H100" s="145"/>
      <c r="I100" s="145"/>
      <c r="J100" s="145"/>
      <c r="K100" s="146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</row>
    <row r="101" customFormat="false" ht="18.75" hidden="false" customHeight="true" outlineLevel="0" collapsed="false">
      <c r="A101" s="138" t="s">
        <v>126</v>
      </c>
      <c r="B101" s="145" t="s">
        <v>127</v>
      </c>
      <c r="C101" s="145"/>
      <c r="D101" s="145" t="s">
        <v>128</v>
      </c>
      <c r="E101" s="146"/>
      <c r="F101" s="135"/>
      <c r="G101" s="138" t="s">
        <v>126</v>
      </c>
      <c r="H101" s="145" t="s">
        <v>127</v>
      </c>
      <c r="I101" s="145"/>
      <c r="J101" s="145" t="s">
        <v>128</v>
      </c>
      <c r="K101" s="146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 t="s">
        <v>117</v>
      </c>
      <c r="AA101" s="135"/>
    </row>
    <row r="102" customFormat="false" ht="18.75" hidden="false" customHeight="true" outlineLevel="0" collapsed="false">
      <c r="A102" s="111" t="n">
        <f aca="false">199.99*1.2</f>
        <v>239.988</v>
      </c>
      <c r="B102" s="112" t="n">
        <v>0</v>
      </c>
      <c r="C102" s="112"/>
      <c r="D102" s="112" t="n">
        <v>0</v>
      </c>
      <c r="E102" s="112"/>
      <c r="F102" s="135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 t="s">
        <v>120</v>
      </c>
      <c r="AA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Z103" s="135" t="s">
        <v>124</v>
      </c>
      <c r="AA103" s="135"/>
    </row>
    <row r="104" customFormat="false" ht="18.75" hidden="false" customHeight="true" outlineLevel="0" collapsed="false">
      <c r="A104" s="154" t="s">
        <v>130</v>
      </c>
      <c r="B104" s="135" t="s">
        <v>131</v>
      </c>
      <c r="C104" s="145"/>
      <c r="D104" s="145" t="s">
        <v>132</v>
      </c>
      <c r="E104" s="146"/>
      <c r="F104" s="135"/>
      <c r="G104" s="154" t="s">
        <v>130</v>
      </c>
      <c r="H104" s="135" t="s">
        <v>131</v>
      </c>
      <c r="I104" s="145"/>
      <c r="J104" s="145" t="s">
        <v>132</v>
      </c>
      <c r="K104" s="146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Z104" s="135" t="s">
        <v>125</v>
      </c>
      <c r="AA104" s="135"/>
    </row>
    <row r="105" customFormat="false" ht="18.75" hidden="false" customHeight="true" outlineLevel="0" collapsed="false">
      <c r="A105" s="156" t="s">
        <v>26</v>
      </c>
      <c r="B105" s="109" t="n">
        <v>0</v>
      </c>
      <c r="C105" s="109"/>
      <c r="D105" s="112" t="s">
        <v>191</v>
      </c>
      <c r="E105" s="112"/>
      <c r="F105" s="135"/>
      <c r="G105" s="156" t="s">
        <v>25</v>
      </c>
      <c r="H105" s="113" t="n">
        <v>0.2</v>
      </c>
      <c r="I105" s="113"/>
      <c r="J105" s="112" t="n">
        <v>0</v>
      </c>
      <c r="K105" s="112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Z105" s="135" t="s">
        <v>129</v>
      </c>
      <c r="AA105" s="135"/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Z106" s="135" t="s">
        <v>123</v>
      </c>
      <c r="AA106" s="135"/>
    </row>
    <row r="107" customFormat="false" ht="18.75" hidden="false" customHeight="true" outlineLevel="0" collapsed="false">
      <c r="A107" s="138"/>
      <c r="B107" s="145"/>
      <c r="C107" s="145"/>
      <c r="D107" s="145"/>
      <c r="E107" s="146"/>
      <c r="F107" s="135"/>
      <c r="G107" s="138"/>
      <c r="H107" s="145"/>
      <c r="I107" s="145"/>
      <c r="J107" s="145"/>
      <c r="K107" s="146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Z107" s="135" t="s">
        <v>122</v>
      </c>
      <c r="AA107" s="135"/>
    </row>
    <row r="108" customFormat="false" ht="18.75" hidden="false" customHeight="true" outlineLevel="0" collapsed="false">
      <c r="A108" s="29" t="s">
        <v>136</v>
      </c>
      <c r="B108" s="29"/>
      <c r="C108" s="29"/>
      <c r="D108" s="29"/>
      <c r="E108" s="29"/>
      <c r="F108" s="135"/>
      <c r="G108" s="29" t="s">
        <v>136</v>
      </c>
      <c r="H108" s="29"/>
      <c r="I108" s="29"/>
      <c r="J108" s="29"/>
      <c r="K108" s="29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Z108" s="135" t="s">
        <v>133</v>
      </c>
      <c r="AA108" s="135"/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Z109" s="135" t="s">
        <v>134</v>
      </c>
    </row>
    <row r="110" customFormat="false" ht="18.75" hidden="false" customHeight="true" outlineLevel="0" collapsed="false">
      <c r="A110" s="138" t="s">
        <v>137</v>
      </c>
      <c r="B110" s="156" t="s">
        <v>25</v>
      </c>
      <c r="C110" s="145"/>
      <c r="D110" s="145"/>
      <c r="E110" s="146"/>
      <c r="F110" s="135"/>
      <c r="G110" s="138" t="s">
        <v>137</v>
      </c>
      <c r="H110" s="156" t="s">
        <v>26</v>
      </c>
      <c r="I110" s="145"/>
      <c r="J110" s="145"/>
      <c r="K110" s="146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Z110" s="135"/>
    </row>
    <row r="111" customFormat="false" ht="18.75" hidden="false" customHeight="true" outlineLevel="0" collapsed="false">
      <c r="A111" s="138"/>
      <c r="B111" s="145"/>
      <c r="C111" s="145"/>
      <c r="D111" s="145"/>
      <c r="E111" s="146"/>
      <c r="F111" s="135"/>
      <c r="G111" s="138"/>
      <c r="H111" s="145"/>
      <c r="I111" s="145"/>
      <c r="J111" s="145"/>
      <c r="K111" s="146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Z111" s="135"/>
    </row>
    <row r="112" customFormat="false" ht="18.75" hidden="false" customHeight="true" outlineLevel="0" collapsed="false">
      <c r="A112" s="138" t="s">
        <v>138</v>
      </c>
      <c r="B112" s="145"/>
      <c r="C112" s="145"/>
      <c r="D112" s="111" t="n">
        <v>10000</v>
      </c>
      <c r="E112" s="112" t="n">
        <v>6000</v>
      </c>
      <c r="F112" s="135"/>
      <c r="G112" s="138" t="s">
        <v>138</v>
      </c>
      <c r="H112" s="145"/>
      <c r="I112" s="145"/>
      <c r="J112" s="111" t="n">
        <v>10000</v>
      </c>
      <c r="K112" s="112" t="n">
        <v>5000</v>
      </c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 t="s">
        <v>139</v>
      </c>
      <c r="B113" s="145"/>
      <c r="C113" s="145"/>
      <c r="D113" s="210" t="n">
        <f aca="false">E113</f>
        <v>2000</v>
      </c>
      <c r="E113" s="112" t="n">
        <v>2000</v>
      </c>
      <c r="F113" s="135"/>
      <c r="G113" s="138" t="s">
        <v>139</v>
      </c>
      <c r="H113" s="145"/>
      <c r="I113" s="145"/>
      <c r="J113" s="210" t="n">
        <f aca="false">K113</f>
        <v>7000</v>
      </c>
      <c r="K113" s="112" t="n">
        <v>7000</v>
      </c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138" t="s">
        <v>140</v>
      </c>
      <c r="B114" s="145"/>
      <c r="C114" s="145"/>
      <c r="D114" s="210" t="n">
        <f aca="false">D112-D113</f>
        <v>8000</v>
      </c>
      <c r="E114" s="115" t="n">
        <f aca="false">E112-E113</f>
        <v>4000</v>
      </c>
      <c r="F114" s="135"/>
      <c r="G114" s="138" t="s">
        <v>140</v>
      </c>
      <c r="H114" s="145"/>
      <c r="I114" s="145"/>
      <c r="J114" s="210" t="n">
        <f aca="false">J112-J113</f>
        <v>3000</v>
      </c>
      <c r="K114" s="115" t="n">
        <f aca="false">K112-K113</f>
        <v>-2000</v>
      </c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 t="s">
        <v>141</v>
      </c>
      <c r="B115" s="145"/>
      <c r="C115" s="145"/>
      <c r="D115" s="210" t="n">
        <f aca="false">D114-E114</f>
        <v>4000</v>
      </c>
      <c r="E115" s="146"/>
      <c r="F115" s="135"/>
      <c r="G115" s="138" t="s">
        <v>141</v>
      </c>
      <c r="H115" s="145"/>
      <c r="I115" s="145"/>
      <c r="J115" s="210" t="n">
        <f aca="false">J114-K114</f>
        <v>5000</v>
      </c>
      <c r="K115" s="146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/>
      <c r="B116" s="145"/>
      <c r="C116" s="145"/>
      <c r="D116" s="145"/>
      <c r="E116" s="146"/>
      <c r="F116" s="135"/>
      <c r="G116" s="138"/>
      <c r="H116" s="145"/>
      <c r="I116" s="145"/>
      <c r="J116" s="145"/>
      <c r="K116" s="146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80" t="s">
        <v>142</v>
      </c>
      <c r="B117" s="181"/>
      <c r="C117" s="181"/>
      <c r="D117" s="181"/>
      <c r="E117" s="203" t="n">
        <f aca="false">D99</f>
        <v>1000</v>
      </c>
      <c r="F117" s="135"/>
      <c r="G117" s="180" t="s">
        <v>142</v>
      </c>
      <c r="H117" s="181"/>
      <c r="I117" s="181"/>
      <c r="J117" s="181"/>
      <c r="K117" s="203" t="n">
        <f aca="false">J99</f>
        <v>0</v>
      </c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52</v>
      </c>
      <c r="B118" s="145"/>
      <c r="C118" s="145"/>
      <c r="D118" s="145"/>
      <c r="E118" s="143" t="n">
        <f aca="false">A102</f>
        <v>239.988</v>
      </c>
      <c r="F118" s="135"/>
      <c r="G118" s="138" t="s">
        <v>52</v>
      </c>
      <c r="H118" s="145"/>
      <c r="I118" s="145"/>
      <c r="J118" s="145"/>
      <c r="K118" s="143" t="n">
        <f aca="false">G102</f>
        <v>239.988</v>
      </c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211" t="s">
        <v>143</v>
      </c>
      <c r="B119" s="178"/>
      <c r="C119" s="178"/>
      <c r="D119" s="178"/>
      <c r="E119" s="185" t="n">
        <f aca="false">(E118+E117)-D115</f>
        <v>-2760.012</v>
      </c>
      <c r="F119" s="135"/>
      <c r="G119" s="211" t="s">
        <v>143</v>
      </c>
      <c r="H119" s="178"/>
      <c r="I119" s="178"/>
      <c r="J119" s="178"/>
      <c r="K119" s="185" t="n">
        <f aca="false">(K118+K117)-J115</f>
        <v>-4760.012</v>
      </c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/>
      <c r="B120" s="145"/>
      <c r="C120" s="145"/>
      <c r="D120" s="145"/>
      <c r="E120" s="146"/>
      <c r="F120" s="135"/>
      <c r="G120" s="138"/>
      <c r="H120" s="145"/>
      <c r="I120" s="145"/>
      <c r="J120" s="145"/>
      <c r="K120" s="146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/>
      <c r="B121" s="145"/>
      <c r="C121" s="145"/>
      <c r="D121" s="145"/>
      <c r="E121" s="146"/>
      <c r="F121" s="135"/>
      <c r="G121" s="138"/>
      <c r="H121" s="145"/>
      <c r="I121" s="145"/>
      <c r="J121" s="145"/>
      <c r="K121" s="146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29" t="s">
        <v>144</v>
      </c>
      <c r="B122" s="29"/>
      <c r="C122" s="29"/>
      <c r="D122" s="29"/>
      <c r="E122" s="29"/>
      <c r="F122" s="135"/>
      <c r="G122" s="29" t="s">
        <v>144</v>
      </c>
      <c r="H122" s="29"/>
      <c r="I122" s="29"/>
      <c r="J122" s="29"/>
      <c r="K122" s="29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38"/>
      <c r="B123" s="145"/>
      <c r="C123" s="145"/>
      <c r="D123" s="145"/>
      <c r="E123" s="146"/>
      <c r="F123" s="135"/>
      <c r="G123" s="138"/>
      <c r="H123" s="145"/>
      <c r="I123" s="145"/>
      <c r="J123" s="145"/>
      <c r="K123" s="146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145</v>
      </c>
      <c r="B124" s="117" t="n">
        <v>0</v>
      </c>
      <c r="C124" s="117"/>
      <c r="D124" s="145"/>
      <c r="E124" s="146"/>
      <c r="F124" s="135"/>
      <c r="G124" s="138" t="s">
        <v>145</v>
      </c>
      <c r="H124" s="117" t="n">
        <v>0</v>
      </c>
      <c r="I124" s="117"/>
      <c r="J124" s="145"/>
      <c r="K124" s="146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138"/>
      <c r="B125" s="145"/>
      <c r="C125" s="145"/>
      <c r="D125" s="145"/>
      <c r="E125" s="146"/>
      <c r="F125" s="135"/>
      <c r="G125" s="138"/>
      <c r="H125" s="145"/>
      <c r="I125" s="145"/>
      <c r="J125" s="145"/>
      <c r="K125" s="146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138" t="s">
        <v>81</v>
      </c>
      <c r="B126" s="145" t="s">
        <v>82</v>
      </c>
      <c r="C126" s="145"/>
      <c r="D126" s="145" t="s">
        <v>84</v>
      </c>
      <c r="E126" s="146"/>
      <c r="F126" s="135"/>
      <c r="G126" s="138" t="s">
        <v>81</v>
      </c>
      <c r="H126" s="145" t="s">
        <v>82</v>
      </c>
      <c r="I126" s="145"/>
      <c r="J126" s="145" t="s">
        <v>84</v>
      </c>
      <c r="K126" s="146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A152</f>
        <v>12</v>
      </c>
      <c r="C127" s="45"/>
      <c r="D127" s="118" t="n">
        <f aca="false">B151</f>
        <v>5000</v>
      </c>
      <c r="E127" s="146"/>
      <c r="F127" s="135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6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138"/>
      <c r="B128" s="145"/>
      <c r="C128" s="145"/>
      <c r="D128" s="145"/>
      <c r="E128" s="146"/>
      <c r="F128" s="135"/>
      <c r="G128" s="138"/>
      <c r="H128" s="145"/>
      <c r="I128" s="145"/>
      <c r="J128" s="145"/>
      <c r="K128" s="146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212" t="s">
        <v>148</v>
      </c>
      <c r="B129" s="213" t="s">
        <v>149</v>
      </c>
      <c r="C129" s="213"/>
      <c r="D129" s="213" t="s">
        <v>150</v>
      </c>
      <c r="E129" s="146"/>
      <c r="F129" s="135"/>
      <c r="G129" s="212" t="s">
        <v>148</v>
      </c>
      <c r="H129" s="213" t="s">
        <v>149</v>
      </c>
      <c r="I129" s="213"/>
      <c r="J129" s="213" t="s">
        <v>150</v>
      </c>
      <c r="K129" s="146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370"/>
    </row>
    <row r="130" customFormat="false" ht="18.75" hidden="false" customHeight="true" outlineLevel="0" collapsed="false">
      <c r="A130" s="122" t="n">
        <f aca="false">B90</f>
        <v>746.632022656985</v>
      </c>
      <c r="B130" s="214" t="n">
        <f aca="false">IF(A105="YES", B89*B57, 0)</f>
        <v>0</v>
      </c>
      <c r="C130" s="214"/>
      <c r="D130" s="124" t="n">
        <f aca="false">B91</f>
        <v>746.632022656985</v>
      </c>
      <c r="E130" s="130"/>
      <c r="F130" s="135"/>
      <c r="G130" s="122" t="n">
        <f aca="false">H90</f>
        <v>1180.02508941778</v>
      </c>
      <c r="H130" s="214" t="n">
        <f aca="false">IF(G105="YES", H89*H57, 0)</f>
        <v>0</v>
      </c>
      <c r="I130" s="214"/>
      <c r="J130" s="124" t="n">
        <f aca="false">H91</f>
        <v>1180.02508941778</v>
      </c>
      <c r="K130" s="130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370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370"/>
    </row>
    <row r="132" customFormat="false" ht="18.75" hidden="false" customHeight="true" outlineLevel="0" collapsed="false">
      <c r="A132" s="138" t="s">
        <v>154</v>
      </c>
      <c r="B132" s="145" t="s">
        <v>155</v>
      </c>
      <c r="C132" s="145"/>
      <c r="D132" s="145" t="s">
        <v>156</v>
      </c>
      <c r="E132" s="146"/>
      <c r="F132" s="135"/>
      <c r="G132" s="138" t="s">
        <v>154</v>
      </c>
      <c r="H132" s="145" t="s">
        <v>155</v>
      </c>
      <c r="I132" s="145"/>
      <c r="J132" s="145" t="s">
        <v>156</v>
      </c>
      <c r="K132" s="146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125" t="n">
        <f aca="false">B90*B57</f>
        <v>6719.68820391287</v>
      </c>
      <c r="B133" s="215" t="n">
        <f aca="false">IF(A105="YES", B89*B57, 0)</f>
        <v>0</v>
      </c>
      <c r="C133" s="155"/>
      <c r="D133" s="128" t="n">
        <f aca="false">B91*B57</f>
        <v>6719.68820391287</v>
      </c>
      <c r="E133" s="146"/>
      <c r="F133" s="135"/>
      <c r="G133" s="125" t="n">
        <f aca="false">H90*H57</f>
        <v>1180.02508941778</v>
      </c>
      <c r="H133" s="215" t="n">
        <f aca="false">IF(G105="YES", H89*H57, 0)</f>
        <v>0</v>
      </c>
      <c r="I133" s="155"/>
      <c r="J133" s="128" t="n">
        <f aca="false">H91*H57</f>
        <v>1180.02508941778</v>
      </c>
      <c r="K133" s="146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138" t="s">
        <v>160</v>
      </c>
      <c r="B135" s="145" t="s">
        <v>161</v>
      </c>
      <c r="C135" s="145"/>
      <c r="D135" s="145" t="s">
        <v>162</v>
      </c>
      <c r="E135" s="146"/>
      <c r="F135" s="135"/>
      <c r="G135" s="138" t="s">
        <v>160</v>
      </c>
      <c r="H135" s="145" t="s">
        <v>161</v>
      </c>
      <c r="I135" s="145"/>
      <c r="J135" s="145" t="s">
        <v>162</v>
      </c>
      <c r="K135" s="146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9" t="n">
        <f aca="false">E15*0.000006</f>
        <v>0.35115</v>
      </c>
      <c r="B136" s="215" t="n">
        <f aca="false">IF(A105="YES", E15*0.000002, 0)</f>
        <v>0</v>
      </c>
      <c r="C136" s="215"/>
      <c r="D136" s="215" t="n">
        <f aca="false">A136+B136</f>
        <v>0.35115</v>
      </c>
      <c r="E136" s="130"/>
      <c r="F136" s="135"/>
      <c r="G136" s="129" t="n">
        <f aca="false">E15*0.000006</f>
        <v>0.35115</v>
      </c>
      <c r="H136" s="215" t="n">
        <f aca="false">IF(G105="YES", E15*0.000002, 0)</f>
        <v>0.11705</v>
      </c>
      <c r="I136" s="215"/>
      <c r="J136" s="215" t="n">
        <f aca="false">G136+H136</f>
        <v>0.4682</v>
      </c>
      <c r="K136" s="130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166</v>
      </c>
      <c r="B138" s="145" t="s">
        <v>164</v>
      </c>
      <c r="C138" s="145"/>
      <c r="D138" s="145" t="s">
        <v>165</v>
      </c>
      <c r="E138" s="146"/>
      <c r="F138" s="135"/>
      <c r="G138" s="138" t="s">
        <v>166</v>
      </c>
      <c r="H138" s="145" t="s">
        <v>164</v>
      </c>
      <c r="I138" s="145"/>
      <c r="J138" s="145" t="s">
        <v>165</v>
      </c>
      <c r="K138" s="146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9" t="n">
        <f aca="false">A102</f>
        <v>239.988</v>
      </c>
      <c r="B139" s="215" t="n">
        <f aca="false">B67</f>
        <v>578.85</v>
      </c>
      <c r="C139" s="215"/>
      <c r="D139" s="215" t="n">
        <f aca="false">B102*0.9</f>
        <v>0</v>
      </c>
      <c r="E139" s="130"/>
      <c r="F139" s="135"/>
      <c r="G139" s="129" t="n">
        <f aca="false">G102</f>
        <v>239.988</v>
      </c>
      <c r="H139" s="215" t="n">
        <f aca="false">H67</f>
        <v>289.425</v>
      </c>
      <c r="I139" s="215"/>
      <c r="J139" s="215" t="n">
        <f aca="false">H102*0.9</f>
        <v>1080</v>
      </c>
      <c r="K139" s="130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167</v>
      </c>
      <c r="B141" s="145" t="s">
        <v>168</v>
      </c>
      <c r="C141" s="145"/>
      <c r="D141" s="145" t="s">
        <v>169</v>
      </c>
      <c r="E141" s="146"/>
      <c r="F141" s="135"/>
      <c r="G141" s="138" t="s">
        <v>167</v>
      </c>
      <c r="H141" s="145" t="s">
        <v>168</v>
      </c>
      <c r="I141" s="145"/>
      <c r="J141" s="145" t="s">
        <v>169</v>
      </c>
      <c r="K141" s="146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IF(A105="YES", B89*0.1, 0)</f>
        <v>0</v>
      </c>
      <c r="B142" s="215" t="n">
        <f aca="false">A102-100</f>
        <v>139.988</v>
      </c>
      <c r="C142" s="215"/>
      <c r="D142" s="215" t="n">
        <f aca="false">(B139+D139+A142+B142)-B145</f>
        <v>505.951463887758</v>
      </c>
      <c r="E142" s="130"/>
      <c r="F142" s="135"/>
      <c r="G142" s="129" t="n">
        <f aca="false">IF(G105="YES", H89*0.1, 0)</f>
        <v>0</v>
      </c>
      <c r="H142" s="215" t="n">
        <f aca="false">G102-100</f>
        <v>139.988</v>
      </c>
      <c r="I142" s="215"/>
      <c r="J142" s="215" t="n">
        <f aca="false">(H139+J139+G142+H142)-H145</f>
        <v>1509.413</v>
      </c>
      <c r="K142" s="130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170</v>
      </c>
      <c r="B144" s="145" t="s">
        <v>171</v>
      </c>
      <c r="C144" s="145"/>
      <c r="D144" s="145"/>
      <c r="E144" s="146"/>
      <c r="F144" s="135"/>
      <c r="G144" s="138" t="s">
        <v>170</v>
      </c>
      <c r="H144" s="145" t="s">
        <v>171</v>
      </c>
      <c r="I144" s="145"/>
      <c r="J144" s="145"/>
      <c r="K144" s="146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5" t="n">
        <f aca="false">(B139+D139+A142+B142)*(A145/B64)</f>
        <v>212.886536112242</v>
      </c>
      <c r="C145" s="145"/>
      <c r="D145" s="145"/>
      <c r="E145" s="146"/>
      <c r="F145" s="135"/>
      <c r="G145" s="129" t="n">
        <f aca="false">IF((1200-H102) &lt;= 0, 0, (1200-H102))</f>
        <v>0</v>
      </c>
      <c r="H145" s="215" t="n">
        <f aca="false">(H139+J139+G142+H142)*(G145/H64)</f>
        <v>0</v>
      </c>
      <c r="I145" s="145"/>
      <c r="J145" s="145"/>
      <c r="K145" s="146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/>
      <c r="B147" s="145"/>
      <c r="C147" s="145"/>
      <c r="D147" s="145"/>
      <c r="E147" s="146"/>
      <c r="F147" s="135"/>
      <c r="G147" s="138"/>
      <c r="H147" s="145"/>
      <c r="I147" s="145"/>
      <c r="J147" s="145"/>
      <c r="K147" s="146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72" t="s">
        <v>174</v>
      </c>
      <c r="B148" s="145"/>
      <c r="C148" s="145"/>
      <c r="D148" s="173"/>
      <c r="E148" s="174"/>
      <c r="F148" s="135"/>
      <c r="G148" s="172" t="s">
        <v>174</v>
      </c>
      <c r="H148" s="145"/>
      <c r="I148" s="145"/>
      <c r="J148" s="173"/>
      <c r="K148" s="174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75"/>
      <c r="C149" s="175"/>
      <c r="D149" s="145"/>
      <c r="E149" s="146"/>
      <c r="F149" s="135"/>
      <c r="G149" s="138"/>
      <c r="H149" s="175"/>
      <c r="I149" s="175"/>
      <c r="J149" s="145"/>
      <c r="K149" s="146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5"/>
      <c r="E150" s="146"/>
      <c r="F150" s="135"/>
      <c r="G150" s="71" t="s">
        <v>81</v>
      </c>
      <c r="H150" s="72" t="s">
        <v>82</v>
      </c>
      <c r="I150" s="72"/>
      <c r="J150" s="145"/>
      <c r="K150" s="146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5"/>
      <c r="E151" s="146"/>
      <c r="F151" s="135"/>
      <c r="G151" s="71"/>
      <c r="H151" s="73" t="n">
        <f aca="false">B51</f>
        <v>5000</v>
      </c>
      <c r="I151" s="73"/>
      <c r="J151" s="145"/>
      <c r="K151" s="146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746.632022656985</v>
      </c>
      <c r="C152" s="75"/>
      <c r="D152" s="145"/>
      <c r="E152" s="146"/>
      <c r="F152" s="135"/>
      <c r="G152" s="74" t="n">
        <f aca="false">A52</f>
        <v>12</v>
      </c>
      <c r="H152" s="75" t="n">
        <f aca="false">H91</f>
        <v>1180.02508941778</v>
      </c>
      <c r="I152" s="75"/>
      <c r="J152" s="145"/>
      <c r="K152" s="146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9.5" hidden="false" customHeight="true" outlineLevel="0" collapsed="false">
      <c r="A154" s="138"/>
      <c r="B154" s="145"/>
      <c r="C154" s="145"/>
      <c r="D154" s="145"/>
      <c r="E154" s="146"/>
      <c r="F154" s="135"/>
      <c r="G154" s="138"/>
      <c r="H154" s="145"/>
      <c r="I154" s="145"/>
      <c r="J154" s="145"/>
      <c r="K154" s="146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45"/>
      <c r="C155" s="145"/>
      <c r="D155" s="145"/>
      <c r="E155" s="146"/>
      <c r="F155" s="135"/>
      <c r="G155" s="138"/>
      <c r="H155" s="145"/>
      <c r="I155" s="145"/>
      <c r="J155" s="145"/>
      <c r="K155" s="146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138"/>
      <c r="B156" s="145"/>
      <c r="C156" s="145"/>
      <c r="D156" s="145"/>
      <c r="E156" s="146"/>
      <c r="F156" s="135"/>
      <c r="G156" s="138"/>
      <c r="H156" s="145"/>
      <c r="I156" s="145"/>
      <c r="J156" s="145"/>
      <c r="K156" s="146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177"/>
      <c r="B157" s="178"/>
      <c r="C157" s="178"/>
      <c r="D157" s="178"/>
      <c r="E157" s="179"/>
      <c r="F157" s="135"/>
      <c r="G157" s="177"/>
      <c r="H157" s="178"/>
      <c r="I157" s="178"/>
      <c r="J157" s="178"/>
      <c r="K157" s="179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216" width="41.67" collapsed="false" outlineLevel="0"/>
    <col min="2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2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2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2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 t="n">
        <v>0</v>
      </c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329" t="n">
        <v>0</v>
      </c>
      <c r="C4" s="329" t="n">
        <v>0</v>
      </c>
      <c r="D4" s="329" t="n">
        <v>0</v>
      </c>
      <c r="E4" s="329"/>
      <c r="F4" s="329" t="n">
        <v>0</v>
      </c>
      <c r="G4" s="329"/>
      <c r="H4" s="330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 t="n">
        <v>0</v>
      </c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331"/>
      <c r="C8" s="331"/>
      <c r="D8" s="331"/>
      <c r="E8" s="331"/>
      <c r="F8" s="331"/>
      <c r="G8" s="331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 t="n">
        <f aca="false">(B7+C7+D7+E3)</f>
        <v>46854.17</v>
      </c>
      <c r="F9" s="226"/>
      <c r="G9" s="332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 t="n">
        <v>550</v>
      </c>
      <c r="F10" s="229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 t="n">
        <v>555</v>
      </c>
      <c r="F13" s="229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 t="n">
        <v>55</v>
      </c>
      <c r="F14" s="229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 t="n">
        <v>0</v>
      </c>
      <c r="F16" s="229"/>
      <c r="G16" s="4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5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210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210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210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  <c r="P22" s="333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  <c r="P23" s="333"/>
    </row>
    <row r="24" customFormat="false" ht="46.5" hidden="false" customHeight="true" outlineLevel="0" collapsed="false">
      <c r="A24" s="237" t="s">
        <v>277</v>
      </c>
      <c r="B24" s="237"/>
      <c r="C24" s="237"/>
      <c r="D24" s="237"/>
      <c r="E24" s="237"/>
      <c r="F24" s="237"/>
      <c r="G24" s="237"/>
      <c r="H24" s="237"/>
      <c r="I24" s="50"/>
      <c r="J24" s="50"/>
      <c r="K24" s="50"/>
      <c r="P24" s="333"/>
    </row>
    <row r="25" customFormat="false" ht="17.35" hidden="false" customHeight="false" outlineLevel="0" collapsed="false">
      <c r="A25" s="238"/>
      <c r="B25" s="239"/>
      <c r="C25" s="239"/>
      <c r="D25" s="239"/>
      <c r="E25" s="239"/>
      <c r="F25" s="239"/>
      <c r="G25" s="239"/>
      <c r="H25" s="102"/>
      <c r="I25" s="50"/>
      <c r="J25" s="50"/>
      <c r="K25" s="50"/>
      <c r="P25" s="333"/>
    </row>
    <row r="26" customFormat="false" ht="17.9" hidden="false" customHeight="false" outlineLevel="0" collapsed="false">
      <c r="A26" s="241" t="s">
        <v>130</v>
      </c>
      <c r="B26" s="242" t="s">
        <v>26</v>
      </c>
      <c r="C26" s="331"/>
      <c r="D26" s="331"/>
      <c r="E26" s="331"/>
      <c r="F26" s="331"/>
      <c r="G26" s="331"/>
      <c r="H26" s="11"/>
      <c r="I26" s="50"/>
      <c r="J26" s="30" t="s">
        <v>30</v>
      </c>
      <c r="K26" s="31" t="s">
        <v>31</v>
      </c>
      <c r="P26" s="333"/>
    </row>
    <row r="27" customFormat="false" ht="17.9" hidden="false" customHeight="false" outlineLevel="0" collapsed="false">
      <c r="A27" s="221"/>
      <c r="B27" s="331"/>
      <c r="C27" s="331"/>
      <c r="D27" s="331"/>
      <c r="E27" s="331"/>
      <c r="F27" s="331"/>
      <c r="G27" s="331"/>
      <c r="H27" s="11"/>
      <c r="I27" s="50"/>
      <c r="J27" s="32" t="s">
        <v>32</v>
      </c>
      <c r="K27" s="33" t="n">
        <v>1</v>
      </c>
      <c r="P27" s="333"/>
    </row>
    <row r="28" customFormat="false" ht="22.05" hidden="false" customHeight="false" outlineLevel="0" collapsed="false">
      <c r="A28" s="240" t="s">
        <v>116</v>
      </c>
      <c r="B28" s="240"/>
      <c r="C28" s="240"/>
      <c r="D28" s="240"/>
      <c r="E28" s="240"/>
      <c r="F28" s="240"/>
      <c r="G28" s="240"/>
      <c r="H28" s="240"/>
      <c r="I28" s="50"/>
      <c r="J28" s="32" t="s">
        <v>36</v>
      </c>
      <c r="K28" s="33"/>
      <c r="P28" s="333"/>
    </row>
    <row r="29" customFormat="false" ht="17.9" hidden="false" customHeight="false" outlineLevel="0" collapsed="false">
      <c r="A29" s="221"/>
      <c r="B29" s="331"/>
      <c r="C29" s="331"/>
      <c r="D29" s="331"/>
      <c r="E29" s="331"/>
      <c r="F29" s="331"/>
      <c r="G29" s="331"/>
      <c r="H29" s="11" t="n">
        <v>36</v>
      </c>
      <c r="I29" s="331"/>
      <c r="J29" s="30" t="s">
        <v>38</v>
      </c>
      <c r="K29" s="364" t="n">
        <v>36</v>
      </c>
      <c r="P29" s="333"/>
    </row>
    <row r="30" customFormat="false" ht="17.9" hidden="false" customHeight="false" outlineLevel="0" collapsed="false">
      <c r="A30" s="221" t="s">
        <v>145</v>
      </c>
      <c r="B30" s="42" t="s">
        <v>278</v>
      </c>
      <c r="C30" s="42"/>
      <c r="D30" s="42"/>
      <c r="E30" s="331"/>
      <c r="F30" s="331"/>
      <c r="G30" s="331"/>
      <c r="H30" s="11" t="n">
        <v>10000</v>
      </c>
      <c r="I30" s="331"/>
      <c r="J30" s="30" t="s">
        <v>39</v>
      </c>
      <c r="K30" s="39" t="n">
        <v>10000</v>
      </c>
      <c r="P30" s="333"/>
    </row>
    <row r="31" customFormat="false" ht="17.9" hidden="false" customHeight="false" outlineLevel="0" collapsed="false">
      <c r="A31" s="221"/>
      <c r="B31" s="331"/>
      <c r="C31" s="331"/>
      <c r="D31" s="331"/>
      <c r="E31" s="331"/>
      <c r="F31" s="331"/>
      <c r="G31" s="331"/>
      <c r="H31" s="11" t="n">
        <v>27500</v>
      </c>
      <c r="I31" s="331"/>
      <c r="J31" s="30" t="s">
        <v>43</v>
      </c>
      <c r="K31" s="365" t="n">
        <v>27500</v>
      </c>
      <c r="P31" s="333"/>
    </row>
    <row r="32" customFormat="false" ht="34.8" hidden="false" customHeight="false" outlineLevel="0" collapsed="false">
      <c r="A32" s="221" t="s">
        <v>81</v>
      </c>
      <c r="B32" s="331" t="s">
        <v>82</v>
      </c>
      <c r="C32" s="331"/>
      <c r="D32" s="331"/>
      <c r="E32" s="331" t="s">
        <v>279</v>
      </c>
      <c r="F32" s="331"/>
      <c r="G32" s="331"/>
      <c r="H32" s="11"/>
      <c r="I32" s="50" t="n">
        <v>0</v>
      </c>
      <c r="J32" s="30" t="s">
        <v>46</v>
      </c>
      <c r="K32" s="365" t="n">
        <v>0</v>
      </c>
      <c r="P32" s="333"/>
    </row>
    <row r="33" customFormat="false" ht="34.8" hidden="false" customHeight="false" outlineLevel="0" collapsed="false">
      <c r="A33" s="324" t="n">
        <f aca="false">A52</f>
        <v>36</v>
      </c>
      <c r="B33" s="49" t="n">
        <f aca="false">B51</f>
        <v>10000</v>
      </c>
      <c r="C33" s="331"/>
      <c r="D33" s="331"/>
      <c r="E33" s="49" t="n">
        <f aca="false">K48</f>
        <v>922.920864561026</v>
      </c>
      <c r="F33" s="49"/>
      <c r="G33" s="49"/>
      <c r="H33" s="246"/>
      <c r="I33" s="50"/>
      <c r="J33" s="32" t="s">
        <v>280</v>
      </c>
      <c r="K33" s="47" t="n">
        <f aca="false">H21-H11+(H16*20%)</f>
        <v>48877.5</v>
      </c>
      <c r="L33" s="216" t="n">
        <f aca="false">H21-H11+(H16*20%)</f>
        <v>48877.5</v>
      </c>
      <c r="P33" s="333"/>
    </row>
    <row r="34" customFormat="false" ht="17.35" hidden="false" customHeight="false" outlineLevel="0" collapsed="false">
      <c r="A34" s="221"/>
      <c r="B34" s="331"/>
      <c r="C34" s="331"/>
      <c r="D34" s="331"/>
      <c r="E34" s="363"/>
      <c r="F34" s="363"/>
      <c r="G34" s="363"/>
      <c r="H34" s="246"/>
      <c r="I34" s="50"/>
      <c r="J34" s="50"/>
      <c r="K34" s="50"/>
      <c r="P34" s="333"/>
    </row>
    <row r="35" customFormat="false" ht="21.6" hidden="false" customHeight="false" outlineLevel="0" collapsed="false">
      <c r="A35" s="221" t="s">
        <v>281</v>
      </c>
      <c r="B35" s="331" t="s">
        <v>282</v>
      </c>
      <c r="C35" s="331"/>
      <c r="D35" s="333"/>
      <c r="E35" s="331" t="s">
        <v>283</v>
      </c>
      <c r="F35" s="363"/>
      <c r="G35" s="363"/>
      <c r="H35" s="246"/>
      <c r="I35" s="50"/>
      <c r="J35" s="53" t="s">
        <v>50</v>
      </c>
      <c r="K35" s="0" t="n">
        <f aca="false">6.5/100</f>
        <v>0.065</v>
      </c>
      <c r="P35" s="333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6"/>
      <c r="I36" s="50"/>
      <c r="J36" s="50" t="s">
        <v>51</v>
      </c>
      <c r="K36" s="50" t="n">
        <f aca="false">K29</f>
        <v>36</v>
      </c>
      <c r="P36" s="333"/>
    </row>
    <row r="37" customFormat="false" ht="17.35" hidden="false" customHeight="false" outlineLevel="0" collapsed="false">
      <c r="A37" s="129"/>
      <c r="B37" s="215"/>
      <c r="C37" s="363"/>
      <c r="D37" s="363"/>
      <c r="E37" s="363"/>
      <c r="F37" s="363"/>
      <c r="G37" s="363"/>
      <c r="H37" s="246"/>
      <c r="I37" s="50"/>
      <c r="J37" s="50"/>
      <c r="K37" s="50"/>
      <c r="P37" s="333"/>
    </row>
    <row r="38" customFormat="false" ht="17.35" hidden="false" customHeight="false" outlineLevel="0" collapsed="false">
      <c r="A38" s="221"/>
      <c r="B38" s="331"/>
      <c r="C38" s="363"/>
      <c r="D38" s="363"/>
      <c r="E38" s="363"/>
      <c r="F38" s="363"/>
      <c r="G38" s="363"/>
      <c r="H38" s="246"/>
      <c r="J38" s="56" t="s">
        <v>56</v>
      </c>
      <c r="K38" s="56"/>
      <c r="L38" s="50" t="n">
        <v>42030.76</v>
      </c>
      <c r="N38" s="216" t="n">
        <f aca="false">80.88*36</f>
        <v>2911.68</v>
      </c>
      <c r="P38" s="333"/>
    </row>
    <row r="39" customFormat="false" ht="17.35" hidden="false" customHeight="false" outlineLevel="0" collapsed="false">
      <c r="A39" s="221" t="s">
        <v>284</v>
      </c>
      <c r="B39" s="331" t="s">
        <v>285</v>
      </c>
      <c r="C39" s="331"/>
      <c r="D39" s="333"/>
      <c r="E39" s="331" t="s">
        <v>286</v>
      </c>
      <c r="F39" s="363"/>
      <c r="G39" s="363"/>
      <c r="H39" s="246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6" t="n">
        <f aca="false">K39-L39</f>
        <v>4010.59913943349</v>
      </c>
      <c r="P39" s="333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3"/>
      <c r="G40" s="363"/>
      <c r="H40" s="246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6" t="n">
        <f aca="false">N38-N39</f>
        <v>-1098.91913943349</v>
      </c>
      <c r="P40" s="333"/>
    </row>
    <row r="41" customFormat="false" ht="17.35" hidden="false" customHeight="false" outlineLevel="0" collapsed="false">
      <c r="A41" s="221"/>
      <c r="B41" s="331"/>
      <c r="C41" s="331"/>
      <c r="D41" s="331"/>
      <c r="E41" s="331"/>
      <c r="F41" s="363"/>
      <c r="G41" s="363"/>
      <c r="H41" s="246"/>
      <c r="J41" s="50" t="s">
        <v>287</v>
      </c>
      <c r="K41" s="50" t="n">
        <f aca="false">K35/12</f>
        <v>0.00541666666666667</v>
      </c>
      <c r="L41" s="50"/>
      <c r="P41" s="333"/>
    </row>
    <row r="42" customFormat="false" ht="17.35" hidden="false" customHeight="false" outlineLevel="0" collapsed="false">
      <c r="A42" s="249"/>
      <c r="B42" s="250"/>
      <c r="C42" s="250"/>
      <c r="D42" s="250"/>
      <c r="E42" s="250"/>
      <c r="F42" s="250"/>
      <c r="G42" s="251"/>
      <c r="H42" s="101"/>
      <c r="J42" s="50" t="s">
        <v>288</v>
      </c>
      <c r="K42" s="50" t="n">
        <f aca="false">(K32/K36/100)*C45</f>
        <v>0</v>
      </c>
      <c r="L42" s="50"/>
      <c r="P42" s="333"/>
    </row>
    <row r="43" customFormat="false" ht="17.35" hidden="false" customHeight="false" outlineLevel="0" collapsed="false">
      <c r="A43" s="238"/>
      <c r="B43" s="239"/>
      <c r="C43" s="239"/>
      <c r="D43" s="239"/>
      <c r="E43" s="239"/>
      <c r="F43" s="239"/>
      <c r="G43" s="239"/>
      <c r="H43" s="102"/>
      <c r="J43" s="50" t="s">
        <v>289</v>
      </c>
      <c r="K43" s="50"/>
      <c r="L43" s="50"/>
      <c r="P43" s="333"/>
    </row>
    <row r="44" customFormat="false" ht="17.35" hidden="false" customHeight="false" outlineLevel="0" collapsed="false">
      <c r="A44" s="131" t="s">
        <v>203</v>
      </c>
      <c r="B44" s="331"/>
      <c r="C44" s="144" t="s">
        <v>204</v>
      </c>
      <c r="D44" s="144"/>
      <c r="E44" s="331"/>
      <c r="F44" s="331"/>
      <c r="G44" s="331"/>
      <c r="H44" s="11"/>
      <c r="J44" s="50" t="s">
        <v>290</v>
      </c>
      <c r="K44" s="50" t="n">
        <f aca="false">(K40/(1+K41)^(K36+1))</f>
        <v>18764.9097705681</v>
      </c>
      <c r="L44" s="50"/>
      <c r="P44" s="333"/>
    </row>
    <row r="45" customFormat="false" ht="17.35" hidden="false" customHeight="false" outlineLevel="0" collapsed="false">
      <c r="A45" s="371" t="s">
        <v>291</v>
      </c>
      <c r="B45" s="331"/>
      <c r="C45" s="372" t="s">
        <v>291</v>
      </c>
      <c r="D45" s="372"/>
      <c r="E45" s="372"/>
      <c r="F45" s="331"/>
      <c r="G45" s="331"/>
      <c r="H45" s="11"/>
      <c r="J45" s="50" t="s">
        <v>292</v>
      </c>
      <c r="K45" s="50" t="n">
        <f aca="false">(K39-K44)</f>
        <v>30112.5902294319</v>
      </c>
      <c r="L45" s="50"/>
      <c r="P45" s="333"/>
    </row>
    <row r="46" customFormat="false" ht="17.35" hidden="false" customHeight="false" outlineLevel="0" collapsed="false">
      <c r="A46" s="249"/>
      <c r="B46" s="250"/>
      <c r="C46" s="250"/>
      <c r="D46" s="250"/>
      <c r="E46" s="250"/>
      <c r="F46" s="250"/>
      <c r="G46" s="250"/>
      <c r="H46" s="84"/>
      <c r="J46" s="50" t="s">
        <v>293</v>
      </c>
      <c r="K46" s="50" t="n">
        <f aca="false">((1-(1/((1+K41)^K36)))/K41)</f>
        <v>32.627488862498</v>
      </c>
      <c r="L46" s="50"/>
      <c r="P46" s="333"/>
    </row>
    <row r="47" customFormat="false" ht="17.35" hidden="false" customHeight="false" outlineLevel="0" collapsed="false">
      <c r="A47" s="238"/>
      <c r="B47" s="239"/>
      <c r="C47" s="239"/>
      <c r="D47" s="239"/>
      <c r="E47" s="239"/>
      <c r="F47" s="239"/>
      <c r="G47" s="239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6" t="n">
        <f aca="false">K47-L47</f>
        <v>122.920864561025</v>
      </c>
      <c r="P47" s="333"/>
    </row>
    <row r="48" customFormat="false" ht="31.8" hidden="false" customHeight="false" outlineLevel="0" collapsed="false">
      <c r="A48" s="254" t="s">
        <v>205</v>
      </c>
      <c r="B48" s="331"/>
      <c r="C48" s="331"/>
      <c r="D48" s="255"/>
      <c r="E48" s="255"/>
      <c r="F48" s="255"/>
      <c r="G48" s="255"/>
      <c r="H48" s="256"/>
      <c r="J48" s="63" t="s">
        <v>295</v>
      </c>
      <c r="K48" s="50" t="n">
        <f aca="false">IF(B26="YES", K47+K42, K47)</f>
        <v>922.920864561026</v>
      </c>
      <c r="L48" s="50"/>
      <c r="P48" s="333"/>
    </row>
    <row r="49" customFormat="false" ht="17.35" hidden="false" customHeight="false" outlineLevel="0" collapsed="false">
      <c r="A49" s="221"/>
      <c r="B49" s="257"/>
      <c r="C49" s="257"/>
      <c r="D49" s="331"/>
      <c r="E49" s="331"/>
      <c r="F49" s="331"/>
      <c r="G49" s="331"/>
      <c r="H49" s="11"/>
      <c r="J49" s="50" t="s">
        <v>296</v>
      </c>
      <c r="K49" s="50"/>
      <c r="L49" s="50" t="n">
        <v>800</v>
      </c>
      <c r="P49" s="333"/>
    </row>
    <row r="50" customFormat="false" ht="19.7" hidden="false" customHeight="false" outlineLevel="0" collapsed="false">
      <c r="A50" s="326" t="s">
        <v>81</v>
      </c>
      <c r="B50" s="259" t="s">
        <v>82</v>
      </c>
      <c r="C50" s="259"/>
      <c r="D50" s="259"/>
      <c r="E50" s="331"/>
      <c r="F50" s="331"/>
      <c r="G50" s="331"/>
      <c r="H50" s="11"/>
      <c r="I50" s="50"/>
      <c r="J50" s="50"/>
      <c r="K50" s="50"/>
      <c r="P50" s="333"/>
    </row>
    <row r="51" customFormat="false" ht="19.5" hidden="false" customHeight="true" outlineLevel="0" collapsed="false">
      <c r="A51" s="326"/>
      <c r="B51" s="260" t="n">
        <f aca="false">K30</f>
        <v>10000</v>
      </c>
      <c r="C51" s="260"/>
      <c r="D51" s="260"/>
      <c r="E51" s="331"/>
      <c r="F51" s="331"/>
      <c r="G51" s="331"/>
      <c r="H51" s="11"/>
      <c r="I51" s="50"/>
      <c r="J51" s="50"/>
      <c r="K51" s="50"/>
      <c r="P51" s="333"/>
    </row>
    <row r="52" customFormat="false" ht="17.35" hidden="false" customHeight="false" outlineLevel="0" collapsed="false">
      <c r="A52" s="261" t="n">
        <f aca="false">K29</f>
        <v>36</v>
      </c>
      <c r="B52" s="75" t="n">
        <f aca="false">K48</f>
        <v>922.920864561026</v>
      </c>
      <c r="C52" s="75"/>
      <c r="D52" s="75"/>
      <c r="E52" s="331"/>
      <c r="F52" s="331"/>
      <c r="G52" s="331"/>
      <c r="H52" s="11"/>
      <c r="I52" s="50"/>
      <c r="J52" s="50"/>
      <c r="K52" s="50"/>
      <c r="P52" s="333"/>
    </row>
    <row r="53" customFormat="false" ht="17.35" hidden="false" customHeight="false" outlineLevel="0" collapsed="false">
      <c r="A53" s="221"/>
      <c r="B53" s="331"/>
      <c r="C53" s="331"/>
      <c r="D53" s="331"/>
      <c r="E53" s="331"/>
      <c r="F53" s="331"/>
      <c r="G53" s="331"/>
      <c r="H53" s="11"/>
      <c r="I53" s="50"/>
      <c r="J53" s="50"/>
      <c r="K53" s="50"/>
      <c r="P53" s="333"/>
    </row>
    <row r="54" customFormat="false" ht="17.35" hidden="false" customHeight="false" outlineLevel="0" collapsed="false">
      <c r="A54" s="249"/>
      <c r="B54" s="250"/>
      <c r="C54" s="250"/>
      <c r="D54" s="250"/>
      <c r="E54" s="250"/>
      <c r="F54" s="250"/>
      <c r="G54" s="250"/>
      <c r="H54" s="84"/>
      <c r="I54" s="50"/>
      <c r="J54" s="50"/>
      <c r="K54" s="50"/>
      <c r="P54" s="333"/>
    </row>
    <row r="55" customFormat="false" ht="17.35" hidden="false" customHeight="false" outlineLevel="0" collapsed="false">
      <c r="A55" s="236"/>
      <c r="B55" s="236"/>
      <c r="C55" s="236"/>
      <c r="D55" s="236"/>
      <c r="E55" s="236"/>
      <c r="F55" s="236"/>
      <c r="G55" s="236"/>
      <c r="H55" s="236"/>
      <c r="J55" s="50"/>
      <c r="K55" s="50"/>
      <c r="P55" s="333"/>
    </row>
    <row r="56" customFormat="false" ht="17.35" hidden="false" customHeight="false" outlineLevel="0" collapsed="false">
      <c r="A56" s="236"/>
      <c r="B56" s="236"/>
      <c r="C56" s="236"/>
      <c r="D56" s="236"/>
      <c r="E56" s="236"/>
      <c r="F56" s="236"/>
      <c r="G56" s="236"/>
      <c r="H56" s="236"/>
      <c r="J56" s="50"/>
      <c r="K56" s="50"/>
      <c r="P56" s="333"/>
    </row>
    <row r="57" customFormat="false" ht="17.35" hidden="false" customHeight="false" outlineLevel="0" collapsed="false">
      <c r="A57" s="238"/>
      <c r="B57" s="239"/>
      <c r="C57" s="239"/>
      <c r="D57" s="239"/>
      <c r="E57" s="262"/>
      <c r="F57" s="262"/>
      <c r="G57" s="262"/>
      <c r="H57" s="102"/>
      <c r="J57" s="238"/>
      <c r="K57" s="239"/>
      <c r="L57" s="239"/>
      <c r="M57" s="239"/>
      <c r="N57" s="262"/>
      <c r="O57" s="262"/>
      <c r="P57" s="262"/>
      <c r="Q57" s="102"/>
      <c r="S57" s="238"/>
      <c r="T57" s="239"/>
      <c r="U57" s="239"/>
      <c r="V57" s="239"/>
      <c r="W57" s="262"/>
      <c r="X57" s="262"/>
      <c r="Y57" s="262"/>
      <c r="Z57" s="102"/>
      <c r="AB57" s="238"/>
      <c r="AC57" s="239"/>
      <c r="AD57" s="239"/>
      <c r="AE57" s="239"/>
      <c r="AF57" s="262"/>
      <c r="AG57" s="262"/>
      <c r="AH57" s="262"/>
      <c r="AI57" s="102"/>
    </row>
    <row r="58" customFormat="false" ht="17.35" hidden="false" customHeight="false" outlineLevel="0" collapsed="false">
      <c r="A58" s="221" t="s">
        <v>83</v>
      </c>
      <c r="B58" s="331" t="n">
        <v>1</v>
      </c>
      <c r="C58" s="331"/>
      <c r="D58" s="331"/>
      <c r="E58" s="342"/>
      <c r="F58" s="342"/>
      <c r="G58" s="342"/>
      <c r="H58" s="11"/>
      <c r="J58" s="221" t="s">
        <v>83</v>
      </c>
      <c r="K58" s="331" t="n">
        <v>1</v>
      </c>
      <c r="L58" s="331"/>
      <c r="M58" s="331"/>
      <c r="N58" s="342"/>
      <c r="O58" s="342"/>
      <c r="P58" s="342"/>
      <c r="Q58" s="11"/>
      <c r="S58" s="221" t="s">
        <v>83</v>
      </c>
      <c r="T58" s="331" t="n">
        <v>1</v>
      </c>
      <c r="U58" s="331"/>
      <c r="V58" s="331"/>
      <c r="W58" s="342"/>
      <c r="X58" s="342"/>
      <c r="Y58" s="342"/>
      <c r="Z58" s="11"/>
      <c r="AB58" s="221" t="s">
        <v>83</v>
      </c>
      <c r="AC58" s="331" t="n">
        <v>1</v>
      </c>
      <c r="AD58" s="331"/>
      <c r="AE58" s="331"/>
      <c r="AF58" s="342"/>
      <c r="AG58" s="342"/>
      <c r="AH58" s="342"/>
      <c r="AI58" s="11"/>
    </row>
    <row r="59" customFormat="false" ht="17.35" hidden="false" customHeight="false" outlineLevel="0" collapsed="false">
      <c r="A59" s="221" t="s">
        <v>84</v>
      </c>
      <c r="B59" s="331" t="n">
        <f aca="false">K29-B58</f>
        <v>35</v>
      </c>
      <c r="C59" s="331"/>
      <c r="D59" s="331"/>
      <c r="E59" s="342"/>
      <c r="F59" s="342"/>
      <c r="G59" s="342"/>
      <c r="H59" s="11"/>
      <c r="J59" s="221" t="s">
        <v>84</v>
      </c>
      <c r="K59" s="331" t="n">
        <f aca="false">K29-K58</f>
        <v>35</v>
      </c>
      <c r="L59" s="331"/>
      <c r="M59" s="331"/>
      <c r="N59" s="342"/>
      <c r="O59" s="342"/>
      <c r="P59" s="342"/>
      <c r="Q59" s="11"/>
      <c r="S59" s="221" t="s">
        <v>84</v>
      </c>
      <c r="T59" s="331" t="n">
        <f aca="false">K29-T58</f>
        <v>35</v>
      </c>
      <c r="U59" s="331"/>
      <c r="V59" s="331"/>
      <c r="W59" s="342"/>
      <c r="X59" s="342"/>
      <c r="Y59" s="342"/>
      <c r="Z59" s="11"/>
      <c r="AB59" s="221" t="s">
        <v>84</v>
      </c>
      <c r="AC59" s="331" t="n">
        <f aca="false">K29-AC58</f>
        <v>35</v>
      </c>
      <c r="AD59" s="331"/>
      <c r="AE59" s="331"/>
      <c r="AF59" s="342"/>
      <c r="AG59" s="342"/>
      <c r="AH59" s="342"/>
      <c r="AI59" s="11"/>
    </row>
    <row r="60" customFormat="false" ht="17.35" hidden="false" customHeight="false" outlineLevel="0" collapsed="false">
      <c r="A60" s="263" t="s">
        <v>206</v>
      </c>
      <c r="B60" s="88" t="n">
        <v>10</v>
      </c>
      <c r="C60" s="331"/>
      <c r="D60" s="331"/>
      <c r="E60" s="342"/>
      <c r="F60" s="342"/>
      <c r="G60" s="342"/>
      <c r="H60" s="11"/>
      <c r="J60" s="263" t="s">
        <v>206</v>
      </c>
      <c r="K60" s="88" t="n">
        <v>20</v>
      </c>
      <c r="L60" s="331"/>
      <c r="M60" s="331"/>
      <c r="N60" s="342"/>
      <c r="O60" s="342"/>
      <c r="P60" s="342"/>
      <c r="Q60" s="11"/>
      <c r="S60" s="263" t="s">
        <v>206</v>
      </c>
      <c r="T60" s="88" t="n">
        <v>10</v>
      </c>
      <c r="U60" s="331"/>
      <c r="V60" s="331"/>
      <c r="W60" s="342"/>
      <c r="X60" s="342"/>
      <c r="Y60" s="342"/>
      <c r="Z60" s="11"/>
      <c r="AB60" s="263" t="s">
        <v>206</v>
      </c>
      <c r="AC60" s="88" t="n">
        <v>10</v>
      </c>
      <c r="AD60" s="331"/>
      <c r="AE60" s="331"/>
      <c r="AF60" s="342"/>
      <c r="AG60" s="342"/>
      <c r="AH60" s="342"/>
      <c r="AI60" s="11"/>
    </row>
    <row r="61" customFormat="false" ht="17.35" hidden="false" customHeight="false" outlineLevel="0" collapsed="false">
      <c r="A61" s="221" t="s">
        <v>21</v>
      </c>
      <c r="B61" s="331" t="n">
        <f aca="false">J18</f>
        <v>57225</v>
      </c>
      <c r="C61" s="331"/>
      <c r="D61" s="331"/>
      <c r="E61" s="342"/>
      <c r="F61" s="342"/>
      <c r="G61" s="342"/>
      <c r="H61" s="11"/>
      <c r="J61" s="221" t="s">
        <v>21</v>
      </c>
      <c r="K61" s="331" t="n">
        <f aca="false">J18</f>
        <v>57225</v>
      </c>
      <c r="L61" s="331"/>
      <c r="M61" s="331"/>
      <c r="N61" s="342"/>
      <c r="O61" s="342"/>
      <c r="P61" s="342"/>
      <c r="Q61" s="11"/>
      <c r="S61" s="221" t="s">
        <v>21</v>
      </c>
      <c r="T61" s="331" t="n">
        <f aca="false">J18</f>
        <v>57225</v>
      </c>
      <c r="U61" s="331"/>
      <c r="V61" s="331"/>
      <c r="W61" s="342"/>
      <c r="X61" s="342"/>
      <c r="Y61" s="342"/>
      <c r="Z61" s="11"/>
      <c r="AB61" s="221" t="s">
        <v>21</v>
      </c>
      <c r="AC61" s="331" t="n">
        <f aca="false">J18</f>
        <v>57225</v>
      </c>
      <c r="AD61" s="331"/>
      <c r="AE61" s="331"/>
      <c r="AF61" s="342"/>
      <c r="AG61" s="342"/>
      <c r="AH61" s="342"/>
      <c r="AI61" s="11"/>
    </row>
    <row r="62" customFormat="false" ht="17.35" hidden="false" customHeight="false" outlineLevel="0" collapsed="false">
      <c r="A62" s="264" t="s">
        <v>207</v>
      </c>
      <c r="B62" s="343" t="n">
        <v>0</v>
      </c>
      <c r="C62" s="331"/>
      <c r="D62" s="331"/>
      <c r="E62" s="342"/>
      <c r="F62" s="342"/>
      <c r="G62" s="342"/>
      <c r="H62" s="11"/>
      <c r="J62" s="264" t="s">
        <v>207</v>
      </c>
      <c r="K62" s="343" t="n">
        <v>0.06</v>
      </c>
      <c r="L62" s="331"/>
      <c r="M62" s="331"/>
      <c r="N62" s="342"/>
      <c r="O62" s="342"/>
      <c r="P62" s="342"/>
      <c r="Q62" s="11"/>
      <c r="S62" s="264" t="s">
        <v>207</v>
      </c>
      <c r="T62" s="343" t="n">
        <f aca="false">IF(AND(K29&gt;= 12, K29&lt;=24), 0.0105, IF(AND(K29&gt;=48), -0.0075, 0))</f>
        <v>0</v>
      </c>
      <c r="U62" s="331"/>
      <c r="V62" s="331"/>
      <c r="W62" s="342"/>
      <c r="X62" s="342"/>
      <c r="Y62" s="342"/>
      <c r="Z62" s="11"/>
      <c r="AB62" s="264" t="s">
        <v>207</v>
      </c>
      <c r="AC62" s="343" t="n">
        <f aca="false">IF(AND(K29&gt;= 12, K29&lt;=24), 0.0105, IF(AND(K29&gt;=48), -0.0075, 0))</f>
        <v>0</v>
      </c>
      <c r="AD62" s="331"/>
      <c r="AE62" s="331"/>
      <c r="AF62" s="342"/>
      <c r="AG62" s="342"/>
      <c r="AH62" s="342"/>
      <c r="AI62" s="11"/>
    </row>
    <row r="63" customFormat="false" ht="17.35" hidden="false" customHeight="false" outlineLevel="0" collapsed="false">
      <c r="A63" s="218" t="s">
        <v>208</v>
      </c>
      <c r="B63" s="345" t="n">
        <v>0.065</v>
      </c>
      <c r="C63" s="331"/>
      <c r="D63" s="331"/>
      <c r="E63" s="342"/>
      <c r="F63" s="342"/>
      <c r="G63" s="342"/>
      <c r="H63" s="11"/>
      <c r="J63" s="218" t="s">
        <v>208</v>
      </c>
      <c r="K63" s="345" t="n">
        <v>0.08</v>
      </c>
      <c r="L63" s="331"/>
      <c r="M63" s="331"/>
      <c r="N63" s="342"/>
      <c r="O63" s="342"/>
      <c r="P63" s="342"/>
      <c r="Q63" s="11"/>
      <c r="S63" s="218" t="s">
        <v>208</v>
      </c>
      <c r="T63" s="345" t="n">
        <v>0.059</v>
      </c>
      <c r="U63" s="331"/>
      <c r="V63" s="331"/>
      <c r="W63" s="342"/>
      <c r="X63" s="342"/>
      <c r="Y63" s="342"/>
      <c r="Z63" s="11"/>
      <c r="AB63" s="218" t="s">
        <v>208</v>
      </c>
      <c r="AC63" s="345" t="n">
        <v>0.059</v>
      </c>
      <c r="AD63" s="331"/>
      <c r="AE63" s="331"/>
      <c r="AF63" s="342"/>
      <c r="AG63" s="342"/>
      <c r="AH63" s="342"/>
      <c r="AI63" s="11"/>
    </row>
    <row r="64" customFormat="false" ht="17.35" hidden="false" customHeight="false" outlineLevel="0" collapsed="false">
      <c r="A64" s="267" t="s">
        <v>209</v>
      </c>
      <c r="B64" s="346" t="n">
        <v>0.072</v>
      </c>
      <c r="C64" s="331"/>
      <c r="D64" s="331"/>
      <c r="E64" s="342"/>
      <c r="F64" s="342"/>
      <c r="G64" s="342"/>
      <c r="H64" s="11"/>
      <c r="J64" s="267" t="s">
        <v>209</v>
      </c>
      <c r="K64" s="346" t="n">
        <v>0.1</v>
      </c>
      <c r="L64" s="331"/>
      <c r="M64" s="331"/>
      <c r="N64" s="342"/>
      <c r="O64" s="342"/>
      <c r="P64" s="342"/>
      <c r="Q64" s="11"/>
      <c r="S64" s="267" t="s">
        <v>209</v>
      </c>
      <c r="T64" s="346" t="n">
        <f aca="false">IF(T108=AP108, 2.4%, 7.2%)</f>
        <v>0.072</v>
      </c>
      <c r="U64" s="331"/>
      <c r="V64" s="331"/>
      <c r="W64" s="342"/>
      <c r="X64" s="342"/>
      <c r="Y64" s="342"/>
      <c r="Z64" s="11"/>
      <c r="AB64" s="267" t="s">
        <v>209</v>
      </c>
      <c r="AC64" s="346" t="n">
        <f aca="false">IF(AC108=AP108, 2.4%, 7.2%)</f>
        <v>0.072</v>
      </c>
      <c r="AD64" s="331"/>
      <c r="AE64" s="331"/>
      <c r="AF64" s="342"/>
      <c r="AG64" s="342"/>
      <c r="AH64" s="342"/>
      <c r="AI64" s="11"/>
    </row>
    <row r="65" customFormat="false" ht="17.35" hidden="false" customHeight="false" outlineLevel="0" collapsed="false">
      <c r="A65" s="249" t="s">
        <v>87</v>
      </c>
      <c r="B65" s="84" t="n">
        <f aca="false">(B89*B59)-(K47*K29)</f>
        <v>15827.3446084403</v>
      </c>
      <c r="C65" s="331"/>
      <c r="D65" s="331"/>
      <c r="E65" s="342"/>
      <c r="F65" s="342"/>
      <c r="G65" s="342"/>
      <c r="H65" s="11"/>
      <c r="J65" s="249" t="s">
        <v>87</v>
      </c>
      <c r="K65" s="84" t="n">
        <f aca="false">(K89*K59)-(K47*K29)</f>
        <v>18480.8061357562</v>
      </c>
      <c r="L65" s="331"/>
      <c r="M65" s="331"/>
      <c r="N65" s="342"/>
      <c r="O65" s="342"/>
      <c r="P65" s="342"/>
      <c r="Q65" s="11"/>
      <c r="S65" s="249" t="s">
        <v>87</v>
      </c>
      <c r="T65" s="84" t="n">
        <f aca="false">(T89*T59)-(K47*K29)</f>
        <v>16061.8583918841</v>
      </c>
      <c r="U65" s="331"/>
      <c r="V65" s="331"/>
      <c r="W65" s="342"/>
      <c r="X65" s="342"/>
      <c r="Y65" s="342"/>
      <c r="Z65" s="11"/>
      <c r="AB65" s="249" t="s">
        <v>87</v>
      </c>
      <c r="AC65" s="84" t="n">
        <f aca="false">(AC89*AC59)-(K47*K29)</f>
        <v>-756.0974340266</v>
      </c>
      <c r="AD65" s="331"/>
      <c r="AE65" s="331"/>
      <c r="AF65" s="342"/>
      <c r="AG65" s="342"/>
      <c r="AH65" s="342"/>
      <c r="AI65" s="11"/>
    </row>
    <row r="66" customFormat="false" ht="17.35" hidden="false" customHeight="false" outlineLevel="0" collapsed="false">
      <c r="A66" s="264" t="s">
        <v>88</v>
      </c>
      <c r="B66" s="343" t="n">
        <v>0.005</v>
      </c>
      <c r="C66" s="331"/>
      <c r="D66" s="331"/>
      <c r="E66" s="342"/>
      <c r="F66" s="342"/>
      <c r="G66" s="342"/>
      <c r="H66" s="11"/>
      <c r="J66" s="264" t="s">
        <v>88</v>
      </c>
      <c r="K66" s="343" t="n">
        <v>0.05</v>
      </c>
      <c r="L66" s="331"/>
      <c r="M66" s="331"/>
      <c r="N66" s="342"/>
      <c r="O66" s="342"/>
      <c r="P66" s="342"/>
      <c r="Q66" s="11"/>
      <c r="S66" s="264" t="s">
        <v>88</v>
      </c>
      <c r="T66" s="343" t="n">
        <v>0.005</v>
      </c>
      <c r="U66" s="331"/>
      <c r="V66" s="331"/>
      <c r="W66" s="342"/>
      <c r="X66" s="342"/>
      <c r="Y66" s="342"/>
      <c r="Z66" s="11"/>
      <c r="AB66" s="264" t="s">
        <v>88</v>
      </c>
      <c r="AC66" s="343" t="n">
        <v>0.005</v>
      </c>
      <c r="AD66" s="331"/>
      <c r="AE66" s="331"/>
      <c r="AF66" s="342"/>
      <c r="AG66" s="342"/>
      <c r="AH66" s="342"/>
      <c r="AI66" s="11"/>
    </row>
    <row r="67" customFormat="false" ht="17.35" hidden="false" customHeight="false" outlineLevel="0" collapsed="false">
      <c r="A67" s="221" t="s">
        <v>89</v>
      </c>
      <c r="B67" s="347" t="n">
        <f aca="false">B66+(B66*0.25*(B29/12-1))</f>
        <v>0.00375</v>
      </c>
      <c r="C67" s="331"/>
      <c r="D67" s="331"/>
      <c r="E67" s="342"/>
      <c r="F67" s="342"/>
      <c r="G67" s="342"/>
      <c r="H67" s="11"/>
      <c r="J67" s="221" t="s">
        <v>89</v>
      </c>
      <c r="K67" s="347" t="n">
        <f aca="false">K66+(K66*0.25*(K29/12-1))</f>
        <v>0.075</v>
      </c>
      <c r="L67" s="331"/>
      <c r="M67" s="331"/>
      <c r="N67" s="342"/>
      <c r="O67" s="342"/>
      <c r="P67" s="342"/>
      <c r="Q67" s="11"/>
      <c r="S67" s="221" t="s">
        <v>89</v>
      </c>
      <c r="T67" s="347" t="n">
        <f aca="false">T66+(T66*0.5*(K29/12-1))</f>
        <v>0.01</v>
      </c>
      <c r="U67" s="331"/>
      <c r="V67" s="331"/>
      <c r="W67" s="342"/>
      <c r="X67" s="342"/>
      <c r="Y67" s="342"/>
      <c r="Z67" s="11"/>
      <c r="AB67" s="221" t="s">
        <v>89</v>
      </c>
      <c r="AC67" s="347" t="n">
        <f aca="false">AC66+(AC66*0.5*(K29/12-1))</f>
        <v>0.01</v>
      </c>
      <c r="AD67" s="331"/>
      <c r="AE67" s="331"/>
      <c r="AF67" s="342"/>
      <c r="AG67" s="342"/>
      <c r="AH67" s="342"/>
      <c r="AI67" s="11"/>
    </row>
    <row r="68" customFormat="false" ht="17.35" hidden="false" customHeight="false" outlineLevel="0" collapsed="false">
      <c r="A68" s="249" t="s">
        <v>90</v>
      </c>
      <c r="B68" s="84" t="n">
        <f aca="false">B61*B67</f>
        <v>214.59375</v>
      </c>
      <c r="C68" s="331"/>
      <c r="D68" s="331"/>
      <c r="E68" s="342"/>
      <c r="F68" s="342"/>
      <c r="G68" s="342"/>
      <c r="H68" s="11"/>
      <c r="J68" s="249" t="s">
        <v>90</v>
      </c>
      <c r="K68" s="84" t="n">
        <f aca="false">K61*K67</f>
        <v>4291.875</v>
      </c>
      <c r="L68" s="331"/>
      <c r="M68" s="331"/>
      <c r="N68" s="342"/>
      <c r="O68" s="342"/>
      <c r="P68" s="342"/>
      <c r="Q68" s="11"/>
      <c r="S68" s="249" t="s">
        <v>90</v>
      </c>
      <c r="T68" s="84" t="n">
        <f aca="false">T61*T67</f>
        <v>572.25</v>
      </c>
      <c r="U68" s="331"/>
      <c r="V68" s="331"/>
      <c r="W68" s="342"/>
      <c r="X68" s="342"/>
      <c r="Y68" s="342"/>
      <c r="Z68" s="11"/>
      <c r="AB68" s="249" t="s">
        <v>90</v>
      </c>
      <c r="AC68" s="84" t="n">
        <f aca="false">AH158*AC67</f>
        <v>454.68749</v>
      </c>
      <c r="AD68" s="331"/>
      <c r="AE68" s="331"/>
      <c r="AF68" s="342"/>
      <c r="AG68" s="342"/>
      <c r="AH68" s="342"/>
      <c r="AI68" s="11"/>
    </row>
    <row r="69" customFormat="false" ht="17.35" hidden="false" customHeight="false" outlineLevel="0" collapsed="false">
      <c r="A69" s="264" t="s">
        <v>91</v>
      </c>
      <c r="B69" s="343" t="n">
        <v>0</v>
      </c>
      <c r="C69" s="331"/>
      <c r="D69" s="331"/>
      <c r="E69" s="342"/>
      <c r="F69" s="342"/>
      <c r="G69" s="342"/>
      <c r="H69" s="11"/>
      <c r="J69" s="264" t="s">
        <v>91</v>
      </c>
      <c r="K69" s="343" t="n">
        <v>0</v>
      </c>
      <c r="L69" s="331"/>
      <c r="M69" s="331"/>
      <c r="N69" s="342"/>
      <c r="O69" s="342"/>
      <c r="P69" s="342"/>
      <c r="Q69" s="11"/>
      <c r="S69" s="264" t="s">
        <v>91</v>
      </c>
      <c r="T69" s="343" t="n">
        <v>0</v>
      </c>
      <c r="U69" s="331"/>
      <c r="V69" s="331"/>
      <c r="W69" s="342"/>
      <c r="X69" s="342"/>
      <c r="Y69" s="342"/>
      <c r="Z69" s="11"/>
      <c r="AB69" s="264" t="s">
        <v>91</v>
      </c>
      <c r="AC69" s="343" t="n">
        <v>0</v>
      </c>
      <c r="AD69" s="331"/>
      <c r="AE69" s="331"/>
      <c r="AF69" s="342"/>
      <c r="AG69" s="342"/>
      <c r="AH69" s="342"/>
      <c r="AI69" s="11"/>
    </row>
    <row r="70" customFormat="false" ht="17.35" hidden="false" customHeight="false" outlineLevel="0" collapsed="false">
      <c r="A70" s="218" t="s">
        <v>92</v>
      </c>
      <c r="B70" s="345" t="n">
        <v>0</v>
      </c>
      <c r="C70" s="331"/>
      <c r="D70" s="331"/>
      <c r="E70" s="342"/>
      <c r="F70" s="342"/>
      <c r="G70" s="342"/>
      <c r="H70" s="11"/>
      <c r="J70" s="218" t="s">
        <v>92</v>
      </c>
      <c r="K70" s="345" t="n">
        <v>0</v>
      </c>
      <c r="L70" s="331"/>
      <c r="M70" s="331"/>
      <c r="N70" s="342"/>
      <c r="O70" s="342"/>
      <c r="P70" s="342"/>
      <c r="Q70" s="11"/>
      <c r="S70" s="218" t="s">
        <v>92</v>
      </c>
      <c r="T70" s="345" t="n">
        <v>0</v>
      </c>
      <c r="U70" s="331"/>
      <c r="V70" s="331"/>
      <c r="W70" s="342"/>
      <c r="X70" s="342"/>
      <c r="Y70" s="342"/>
      <c r="Z70" s="11"/>
      <c r="AB70" s="218" t="s">
        <v>92</v>
      </c>
      <c r="AC70" s="345" t="n">
        <v>0</v>
      </c>
      <c r="AD70" s="331"/>
      <c r="AE70" s="331"/>
      <c r="AF70" s="342"/>
      <c r="AG70" s="342"/>
      <c r="AH70" s="342"/>
      <c r="AI70" s="11"/>
    </row>
    <row r="71" customFormat="false" ht="17.35" hidden="false" customHeight="false" outlineLevel="0" collapsed="false">
      <c r="A71" s="249" t="s">
        <v>93</v>
      </c>
      <c r="B71" s="349" t="n">
        <f aca="false">B69*(1+B70)</f>
        <v>0</v>
      </c>
      <c r="C71" s="331"/>
      <c r="D71" s="331"/>
      <c r="E71" s="342"/>
      <c r="F71" s="342"/>
      <c r="G71" s="342"/>
      <c r="H71" s="11"/>
      <c r="J71" s="249" t="s">
        <v>93</v>
      </c>
      <c r="K71" s="349" t="n">
        <f aca="false">K69*(1+K70)</f>
        <v>0</v>
      </c>
      <c r="L71" s="331"/>
      <c r="M71" s="331"/>
      <c r="N71" s="342"/>
      <c r="O71" s="342"/>
      <c r="P71" s="342"/>
      <c r="Q71" s="11"/>
      <c r="S71" s="249" t="s">
        <v>93</v>
      </c>
      <c r="T71" s="349" t="n">
        <f aca="false">T69*(1+T70)</f>
        <v>0</v>
      </c>
      <c r="U71" s="331"/>
      <c r="V71" s="331"/>
      <c r="W71" s="342"/>
      <c r="X71" s="342"/>
      <c r="Y71" s="342"/>
      <c r="Z71" s="11"/>
      <c r="AB71" s="249" t="s">
        <v>93</v>
      </c>
      <c r="AC71" s="349" t="n">
        <f aca="false">AC69*(1+AC70)</f>
        <v>0</v>
      </c>
      <c r="AD71" s="331"/>
      <c r="AE71" s="331"/>
      <c r="AF71" s="342"/>
      <c r="AG71" s="342"/>
      <c r="AH71" s="342"/>
      <c r="AI71" s="11"/>
    </row>
    <row r="72" customFormat="false" ht="17.35" hidden="false" customHeight="false" outlineLevel="0" collapsed="false">
      <c r="A72" s="264" t="s">
        <v>94</v>
      </c>
      <c r="B72" s="87" t="n">
        <v>0</v>
      </c>
      <c r="C72" s="331"/>
      <c r="D72" s="331"/>
      <c r="E72" s="342"/>
      <c r="F72" s="342"/>
      <c r="G72" s="342"/>
      <c r="H72" s="11"/>
      <c r="J72" s="264" t="s">
        <v>94</v>
      </c>
      <c r="K72" s="87" t="n">
        <v>0</v>
      </c>
      <c r="L72" s="331"/>
      <c r="M72" s="331"/>
      <c r="N72" s="342"/>
      <c r="O72" s="342"/>
      <c r="P72" s="342"/>
      <c r="Q72" s="11"/>
      <c r="S72" s="264" t="s">
        <v>94</v>
      </c>
      <c r="T72" s="87" t="n">
        <v>0</v>
      </c>
      <c r="U72" s="331"/>
      <c r="V72" s="331"/>
      <c r="W72" s="342"/>
      <c r="X72" s="342"/>
      <c r="Y72" s="342"/>
      <c r="Z72" s="11"/>
      <c r="AB72" s="264" t="s">
        <v>94</v>
      </c>
      <c r="AC72" s="87" t="n">
        <v>0</v>
      </c>
      <c r="AD72" s="331"/>
      <c r="AE72" s="331"/>
      <c r="AF72" s="342"/>
      <c r="AG72" s="342"/>
      <c r="AH72" s="342"/>
      <c r="AI72" s="11"/>
    </row>
    <row r="73" customFormat="false" ht="17.35" hidden="false" customHeight="false" outlineLevel="0" collapsed="false">
      <c r="A73" s="218" t="s">
        <v>95</v>
      </c>
      <c r="B73" s="88" t="n">
        <v>0</v>
      </c>
      <c r="C73" s="331"/>
      <c r="D73" s="331"/>
      <c r="E73" s="342"/>
      <c r="F73" s="342"/>
      <c r="G73" s="342"/>
      <c r="H73" s="11"/>
      <c r="J73" s="218" t="s">
        <v>95</v>
      </c>
      <c r="K73" s="88" t="n">
        <v>0</v>
      </c>
      <c r="L73" s="331"/>
      <c r="M73" s="331"/>
      <c r="N73" s="342"/>
      <c r="O73" s="342"/>
      <c r="P73" s="342"/>
      <c r="Q73" s="11"/>
      <c r="S73" s="218" t="s">
        <v>95</v>
      </c>
      <c r="T73" s="88" t="n">
        <v>0</v>
      </c>
      <c r="U73" s="331"/>
      <c r="V73" s="331"/>
      <c r="W73" s="342"/>
      <c r="X73" s="342"/>
      <c r="Y73" s="342"/>
      <c r="Z73" s="11"/>
      <c r="AB73" s="218" t="s">
        <v>95</v>
      </c>
      <c r="AC73" s="88" t="n">
        <v>0</v>
      </c>
      <c r="AD73" s="331"/>
      <c r="AE73" s="331"/>
      <c r="AF73" s="342"/>
      <c r="AG73" s="342"/>
      <c r="AH73" s="342"/>
      <c r="AI73" s="11"/>
    </row>
    <row r="74" customFormat="false" ht="17.35" hidden="false" customHeight="false" outlineLevel="0" collapsed="false">
      <c r="A74" s="249" t="s">
        <v>96</v>
      </c>
      <c r="B74" s="84" t="n">
        <f aca="false">B73*B29</f>
        <v>0</v>
      </c>
      <c r="C74" s="331"/>
      <c r="D74" s="331" t="n">
        <f aca="false">B74+B72</f>
        <v>0</v>
      </c>
      <c r="E74" s="342"/>
      <c r="F74" s="342"/>
      <c r="G74" s="342"/>
      <c r="H74" s="11"/>
      <c r="J74" s="249" t="s">
        <v>96</v>
      </c>
      <c r="K74" s="84" t="n">
        <f aca="false">K73*K29</f>
        <v>0</v>
      </c>
      <c r="L74" s="331"/>
      <c r="M74" s="331" t="n">
        <f aca="false">K74+K72</f>
        <v>0</v>
      </c>
      <c r="N74" s="342"/>
      <c r="O74" s="342"/>
      <c r="P74" s="342"/>
      <c r="Q74" s="11"/>
      <c r="S74" s="249" t="s">
        <v>96</v>
      </c>
      <c r="T74" s="84" t="n">
        <f aca="false">T73*K29</f>
        <v>0</v>
      </c>
      <c r="U74" s="331"/>
      <c r="V74" s="331" t="n">
        <f aca="false">T74+T72</f>
        <v>0</v>
      </c>
      <c r="W74" s="342"/>
      <c r="X74" s="342"/>
      <c r="Y74" s="342"/>
      <c r="Z74" s="11"/>
      <c r="AB74" s="249" t="s">
        <v>96</v>
      </c>
      <c r="AC74" s="84" t="n">
        <f aca="false">AC73*K29</f>
        <v>0</v>
      </c>
      <c r="AD74" s="331"/>
      <c r="AE74" s="331" t="n">
        <f aca="false">AC74+AC72</f>
        <v>0</v>
      </c>
      <c r="AF74" s="342"/>
      <c r="AG74" s="342"/>
      <c r="AH74" s="342"/>
      <c r="AI74" s="11"/>
    </row>
    <row r="75" customFormat="false" ht="17.35" hidden="false" customHeight="false" outlineLevel="0" collapsed="false">
      <c r="A75" s="218" t="s">
        <v>103</v>
      </c>
      <c r="B75" s="88" t="n">
        <v>0</v>
      </c>
      <c r="C75" s="331"/>
      <c r="D75" s="331" t="n">
        <f aca="false">B75</f>
        <v>0</v>
      </c>
      <c r="E75" s="342"/>
      <c r="F75" s="342"/>
      <c r="G75" s="342"/>
      <c r="H75" s="11"/>
      <c r="J75" s="218" t="s">
        <v>103</v>
      </c>
      <c r="K75" s="88" t="n">
        <v>0</v>
      </c>
      <c r="L75" s="331"/>
      <c r="M75" s="331" t="n">
        <f aca="false">K75</f>
        <v>0</v>
      </c>
      <c r="N75" s="342"/>
      <c r="O75" s="342"/>
      <c r="P75" s="342"/>
      <c r="Q75" s="11"/>
      <c r="S75" s="218" t="s">
        <v>103</v>
      </c>
      <c r="T75" s="88" t="n">
        <v>0</v>
      </c>
      <c r="U75" s="331"/>
      <c r="V75" s="331" t="n">
        <f aca="false">T75</f>
        <v>0</v>
      </c>
      <c r="W75" s="342"/>
      <c r="X75" s="342"/>
      <c r="Y75" s="342"/>
      <c r="Z75" s="11"/>
      <c r="AB75" s="218" t="s">
        <v>103</v>
      </c>
      <c r="AC75" s="88" t="n">
        <v>0</v>
      </c>
      <c r="AD75" s="331"/>
      <c r="AE75" s="331" t="n">
        <f aca="false">AC75</f>
        <v>0</v>
      </c>
      <c r="AF75" s="342"/>
      <c r="AG75" s="342"/>
      <c r="AH75" s="342"/>
      <c r="AI75" s="11"/>
    </row>
    <row r="76" customFormat="false" ht="17.35" hidden="false" customHeight="false" outlineLevel="0" collapsed="false">
      <c r="A76" s="267" t="s">
        <v>104</v>
      </c>
      <c r="B76" s="97" t="n">
        <v>0</v>
      </c>
      <c r="C76" s="331"/>
      <c r="D76" s="331" t="n">
        <f aca="false">B76</f>
        <v>0</v>
      </c>
      <c r="E76" s="342"/>
      <c r="F76" s="342"/>
      <c r="G76" s="342"/>
      <c r="H76" s="11"/>
      <c r="J76" s="267" t="s">
        <v>104</v>
      </c>
      <c r="K76" s="97" t="n">
        <v>0</v>
      </c>
      <c r="L76" s="331"/>
      <c r="M76" s="331" t="n">
        <f aca="false">K76</f>
        <v>0</v>
      </c>
      <c r="N76" s="342"/>
      <c r="O76" s="342"/>
      <c r="P76" s="342"/>
      <c r="Q76" s="11"/>
      <c r="S76" s="267" t="s">
        <v>104</v>
      </c>
      <c r="T76" s="97" t="n">
        <v>0</v>
      </c>
      <c r="U76" s="331"/>
      <c r="V76" s="331" t="n">
        <f aca="false">T76</f>
        <v>0</v>
      </c>
      <c r="W76" s="342"/>
      <c r="X76" s="342"/>
      <c r="Y76" s="342"/>
      <c r="Z76" s="11"/>
      <c r="AB76" s="267" t="s">
        <v>104</v>
      </c>
      <c r="AC76" s="97" t="n">
        <v>0</v>
      </c>
      <c r="AD76" s="331"/>
      <c r="AE76" s="331" t="n">
        <f aca="false">AC76</f>
        <v>0</v>
      </c>
      <c r="AF76" s="342"/>
      <c r="AG76" s="342"/>
      <c r="AH76" s="342"/>
      <c r="AI76" s="11"/>
    </row>
    <row r="77" customFormat="false" ht="17.35" hidden="false" customHeight="false" outlineLevel="0" collapsed="false">
      <c r="A77" s="271" t="s">
        <v>105</v>
      </c>
      <c r="B77" s="272" t="n">
        <f aca="false">SUM(D65:D76)</f>
        <v>0</v>
      </c>
      <c r="C77" s="331"/>
      <c r="D77" s="331"/>
      <c r="E77" s="342"/>
      <c r="F77" s="342"/>
      <c r="G77" s="342"/>
      <c r="H77" s="11"/>
      <c r="J77" s="271" t="s">
        <v>105</v>
      </c>
      <c r="K77" s="272" t="n">
        <f aca="false">SUM(M65:M76)</f>
        <v>0</v>
      </c>
      <c r="L77" s="331"/>
      <c r="M77" s="331"/>
      <c r="N77" s="342"/>
      <c r="O77" s="342"/>
      <c r="P77" s="342"/>
      <c r="Q77" s="11"/>
      <c r="S77" s="271" t="s">
        <v>105</v>
      </c>
      <c r="T77" s="272" t="n">
        <f aca="false">SUM(V65:V76)</f>
        <v>0</v>
      </c>
      <c r="U77" s="331"/>
      <c r="V77" s="331"/>
      <c r="W77" s="342"/>
      <c r="X77" s="342"/>
      <c r="Y77" s="342"/>
      <c r="Z77" s="11"/>
      <c r="AB77" s="271" t="s">
        <v>105</v>
      </c>
      <c r="AC77" s="272" t="n">
        <f aca="false">SUM(AE65:AE76)</f>
        <v>0</v>
      </c>
      <c r="AD77" s="331"/>
      <c r="AE77" s="331"/>
      <c r="AF77" s="342"/>
      <c r="AG77" s="342"/>
      <c r="AH77" s="342"/>
      <c r="AI77" s="11"/>
    </row>
    <row r="78" customFormat="false" ht="17.35" hidden="false" customHeight="false" outlineLevel="0" collapsed="false">
      <c r="A78" s="221" t="s">
        <v>106</v>
      </c>
      <c r="B78" s="11" t="n">
        <f aca="false">B77/K29</f>
        <v>0</v>
      </c>
      <c r="C78" s="331"/>
      <c r="D78" s="331"/>
      <c r="E78" s="342"/>
      <c r="F78" s="342"/>
      <c r="G78" s="342"/>
      <c r="H78" s="11"/>
      <c r="J78" s="221" t="s">
        <v>106</v>
      </c>
      <c r="K78" s="11" t="n">
        <f aca="false">K77/K29</f>
        <v>0</v>
      </c>
      <c r="L78" s="331"/>
      <c r="M78" s="331"/>
      <c r="N78" s="342"/>
      <c r="O78" s="342"/>
      <c r="P78" s="342"/>
      <c r="Q78" s="11"/>
      <c r="S78" s="221" t="s">
        <v>106</v>
      </c>
      <c r="T78" s="11" t="n">
        <f aca="false">T77/K29</f>
        <v>0</v>
      </c>
      <c r="U78" s="331"/>
      <c r="V78" s="331"/>
      <c r="W78" s="342"/>
      <c r="X78" s="342"/>
      <c r="Y78" s="342"/>
      <c r="Z78" s="11"/>
      <c r="AB78" s="221" t="s">
        <v>106</v>
      </c>
      <c r="AC78" s="11" t="n">
        <f aca="false">AC77/K29</f>
        <v>0</v>
      </c>
      <c r="AD78" s="331"/>
      <c r="AE78" s="331"/>
      <c r="AF78" s="342"/>
      <c r="AG78" s="342"/>
      <c r="AH78" s="342"/>
      <c r="AI78" s="11"/>
    </row>
    <row r="79" customFormat="false" ht="17.35" hidden="false" customHeight="false" outlineLevel="0" collapsed="false">
      <c r="A79" s="273" t="s">
        <v>107</v>
      </c>
      <c r="B79" s="101" t="n">
        <f aca="false">K47</f>
        <v>922.920864561026</v>
      </c>
      <c r="C79" s="331"/>
      <c r="D79" s="331"/>
      <c r="E79" s="342"/>
      <c r="F79" s="342"/>
      <c r="G79" s="342"/>
      <c r="H79" s="11"/>
      <c r="J79" s="273" t="s">
        <v>107</v>
      </c>
      <c r="K79" s="101" t="n">
        <f aca="false">K47</f>
        <v>922.920864561026</v>
      </c>
      <c r="L79" s="331"/>
      <c r="M79" s="331"/>
      <c r="N79" s="342"/>
      <c r="O79" s="342"/>
      <c r="P79" s="342"/>
      <c r="Q79" s="11"/>
      <c r="S79" s="273" t="s">
        <v>107</v>
      </c>
      <c r="T79" s="101" t="n">
        <f aca="false">B52</f>
        <v>922.920864561026</v>
      </c>
      <c r="U79" s="331"/>
      <c r="V79" s="331"/>
      <c r="W79" s="342"/>
      <c r="X79" s="342"/>
      <c r="Y79" s="342"/>
      <c r="Z79" s="11"/>
      <c r="AB79" s="273" t="s">
        <v>107</v>
      </c>
      <c r="AC79" s="101" t="n">
        <f aca="false">B52</f>
        <v>922.920864561026</v>
      </c>
      <c r="AD79" s="331"/>
      <c r="AE79" s="331"/>
      <c r="AF79" s="342"/>
      <c r="AG79" s="342"/>
      <c r="AH79" s="342"/>
      <c r="AI79" s="11"/>
    </row>
    <row r="80" customFormat="false" ht="17.35" hidden="false" customHeight="false" outlineLevel="0" collapsed="false">
      <c r="A80" s="221"/>
      <c r="B80" s="331"/>
      <c r="C80" s="331"/>
      <c r="D80" s="331"/>
      <c r="E80" s="342"/>
      <c r="F80" s="342"/>
      <c r="G80" s="342"/>
      <c r="H80" s="11"/>
      <c r="J80" s="221"/>
      <c r="K80" s="331"/>
      <c r="L80" s="331"/>
      <c r="M80" s="331"/>
      <c r="N80" s="342"/>
      <c r="O80" s="342"/>
      <c r="P80" s="342"/>
      <c r="Q80" s="11"/>
      <c r="S80" s="221"/>
      <c r="T80" s="331"/>
      <c r="U80" s="331"/>
      <c r="V80" s="331"/>
      <c r="W80" s="342"/>
      <c r="X80" s="342"/>
      <c r="Y80" s="342"/>
      <c r="Z80" s="11"/>
      <c r="AB80" s="221"/>
      <c r="AC80" s="331"/>
      <c r="AD80" s="331"/>
      <c r="AE80" s="331"/>
      <c r="AF80" s="342"/>
      <c r="AG80" s="342"/>
      <c r="AH80" s="342"/>
      <c r="AI80" s="11"/>
    </row>
    <row r="81" customFormat="false" ht="17.35" hidden="false" customHeight="false" outlineLevel="0" collapsed="false">
      <c r="A81" s="238" t="s">
        <v>210</v>
      </c>
      <c r="B81" s="102" t="n">
        <f aca="false">G158</f>
        <v>58525</v>
      </c>
      <c r="C81" s="331"/>
      <c r="D81" s="331"/>
      <c r="E81" s="342"/>
      <c r="F81" s="342"/>
      <c r="G81" s="342"/>
      <c r="H81" s="11"/>
      <c r="J81" s="238" t="s">
        <v>210</v>
      </c>
      <c r="K81" s="102" t="n">
        <f aca="false">P158</f>
        <v>37655</v>
      </c>
      <c r="L81" s="331"/>
      <c r="M81" s="331"/>
      <c r="N81" s="342"/>
      <c r="O81" s="342"/>
      <c r="P81" s="342"/>
      <c r="Q81" s="11"/>
      <c r="S81" s="238" t="s">
        <v>210</v>
      </c>
      <c r="T81" s="102" t="n">
        <f aca="false">Y158</f>
        <v>59384.43749</v>
      </c>
      <c r="U81" s="331"/>
      <c r="V81" s="331"/>
      <c r="W81" s="342"/>
      <c r="X81" s="342"/>
      <c r="Y81" s="342"/>
      <c r="Z81" s="11"/>
      <c r="AB81" s="238" t="s">
        <v>210</v>
      </c>
      <c r="AC81" s="102" t="n">
        <f aca="false">AH158</f>
        <v>45468.749</v>
      </c>
      <c r="AD81" s="331"/>
      <c r="AE81" s="331"/>
      <c r="AF81" s="342"/>
      <c r="AG81" s="342"/>
      <c r="AH81" s="342"/>
      <c r="AI81" s="11"/>
    </row>
    <row r="82" customFormat="false" ht="17.35" hidden="false" customHeight="false" outlineLevel="0" collapsed="false">
      <c r="A82" s="221" t="s">
        <v>211</v>
      </c>
      <c r="B82" s="11" t="n">
        <f aca="false">A40</f>
        <v>27500</v>
      </c>
      <c r="C82" s="331"/>
      <c r="D82" s="331"/>
      <c r="E82" s="342"/>
      <c r="F82" s="342"/>
      <c r="G82" s="342"/>
      <c r="H82" s="11"/>
      <c r="J82" s="221" t="s">
        <v>211</v>
      </c>
      <c r="K82" s="11" t="n">
        <f aca="false">IF(J111 = "YES", A40, 0)</f>
        <v>0</v>
      </c>
      <c r="L82" s="331"/>
      <c r="M82" s="331"/>
      <c r="N82" s="342"/>
      <c r="O82" s="342"/>
      <c r="P82" s="342"/>
      <c r="Q82" s="11"/>
      <c r="S82" s="221" t="s">
        <v>211</v>
      </c>
      <c r="T82" s="11" t="n">
        <f aca="false">A40</f>
        <v>27500</v>
      </c>
      <c r="U82" s="331"/>
      <c r="V82" s="331"/>
      <c r="W82" s="342"/>
      <c r="X82" s="342"/>
      <c r="Y82" s="342"/>
      <c r="Z82" s="11"/>
      <c r="AB82" s="221" t="s">
        <v>211</v>
      </c>
      <c r="AC82" s="11" t="n">
        <f aca="false">A40</f>
        <v>27500</v>
      </c>
      <c r="AD82" s="331"/>
      <c r="AE82" s="331"/>
      <c r="AF82" s="342"/>
      <c r="AG82" s="342"/>
      <c r="AH82" s="342"/>
      <c r="AI82" s="11"/>
    </row>
    <row r="83" customFormat="false" ht="17.35" hidden="false" customHeight="false" outlineLevel="0" collapsed="false">
      <c r="A83" s="221" t="s">
        <v>212</v>
      </c>
      <c r="B83" s="347" t="n">
        <f aca="false">B62+B63+B64</f>
        <v>0.137</v>
      </c>
      <c r="C83" s="331"/>
      <c r="D83" s="331"/>
      <c r="E83" s="342"/>
      <c r="F83" s="342"/>
      <c r="G83" s="342"/>
      <c r="H83" s="11"/>
      <c r="J83" s="221" t="s">
        <v>212</v>
      </c>
      <c r="K83" s="347" t="n">
        <f aca="false">K62+K63+K64</f>
        <v>0.24</v>
      </c>
      <c r="L83" s="331"/>
      <c r="M83" s="331"/>
      <c r="N83" s="342"/>
      <c r="O83" s="342"/>
      <c r="P83" s="342"/>
      <c r="Q83" s="11"/>
      <c r="S83" s="221" t="s">
        <v>212</v>
      </c>
      <c r="T83" s="347" t="n">
        <f aca="false">T62+T63+T64</f>
        <v>0.131</v>
      </c>
      <c r="U83" s="331"/>
      <c r="V83" s="331"/>
      <c r="W83" s="342"/>
      <c r="X83" s="342"/>
      <c r="Y83" s="342"/>
      <c r="Z83" s="11"/>
      <c r="AB83" s="221" t="s">
        <v>212</v>
      </c>
      <c r="AC83" s="347" t="n">
        <f aca="false">AC62+AC63+AC64</f>
        <v>0.131</v>
      </c>
      <c r="AD83" s="331"/>
      <c r="AE83" s="331"/>
      <c r="AF83" s="342"/>
      <c r="AG83" s="342"/>
      <c r="AH83" s="342"/>
      <c r="AI83" s="11"/>
    </row>
    <row r="84" customFormat="false" ht="17.35" hidden="false" customHeight="false" outlineLevel="0" collapsed="false">
      <c r="A84" s="221" t="s">
        <v>213</v>
      </c>
      <c r="B84" s="347" t="n">
        <f aca="false">B83/12</f>
        <v>0.0114166666666667</v>
      </c>
      <c r="C84" s="331"/>
      <c r="D84" s="331"/>
      <c r="E84" s="342"/>
      <c r="F84" s="342"/>
      <c r="G84" s="342"/>
      <c r="H84" s="11"/>
      <c r="J84" s="221" t="s">
        <v>213</v>
      </c>
      <c r="K84" s="347" t="n">
        <f aca="false">K83/12</f>
        <v>0.02</v>
      </c>
      <c r="L84" s="331"/>
      <c r="M84" s="331"/>
      <c r="N84" s="342"/>
      <c r="O84" s="342"/>
      <c r="P84" s="342"/>
      <c r="Q84" s="11"/>
      <c r="S84" s="221" t="s">
        <v>213</v>
      </c>
      <c r="T84" s="347" t="n">
        <f aca="false">T83/12</f>
        <v>0.0109166666666667</v>
      </c>
      <c r="U84" s="331"/>
      <c r="V84" s="331"/>
      <c r="W84" s="342"/>
      <c r="X84" s="342"/>
      <c r="Y84" s="342"/>
      <c r="Z84" s="11"/>
      <c r="AB84" s="221" t="s">
        <v>213</v>
      </c>
      <c r="AC84" s="347" t="n">
        <f aca="false">AC83/12</f>
        <v>0.0109166666666667</v>
      </c>
      <c r="AD84" s="331"/>
      <c r="AE84" s="331"/>
      <c r="AF84" s="342"/>
      <c r="AG84" s="342"/>
      <c r="AH84" s="342"/>
      <c r="AI84" s="11"/>
    </row>
    <row r="85" customFormat="false" ht="17.35" hidden="false" customHeight="false" outlineLevel="0" collapsed="false">
      <c r="A85" s="221" t="s">
        <v>214</v>
      </c>
      <c r="B85" s="11" t="n">
        <f aca="false">IF(B82=0, (B59+B58), (B59))</f>
        <v>35</v>
      </c>
      <c r="C85" s="331"/>
      <c r="D85" s="331"/>
      <c r="E85" s="342"/>
      <c r="F85" s="342"/>
      <c r="G85" s="342"/>
      <c r="H85" s="11"/>
      <c r="J85" s="221" t="s">
        <v>214</v>
      </c>
      <c r="K85" s="11" t="n">
        <f aca="false">IF(K82=0, (K59+K58), (K59))</f>
        <v>36</v>
      </c>
      <c r="L85" s="331"/>
      <c r="M85" s="331"/>
      <c r="N85" s="342"/>
      <c r="O85" s="342"/>
      <c r="P85" s="342"/>
      <c r="Q85" s="11"/>
      <c r="S85" s="221" t="s">
        <v>214</v>
      </c>
      <c r="T85" s="11" t="n">
        <f aca="false">T59</f>
        <v>35</v>
      </c>
      <c r="U85" s="331"/>
      <c r="V85" s="331"/>
      <c r="W85" s="342"/>
      <c r="X85" s="342"/>
      <c r="Y85" s="342"/>
      <c r="Z85" s="11"/>
      <c r="AB85" s="221" t="s">
        <v>214</v>
      </c>
      <c r="AC85" s="11" t="n">
        <f aca="false">AC59</f>
        <v>35</v>
      </c>
      <c r="AD85" s="331"/>
      <c r="AE85" s="331"/>
      <c r="AF85" s="342"/>
      <c r="AG85" s="342"/>
      <c r="AH85" s="342"/>
      <c r="AI85" s="11"/>
    </row>
    <row r="86" customFormat="false" ht="17.35" hidden="false" customHeight="false" outlineLevel="0" collapsed="false">
      <c r="A86" s="221" t="s">
        <v>215</v>
      </c>
      <c r="B86" s="11" t="n">
        <f aca="false">(B82/((1+B84)^(B85+1)))</f>
        <v>18274.642159497</v>
      </c>
      <c r="C86" s="331"/>
      <c r="D86" s="331"/>
      <c r="E86" s="342"/>
      <c r="F86" s="342"/>
      <c r="G86" s="342"/>
      <c r="H86" s="11"/>
      <c r="J86" s="221" t="s">
        <v>215</v>
      </c>
      <c r="K86" s="11" t="n">
        <f aca="false">(K82/((1+K84)^(K85+1)))</f>
        <v>0</v>
      </c>
      <c r="L86" s="331"/>
      <c r="M86" s="331"/>
      <c r="N86" s="342"/>
      <c r="O86" s="342"/>
      <c r="P86" s="342"/>
      <c r="Q86" s="11"/>
      <c r="S86" s="221" t="s">
        <v>215</v>
      </c>
      <c r="T86" s="11" t="n">
        <f aca="false">(T82/((1+T84)^(T85+1)))</f>
        <v>18602.8658097623</v>
      </c>
      <c r="U86" s="331"/>
      <c r="V86" s="331"/>
      <c r="W86" s="342"/>
      <c r="X86" s="342"/>
      <c r="Y86" s="342"/>
      <c r="Z86" s="11"/>
      <c r="AB86" s="221" t="s">
        <v>215</v>
      </c>
      <c r="AC86" s="11" t="n">
        <f aca="false">(AC82/((1+AC84)^(AC85+1)))</f>
        <v>18602.8658097623</v>
      </c>
      <c r="AD86" s="331"/>
      <c r="AE86" s="331"/>
      <c r="AF86" s="342"/>
      <c r="AG86" s="342"/>
      <c r="AH86" s="342"/>
      <c r="AI86" s="11"/>
    </row>
    <row r="87" customFormat="false" ht="17.35" hidden="false" customHeight="false" outlineLevel="0" collapsed="false">
      <c r="A87" s="221" t="s">
        <v>216</v>
      </c>
      <c r="B87" s="11" t="n">
        <f aca="false">((1-(1/((1+B84)^B85)))/B84)</f>
        <v>28.719487222345</v>
      </c>
      <c r="C87" s="331"/>
      <c r="D87" s="331"/>
      <c r="E87" s="342"/>
      <c r="F87" s="342"/>
      <c r="G87" s="342"/>
      <c r="H87" s="11"/>
      <c r="J87" s="221" t="s">
        <v>216</v>
      </c>
      <c r="K87" s="11" t="n">
        <f aca="false">((1-(1/((1+K84)^K85)))/K84)</f>
        <v>25.4888424823874</v>
      </c>
      <c r="L87" s="331"/>
      <c r="M87" s="331"/>
      <c r="N87" s="342"/>
      <c r="O87" s="342"/>
      <c r="P87" s="342"/>
      <c r="Q87" s="11"/>
      <c r="S87" s="221" t="s">
        <v>216</v>
      </c>
      <c r="T87" s="11" t="n">
        <f aca="false">((1-(1/((1+T84)^T85)))/T84)</f>
        <v>28.9600651941078</v>
      </c>
      <c r="U87" s="331"/>
      <c r="V87" s="331"/>
      <c r="W87" s="342"/>
      <c r="X87" s="342"/>
      <c r="Y87" s="342"/>
      <c r="Z87" s="11"/>
      <c r="AB87" s="221" t="s">
        <v>216</v>
      </c>
      <c r="AC87" s="11" t="n">
        <f aca="false">((1-(1/((1+AC84)^AC85)))/AC84)</f>
        <v>28.9600651941078</v>
      </c>
      <c r="AD87" s="331"/>
      <c r="AE87" s="331"/>
      <c r="AF87" s="342"/>
      <c r="AG87" s="342"/>
      <c r="AH87" s="342"/>
      <c r="AI87" s="11"/>
    </row>
    <row r="88" customFormat="false" ht="17.35" hidden="false" customHeight="false" outlineLevel="0" collapsed="false">
      <c r="A88" s="221" t="s">
        <v>217</v>
      </c>
      <c r="B88" s="11" t="n">
        <f aca="false">B81-B86</f>
        <v>40250.357840503</v>
      </c>
      <c r="C88" s="331"/>
      <c r="D88" s="331"/>
      <c r="E88" s="342"/>
      <c r="F88" s="342"/>
      <c r="G88" s="342"/>
      <c r="H88" s="11"/>
      <c r="J88" s="221" t="s">
        <v>217</v>
      </c>
      <c r="K88" s="11" t="n">
        <f aca="false">K81-K86</f>
        <v>37655</v>
      </c>
      <c r="L88" s="331"/>
      <c r="M88" s="331"/>
      <c r="N88" s="342"/>
      <c r="O88" s="342"/>
      <c r="P88" s="342"/>
      <c r="Q88" s="11"/>
      <c r="S88" s="221" t="s">
        <v>217</v>
      </c>
      <c r="T88" s="11" t="n">
        <f aca="false">T81-T86</f>
        <v>40781.5716802377</v>
      </c>
      <c r="U88" s="331"/>
      <c r="V88" s="331"/>
      <c r="W88" s="342"/>
      <c r="X88" s="342"/>
      <c r="Y88" s="342"/>
      <c r="Z88" s="11"/>
      <c r="AB88" s="221" t="s">
        <v>217</v>
      </c>
      <c r="AC88" s="11" t="n">
        <f aca="false">AC81-AC86</f>
        <v>26865.8831902377</v>
      </c>
      <c r="AD88" s="331"/>
      <c r="AE88" s="331"/>
      <c r="AF88" s="342"/>
      <c r="AG88" s="342"/>
      <c r="AH88" s="342"/>
      <c r="AI88" s="11"/>
    </row>
    <row r="89" customFormat="false" ht="17.35" hidden="false" customHeight="false" outlineLevel="0" collapsed="false">
      <c r="A89" s="221" t="s">
        <v>218</v>
      </c>
      <c r="B89" s="11" t="n">
        <f aca="false">(B88/B87)</f>
        <v>1401.49987807535</v>
      </c>
      <c r="C89" s="331"/>
      <c r="D89" s="331"/>
      <c r="E89" s="342"/>
      <c r="F89" s="342"/>
      <c r="G89" s="342"/>
      <c r="H89" s="11"/>
      <c r="J89" s="221" t="s">
        <v>218</v>
      </c>
      <c r="K89" s="11" t="n">
        <f aca="false">(K88/K87)</f>
        <v>1477.31306457009</v>
      </c>
      <c r="L89" s="331"/>
      <c r="M89" s="331"/>
      <c r="N89" s="342"/>
      <c r="O89" s="342"/>
      <c r="P89" s="342"/>
      <c r="Q89" s="11"/>
      <c r="S89" s="221" t="s">
        <v>218</v>
      </c>
      <c r="T89" s="11" t="n">
        <f aca="false">(T88/T87)</f>
        <v>1408.20027188803</v>
      </c>
      <c r="U89" s="331"/>
      <c r="V89" s="331"/>
      <c r="W89" s="342"/>
      <c r="X89" s="342"/>
      <c r="Y89" s="342"/>
      <c r="Z89" s="11"/>
      <c r="AB89" s="221" t="s">
        <v>218</v>
      </c>
      <c r="AC89" s="11" t="n">
        <f aca="false">(AC88/AC87)</f>
        <v>927.687248290581</v>
      </c>
      <c r="AD89" s="331"/>
      <c r="AE89" s="331"/>
      <c r="AF89" s="342"/>
      <c r="AG89" s="342"/>
      <c r="AH89" s="342"/>
      <c r="AI89" s="11"/>
    </row>
    <row r="90" customFormat="false" ht="17.35" hidden="false" customHeight="false" outlineLevel="0" collapsed="false">
      <c r="A90" s="221" t="s">
        <v>108</v>
      </c>
      <c r="B90" s="11" t="n">
        <f aca="false">((B89*(B85))+B77)</f>
        <v>49052.4957326372</v>
      </c>
      <c r="C90" s="331"/>
      <c r="D90" s="331"/>
      <c r="E90" s="342"/>
      <c r="F90" s="342"/>
      <c r="G90" s="342"/>
      <c r="H90" s="11"/>
      <c r="J90" s="221" t="s">
        <v>108</v>
      </c>
      <c r="K90" s="11" t="n">
        <f aca="false">((K89*(K85))+K77)</f>
        <v>53183.2703245232</v>
      </c>
      <c r="L90" s="331"/>
      <c r="M90" s="331"/>
      <c r="N90" s="342"/>
      <c r="O90" s="342"/>
      <c r="P90" s="342"/>
      <c r="Q90" s="11"/>
      <c r="S90" s="221" t="s">
        <v>108</v>
      </c>
      <c r="T90" s="11" t="n">
        <f aca="false">(T89*(T85))+T77</f>
        <v>49287.009516081</v>
      </c>
      <c r="U90" s="331"/>
      <c r="V90" s="331"/>
      <c r="W90" s="342"/>
      <c r="X90" s="342"/>
      <c r="Y90" s="342"/>
      <c r="Z90" s="11"/>
      <c r="AB90" s="221" t="s">
        <v>108</v>
      </c>
      <c r="AC90" s="11" t="n">
        <f aca="false">(AC89*(AC59))+AC77</f>
        <v>32469.0536901703</v>
      </c>
      <c r="AD90" s="331"/>
      <c r="AE90" s="331"/>
      <c r="AF90" s="342"/>
      <c r="AG90" s="342"/>
      <c r="AH90" s="342"/>
      <c r="AI90" s="11"/>
    </row>
    <row r="91" customFormat="false" ht="17.35" hidden="false" customHeight="false" outlineLevel="0" collapsed="false">
      <c r="A91" s="221" t="s">
        <v>109</v>
      </c>
      <c r="B91" s="11" t="n">
        <f aca="false">(B90/(1-B71))*B71</f>
        <v>0</v>
      </c>
      <c r="C91" s="331"/>
      <c r="D91" s="331"/>
      <c r="E91" s="342"/>
      <c r="F91" s="342"/>
      <c r="G91" s="342"/>
      <c r="H91" s="11"/>
      <c r="J91" s="221" t="s">
        <v>109</v>
      </c>
      <c r="K91" s="11" t="n">
        <f aca="false">(K90/(1-K71))*K71</f>
        <v>0</v>
      </c>
      <c r="L91" s="331"/>
      <c r="M91" s="331"/>
      <c r="N91" s="342"/>
      <c r="O91" s="342"/>
      <c r="P91" s="342"/>
      <c r="Q91" s="11"/>
      <c r="S91" s="221" t="s">
        <v>109</v>
      </c>
      <c r="T91" s="11" t="n">
        <f aca="false">(T90/(1-T71))*T71</f>
        <v>0</v>
      </c>
      <c r="U91" s="331"/>
      <c r="V91" s="331"/>
      <c r="W91" s="342"/>
      <c r="X91" s="342"/>
      <c r="Y91" s="342"/>
      <c r="Z91" s="11"/>
      <c r="AB91" s="221" t="s">
        <v>109</v>
      </c>
      <c r="AC91" s="11" t="n">
        <f aca="false">(AC90/(1-AC71))*AC71</f>
        <v>0</v>
      </c>
      <c r="AD91" s="331"/>
      <c r="AE91" s="331"/>
      <c r="AF91" s="342"/>
      <c r="AG91" s="342"/>
      <c r="AH91" s="342"/>
      <c r="AI91" s="11"/>
    </row>
    <row r="92" customFormat="false" ht="17.35" hidden="false" customHeight="false" outlineLevel="0" collapsed="false">
      <c r="A92" s="249" t="s">
        <v>110</v>
      </c>
      <c r="B92" s="84" t="n">
        <f aca="false">(B90+B91)</f>
        <v>49052.4957326372</v>
      </c>
      <c r="C92" s="331"/>
      <c r="D92" s="331"/>
      <c r="E92" s="342"/>
      <c r="F92" s="342"/>
      <c r="G92" s="342"/>
      <c r="H92" s="11"/>
      <c r="J92" s="249" t="s">
        <v>110</v>
      </c>
      <c r="K92" s="84" t="n">
        <f aca="false">(K90+K91)</f>
        <v>53183.2703245232</v>
      </c>
      <c r="L92" s="331"/>
      <c r="M92" s="331"/>
      <c r="N92" s="342"/>
      <c r="O92" s="342"/>
      <c r="P92" s="342"/>
      <c r="Q92" s="11"/>
      <c r="S92" s="249" t="s">
        <v>110</v>
      </c>
      <c r="T92" s="84" t="n">
        <f aca="false">(T90+T91)</f>
        <v>49287.009516081</v>
      </c>
      <c r="U92" s="331"/>
      <c r="V92" s="331"/>
      <c r="W92" s="342"/>
      <c r="X92" s="342"/>
      <c r="Y92" s="342"/>
      <c r="Z92" s="11"/>
      <c r="AB92" s="249" t="s">
        <v>110</v>
      </c>
      <c r="AC92" s="84" t="n">
        <f aca="false">(AC90+AC91)</f>
        <v>32469.0536901703</v>
      </c>
      <c r="AD92" s="331"/>
      <c r="AE92" s="331"/>
      <c r="AF92" s="342"/>
      <c r="AG92" s="342"/>
      <c r="AH92" s="342"/>
      <c r="AI92" s="11"/>
    </row>
    <row r="93" customFormat="false" ht="17.35" hidden="false" customHeight="false" outlineLevel="0" collapsed="false">
      <c r="A93" s="221"/>
      <c r="B93" s="331"/>
      <c r="C93" s="331"/>
      <c r="D93" s="331"/>
      <c r="E93" s="342"/>
      <c r="F93" s="342"/>
      <c r="G93" s="342"/>
      <c r="H93" s="11"/>
      <c r="J93" s="221"/>
      <c r="K93" s="331"/>
      <c r="L93" s="331"/>
      <c r="M93" s="331"/>
      <c r="N93" s="342"/>
      <c r="O93" s="342"/>
      <c r="P93" s="342"/>
      <c r="Q93" s="11"/>
      <c r="S93" s="221"/>
      <c r="T93" s="331"/>
      <c r="U93" s="331"/>
      <c r="V93" s="331"/>
      <c r="W93" s="342"/>
      <c r="X93" s="342"/>
      <c r="Y93" s="342"/>
      <c r="Z93" s="11"/>
      <c r="AB93" s="221"/>
      <c r="AC93" s="331"/>
      <c r="AD93" s="331"/>
      <c r="AE93" s="331"/>
      <c r="AF93" s="342"/>
      <c r="AG93" s="342"/>
      <c r="AH93" s="342"/>
      <c r="AI93" s="11"/>
    </row>
    <row r="94" customFormat="false" ht="17.35" hidden="false" customHeight="false" outlineLevel="0" collapsed="false">
      <c r="A94" s="271" t="s">
        <v>65</v>
      </c>
      <c r="B94" s="272" t="str">
        <f aca="false">IF(B26="YES",((E40/B85)*(1+A108)*1.2),"0")</f>
        <v>0</v>
      </c>
      <c r="C94" s="331"/>
      <c r="D94" s="331"/>
      <c r="E94" s="342"/>
      <c r="F94" s="342"/>
      <c r="G94" s="342"/>
      <c r="H94" s="11"/>
      <c r="J94" s="271" t="s">
        <v>65</v>
      </c>
      <c r="K94" s="272" t="n">
        <f aca="false">((E40/K85)*(1+J108))*1.2</f>
        <v>0</v>
      </c>
      <c r="L94" s="331"/>
      <c r="M94" s="331"/>
      <c r="N94" s="342"/>
      <c r="O94" s="342"/>
      <c r="P94" s="342"/>
      <c r="Q94" s="11"/>
      <c r="S94" s="271" t="s">
        <v>65</v>
      </c>
      <c r="T94" s="272" t="n">
        <f aca="false">((E40/T85)*(1+S108))</f>
        <v>0</v>
      </c>
      <c r="U94" s="331"/>
      <c r="V94" s="331"/>
      <c r="W94" s="342"/>
      <c r="X94" s="342"/>
      <c r="Y94" s="342"/>
      <c r="Z94" s="11"/>
      <c r="AB94" s="271" t="s">
        <v>65</v>
      </c>
      <c r="AC94" s="272" t="n">
        <f aca="false">((E40/AC85)*(1+AB108))*1.2</f>
        <v>0</v>
      </c>
      <c r="AD94" s="331"/>
      <c r="AE94" s="331"/>
      <c r="AF94" s="342"/>
      <c r="AG94" s="342"/>
      <c r="AH94" s="342"/>
      <c r="AI94" s="11"/>
    </row>
    <row r="95" customFormat="false" ht="17.35" hidden="false" customHeight="false" outlineLevel="0" collapsed="false">
      <c r="A95" s="274" t="s">
        <v>111</v>
      </c>
      <c r="B95" s="275" t="n">
        <f aca="false">B92/(B85)</f>
        <v>1401.49987807535</v>
      </c>
      <c r="C95" s="331"/>
      <c r="D95" s="331"/>
      <c r="E95" s="342"/>
      <c r="F95" s="342"/>
      <c r="G95" s="342"/>
      <c r="H95" s="11"/>
      <c r="J95" s="274" t="s">
        <v>111</v>
      </c>
      <c r="K95" s="275" t="n">
        <f aca="false">K92/(K85)</f>
        <v>1477.31306457009</v>
      </c>
      <c r="L95" s="331"/>
      <c r="M95" s="331"/>
      <c r="N95" s="342"/>
      <c r="O95" s="342"/>
      <c r="P95" s="342"/>
      <c r="Q95" s="11"/>
      <c r="S95" s="274" t="s">
        <v>111</v>
      </c>
      <c r="T95" s="275" t="n">
        <f aca="false">T92/(T85)</f>
        <v>1408.20027188803</v>
      </c>
      <c r="U95" s="331"/>
      <c r="V95" s="331"/>
      <c r="W95" s="342"/>
      <c r="X95" s="342"/>
      <c r="Y95" s="342"/>
      <c r="Z95" s="11"/>
      <c r="AB95" s="274" t="s">
        <v>111</v>
      </c>
      <c r="AC95" s="275" t="n">
        <f aca="false">AC92/(AC59)</f>
        <v>927.687248290581</v>
      </c>
      <c r="AD95" s="331"/>
      <c r="AE95" s="331"/>
      <c r="AF95" s="342"/>
      <c r="AG95" s="342"/>
      <c r="AH95" s="342"/>
      <c r="AI95" s="11"/>
    </row>
    <row r="96" customFormat="false" ht="17.35" hidden="false" customHeight="false" outlineLevel="0" collapsed="false">
      <c r="A96" s="276" t="s">
        <v>112</v>
      </c>
      <c r="B96" s="277" t="n">
        <f aca="false">(B94+B95)</f>
        <v>1401.49987807535</v>
      </c>
      <c r="C96" s="331"/>
      <c r="D96" s="331"/>
      <c r="E96" s="342"/>
      <c r="F96" s="342"/>
      <c r="G96" s="342"/>
      <c r="H96" s="11"/>
      <c r="J96" s="276" t="s">
        <v>112</v>
      </c>
      <c r="K96" s="277" t="n">
        <f aca="false">(K94+K95)</f>
        <v>1477.31306457009</v>
      </c>
      <c r="L96" s="331"/>
      <c r="M96" s="331"/>
      <c r="N96" s="342"/>
      <c r="O96" s="342"/>
      <c r="P96" s="342"/>
      <c r="Q96" s="11"/>
      <c r="S96" s="276" t="s">
        <v>112</v>
      </c>
      <c r="T96" s="277" t="n">
        <f aca="false">T94+T95</f>
        <v>1408.20027188803</v>
      </c>
      <c r="U96" s="331"/>
      <c r="V96" s="331"/>
      <c r="W96" s="342"/>
      <c r="X96" s="342"/>
      <c r="Y96" s="342"/>
      <c r="Z96" s="11"/>
      <c r="AB96" s="276" t="s">
        <v>112</v>
      </c>
      <c r="AC96" s="277" t="n">
        <f aca="false">AC94+AC95</f>
        <v>927.687248290581</v>
      </c>
      <c r="AD96" s="331"/>
      <c r="AE96" s="331"/>
      <c r="AF96" s="342"/>
      <c r="AG96" s="342"/>
      <c r="AH96" s="342"/>
      <c r="AI96" s="11"/>
    </row>
    <row r="97" customFormat="false" ht="17.35" hidden="false" customHeight="false" outlineLevel="0" collapsed="false">
      <c r="A97" s="249"/>
      <c r="B97" s="250"/>
      <c r="C97" s="250"/>
      <c r="D97" s="250"/>
      <c r="E97" s="278"/>
      <c r="F97" s="278"/>
      <c r="G97" s="278"/>
      <c r="H97" s="84"/>
      <c r="J97" s="249"/>
      <c r="K97" s="250"/>
      <c r="L97" s="250"/>
      <c r="M97" s="250"/>
      <c r="N97" s="278"/>
      <c r="O97" s="278"/>
      <c r="P97" s="278"/>
      <c r="Q97" s="84"/>
      <c r="S97" s="249"/>
      <c r="T97" s="250"/>
      <c r="U97" s="250"/>
      <c r="V97" s="250"/>
      <c r="W97" s="278"/>
      <c r="X97" s="278"/>
      <c r="Y97" s="278"/>
      <c r="Z97" s="84"/>
      <c r="AB97" s="249"/>
      <c r="AC97" s="250"/>
      <c r="AD97" s="250"/>
      <c r="AE97" s="250"/>
      <c r="AF97" s="278"/>
      <c r="AG97" s="278"/>
      <c r="AH97" s="278"/>
      <c r="AI97" s="84"/>
    </row>
    <row r="98" customFormat="false" ht="13.8" hidden="false" customHeight="false" outlineLevel="0" collapsed="false">
      <c r="A98" s="236"/>
      <c r="B98" s="236"/>
      <c r="C98" s="236"/>
      <c r="D98" s="236"/>
      <c r="E98" s="236"/>
      <c r="F98" s="236"/>
      <c r="G98" s="236"/>
      <c r="H98" s="236"/>
      <c r="J98" s="236"/>
      <c r="K98" s="236"/>
      <c r="L98" s="236"/>
      <c r="M98" s="236"/>
      <c r="N98" s="236"/>
      <c r="O98" s="236"/>
      <c r="P98" s="236"/>
      <c r="Q98" s="236"/>
      <c r="S98" s="236"/>
      <c r="T98" s="236"/>
      <c r="U98" s="236"/>
      <c r="V98" s="236"/>
      <c r="W98" s="236"/>
      <c r="X98" s="236"/>
      <c r="Y98" s="236"/>
      <c r="Z98" s="236"/>
      <c r="AB98" s="236"/>
      <c r="AC98" s="236"/>
      <c r="AD98" s="236"/>
      <c r="AE98" s="236"/>
      <c r="AF98" s="236"/>
      <c r="AG98" s="236"/>
      <c r="AH98" s="236"/>
      <c r="AI98" s="236"/>
    </row>
    <row r="99" customFormat="false" ht="13.8" hidden="false" customHeight="false" outlineLevel="0" collapsed="false">
      <c r="A99" s="236"/>
      <c r="B99" s="236"/>
      <c r="C99" s="236"/>
      <c r="D99" s="236"/>
      <c r="E99" s="236"/>
      <c r="F99" s="236"/>
      <c r="G99" s="236"/>
      <c r="H99" s="236"/>
      <c r="J99" s="236"/>
      <c r="K99" s="236"/>
      <c r="L99" s="236"/>
      <c r="M99" s="236"/>
      <c r="N99" s="236"/>
      <c r="O99" s="236"/>
      <c r="P99" s="236"/>
      <c r="Q99" s="236"/>
      <c r="S99" s="236"/>
      <c r="T99" s="236"/>
      <c r="U99" s="236"/>
      <c r="V99" s="236"/>
      <c r="W99" s="236"/>
      <c r="X99" s="236"/>
      <c r="Y99" s="236"/>
      <c r="Z99" s="236"/>
      <c r="AB99" s="236"/>
      <c r="AC99" s="236"/>
      <c r="AD99" s="236"/>
      <c r="AE99" s="236"/>
      <c r="AF99" s="236"/>
      <c r="AG99" s="236"/>
      <c r="AH99" s="236"/>
      <c r="AI99" s="236"/>
    </row>
    <row r="100" customFormat="false" ht="47.25" hidden="false" customHeight="true" outlineLevel="0" collapsed="false">
      <c r="A100" s="217" t="s">
        <v>223</v>
      </c>
      <c r="B100" s="217"/>
      <c r="C100" s="217"/>
      <c r="D100" s="217"/>
      <c r="E100" s="217"/>
      <c r="F100" s="217"/>
      <c r="G100" s="217"/>
      <c r="H100" s="217"/>
      <c r="J100" s="217" t="s">
        <v>221</v>
      </c>
      <c r="K100" s="217"/>
      <c r="L100" s="217"/>
      <c r="M100" s="217"/>
      <c r="N100" s="217"/>
      <c r="O100" s="217"/>
      <c r="P100" s="217"/>
      <c r="Q100" s="217"/>
      <c r="S100" s="217" t="s">
        <v>222</v>
      </c>
      <c r="T100" s="217"/>
      <c r="U100" s="217"/>
      <c r="V100" s="217"/>
      <c r="W100" s="217"/>
      <c r="X100" s="217"/>
      <c r="Y100" s="217"/>
      <c r="Z100" s="217"/>
      <c r="AB100" s="217" t="s">
        <v>223</v>
      </c>
      <c r="AC100" s="217"/>
      <c r="AD100" s="217"/>
      <c r="AE100" s="217"/>
      <c r="AF100" s="217"/>
      <c r="AG100" s="217"/>
      <c r="AH100" s="217"/>
      <c r="AI100" s="217"/>
    </row>
    <row r="101" customFormat="false" ht="17.35" hidden="false" customHeight="false" outlineLevel="0" collapsed="false">
      <c r="A101" s="238"/>
      <c r="B101" s="239"/>
      <c r="C101" s="239"/>
      <c r="D101" s="239"/>
      <c r="E101" s="262"/>
      <c r="F101" s="262"/>
      <c r="G101" s="262"/>
      <c r="H101" s="279"/>
      <c r="J101" s="238"/>
      <c r="K101" s="239"/>
      <c r="L101" s="239"/>
      <c r="M101" s="239"/>
      <c r="N101" s="262"/>
      <c r="O101" s="262"/>
      <c r="P101" s="262"/>
      <c r="Q101" s="279"/>
      <c r="S101" s="238"/>
      <c r="T101" s="239"/>
      <c r="U101" s="239"/>
      <c r="V101" s="239"/>
      <c r="W101" s="262"/>
      <c r="X101" s="262"/>
      <c r="Y101" s="262"/>
      <c r="Z101" s="279"/>
      <c r="AB101" s="238"/>
      <c r="AC101" s="239"/>
      <c r="AD101" s="239"/>
      <c r="AE101" s="239"/>
      <c r="AF101" s="262"/>
      <c r="AG101" s="262"/>
      <c r="AH101" s="262"/>
      <c r="AI101" s="279"/>
    </row>
    <row r="102" customFormat="false" ht="22.05" hidden="false" customHeight="false" outlineLevel="0" collapsed="false">
      <c r="A102" s="240" t="s">
        <v>116</v>
      </c>
      <c r="B102" s="240"/>
      <c r="C102" s="240"/>
      <c r="D102" s="240"/>
      <c r="E102" s="240"/>
      <c r="F102" s="240"/>
      <c r="G102" s="240"/>
      <c r="H102" s="240"/>
      <c r="J102" s="240" t="s">
        <v>116</v>
      </c>
      <c r="K102" s="240"/>
      <c r="L102" s="240"/>
      <c r="M102" s="240"/>
      <c r="N102" s="240"/>
      <c r="O102" s="240"/>
      <c r="P102" s="240"/>
      <c r="Q102" s="240"/>
      <c r="S102" s="240" t="s">
        <v>116</v>
      </c>
      <c r="T102" s="240"/>
      <c r="U102" s="240"/>
      <c r="V102" s="240"/>
      <c r="W102" s="240"/>
      <c r="X102" s="240"/>
      <c r="Y102" s="240"/>
      <c r="Z102" s="240"/>
      <c r="AB102" s="240" t="s">
        <v>116</v>
      </c>
      <c r="AC102" s="240"/>
      <c r="AD102" s="240"/>
      <c r="AE102" s="240"/>
      <c r="AF102" s="240"/>
      <c r="AG102" s="240"/>
      <c r="AH102" s="240"/>
      <c r="AI102" s="240"/>
    </row>
    <row r="103" customFormat="false" ht="17.35" hidden="false" customHeight="false" outlineLevel="0" collapsed="false">
      <c r="A103" s="221"/>
      <c r="B103" s="331"/>
      <c r="C103" s="331"/>
      <c r="D103" s="331"/>
      <c r="E103" s="342"/>
      <c r="F103" s="342"/>
      <c r="G103" s="342"/>
      <c r="H103" s="280"/>
      <c r="J103" s="221"/>
      <c r="K103" s="331"/>
      <c r="L103" s="331"/>
      <c r="M103" s="331"/>
      <c r="N103" s="342"/>
      <c r="O103" s="342"/>
      <c r="P103" s="342"/>
      <c r="Q103" s="280"/>
      <c r="S103" s="221"/>
      <c r="T103" s="331"/>
      <c r="U103" s="331"/>
      <c r="V103" s="331"/>
      <c r="W103" s="342"/>
      <c r="X103" s="342"/>
      <c r="Y103" s="342"/>
      <c r="Z103" s="280"/>
      <c r="AB103" s="221"/>
      <c r="AC103" s="331"/>
      <c r="AD103" s="331"/>
      <c r="AE103" s="331"/>
      <c r="AF103" s="342"/>
      <c r="AG103" s="342"/>
      <c r="AH103" s="342"/>
      <c r="AI103" s="280"/>
    </row>
    <row r="104" customFormat="false" ht="17.35" hidden="false" customHeight="false" outlineLevel="0" collapsed="false">
      <c r="A104" s="221" t="s">
        <v>118</v>
      </c>
      <c r="B104" s="331" t="s">
        <v>30</v>
      </c>
      <c r="C104" s="331"/>
      <c r="D104" s="331"/>
      <c r="E104" s="331" t="s">
        <v>130</v>
      </c>
      <c r="F104" s="331"/>
      <c r="G104" s="331"/>
      <c r="H104" s="11"/>
      <c r="J104" s="221" t="s">
        <v>118</v>
      </c>
      <c r="K104" s="331" t="s">
        <v>30</v>
      </c>
      <c r="L104" s="331"/>
      <c r="M104" s="331"/>
      <c r="N104" s="331" t="s">
        <v>130</v>
      </c>
      <c r="O104" s="331"/>
      <c r="P104" s="331"/>
      <c r="Q104" s="11"/>
      <c r="S104" s="221" t="s">
        <v>118</v>
      </c>
      <c r="T104" s="331" t="s">
        <v>30</v>
      </c>
      <c r="U104" s="331"/>
      <c r="V104" s="331"/>
      <c r="W104" s="331" t="s">
        <v>130</v>
      </c>
      <c r="X104" s="331"/>
      <c r="Y104" s="331"/>
      <c r="Z104" s="11"/>
      <c r="AB104" s="221" t="s">
        <v>118</v>
      </c>
      <c r="AC104" s="331" t="s">
        <v>30</v>
      </c>
      <c r="AD104" s="331"/>
      <c r="AE104" s="331"/>
      <c r="AF104" s="331" t="s">
        <v>130</v>
      </c>
      <c r="AG104" s="331"/>
      <c r="AH104" s="331"/>
      <c r="AI104" s="11"/>
    </row>
    <row r="105" customFormat="false" ht="17.35" hidden="false" customHeight="false" outlineLevel="0" collapsed="false">
      <c r="A105" s="241" t="s">
        <v>224</v>
      </c>
      <c r="B105" s="215" t="s">
        <v>117</v>
      </c>
      <c r="C105" s="215"/>
      <c r="D105" s="215"/>
      <c r="E105" s="42" t="s">
        <v>26</v>
      </c>
      <c r="F105" s="42"/>
      <c r="G105" s="42"/>
      <c r="H105" s="280"/>
      <c r="J105" s="241" t="s">
        <v>224</v>
      </c>
      <c r="K105" s="215" t="s">
        <v>117</v>
      </c>
      <c r="L105" s="215"/>
      <c r="M105" s="215"/>
      <c r="N105" s="42" t="s">
        <v>25</v>
      </c>
      <c r="O105" s="42"/>
      <c r="P105" s="42"/>
      <c r="Q105" s="280"/>
      <c r="S105" s="241" t="s">
        <v>224</v>
      </c>
      <c r="T105" s="215" t="s">
        <v>117</v>
      </c>
      <c r="U105" s="215"/>
      <c r="V105" s="215"/>
      <c r="W105" s="42" t="s">
        <v>25</v>
      </c>
      <c r="X105" s="42"/>
      <c r="Y105" s="42"/>
      <c r="Z105" s="280"/>
      <c r="AB105" s="241" t="s">
        <v>224</v>
      </c>
      <c r="AC105" s="215" t="s">
        <v>117</v>
      </c>
      <c r="AD105" s="215"/>
      <c r="AE105" s="215"/>
      <c r="AF105" s="42" t="s">
        <v>25</v>
      </c>
      <c r="AG105" s="42"/>
      <c r="AH105" s="42"/>
      <c r="AI105" s="280"/>
    </row>
    <row r="106" customFormat="false" ht="17.35" hidden="false" customHeight="false" outlineLevel="0" collapsed="false">
      <c r="A106" s="221"/>
      <c r="B106" s="331"/>
      <c r="C106" s="331"/>
      <c r="D106" s="342"/>
      <c r="E106" s="331"/>
      <c r="F106" s="331"/>
      <c r="G106" s="342"/>
      <c r="H106" s="11"/>
      <c r="J106" s="221"/>
      <c r="K106" s="331"/>
      <c r="L106" s="331"/>
      <c r="M106" s="342"/>
      <c r="N106" s="331"/>
      <c r="O106" s="331"/>
      <c r="P106" s="342"/>
      <c r="Q106" s="11"/>
      <c r="S106" s="221"/>
      <c r="T106" s="331"/>
      <c r="U106" s="331"/>
      <c r="V106" s="342"/>
      <c r="W106" s="331"/>
      <c r="X106" s="331"/>
      <c r="Y106" s="342"/>
      <c r="Z106" s="11"/>
      <c r="AB106" s="221"/>
      <c r="AC106" s="331"/>
      <c r="AD106" s="331"/>
      <c r="AE106" s="342"/>
      <c r="AF106" s="331"/>
      <c r="AG106" s="331"/>
      <c r="AH106" s="342"/>
      <c r="AI106" s="11"/>
    </row>
    <row r="107" customFormat="false" ht="17.35" hidden="false" customHeight="false" outlineLevel="0" collapsed="false">
      <c r="A107" s="221" t="s">
        <v>131</v>
      </c>
      <c r="B107" s="331" t="s">
        <v>225</v>
      </c>
      <c r="C107" s="331"/>
      <c r="D107" s="342"/>
      <c r="E107" s="331" t="s">
        <v>226</v>
      </c>
      <c r="F107" s="331"/>
      <c r="G107" s="342"/>
      <c r="H107" s="280"/>
      <c r="J107" s="221" t="s">
        <v>131</v>
      </c>
      <c r="K107" s="331" t="s">
        <v>225</v>
      </c>
      <c r="L107" s="331"/>
      <c r="M107" s="342"/>
      <c r="N107" s="331" t="s">
        <v>226</v>
      </c>
      <c r="O107" s="331"/>
      <c r="P107" s="342"/>
      <c r="Q107" s="280"/>
      <c r="S107" s="221" t="s">
        <v>131</v>
      </c>
      <c r="T107" s="331" t="s">
        <v>225</v>
      </c>
      <c r="U107" s="331"/>
      <c r="V107" s="342"/>
      <c r="W107" s="331" t="s">
        <v>226</v>
      </c>
      <c r="X107" s="331"/>
      <c r="Y107" s="342"/>
      <c r="Z107" s="280"/>
      <c r="AB107" s="221" t="s">
        <v>131</v>
      </c>
      <c r="AC107" s="331" t="s">
        <v>225</v>
      </c>
      <c r="AD107" s="331"/>
      <c r="AE107" s="342"/>
      <c r="AF107" s="331" t="s">
        <v>226</v>
      </c>
      <c r="AG107" s="331"/>
      <c r="AH107" s="342"/>
      <c r="AI107" s="280"/>
    </row>
    <row r="108" customFormat="false" ht="17.35" hidden="false" customHeight="false" outlineLevel="0" collapsed="false">
      <c r="A108" s="281" t="n">
        <v>0.2</v>
      </c>
      <c r="B108" s="112" t="s">
        <v>219</v>
      </c>
      <c r="C108" s="112"/>
      <c r="D108" s="112"/>
      <c r="E108" s="282" t="n">
        <f aca="false">B83</f>
        <v>0.137</v>
      </c>
      <c r="F108" s="282"/>
      <c r="G108" s="282"/>
      <c r="H108" s="246"/>
      <c r="J108" s="281" t="n">
        <v>0.3</v>
      </c>
      <c r="K108" s="112" t="s">
        <v>227</v>
      </c>
      <c r="L108" s="112"/>
      <c r="M108" s="112"/>
      <c r="N108" s="282" t="n">
        <f aca="false">K83</f>
        <v>0.24</v>
      </c>
      <c r="O108" s="282"/>
      <c r="P108" s="282"/>
      <c r="Q108" s="246"/>
      <c r="S108" s="281" t="n">
        <v>0.2</v>
      </c>
      <c r="T108" s="112" t="s">
        <v>228</v>
      </c>
      <c r="U108" s="112"/>
      <c r="V108" s="112"/>
      <c r="W108" s="282" t="n">
        <f aca="false">T83</f>
        <v>0.131</v>
      </c>
      <c r="X108" s="282"/>
      <c r="Y108" s="282"/>
      <c r="Z108" s="246"/>
      <c r="AB108" s="281" t="n">
        <v>0.2</v>
      </c>
      <c r="AC108" s="112" t="s">
        <v>228</v>
      </c>
      <c r="AD108" s="112"/>
      <c r="AE108" s="112"/>
      <c r="AF108" s="283" t="n">
        <f aca="false">AC83</f>
        <v>0.131</v>
      </c>
      <c r="AG108" s="283"/>
      <c r="AH108" s="283"/>
      <c r="AI108" s="246"/>
      <c r="AP108" s="216" t="s">
        <v>229</v>
      </c>
    </row>
    <row r="109" customFormat="false" ht="17.35" hidden="false" customHeight="false" outlineLevel="0" collapsed="false">
      <c r="A109" s="221"/>
      <c r="B109" s="331"/>
      <c r="C109" s="331"/>
      <c r="D109" s="331"/>
      <c r="E109" s="331"/>
      <c r="F109" s="331"/>
      <c r="G109" s="331"/>
      <c r="H109" s="11"/>
      <c r="J109" s="221"/>
      <c r="K109" s="331"/>
      <c r="L109" s="331"/>
      <c r="M109" s="331"/>
      <c r="N109" s="331"/>
      <c r="O109" s="331"/>
      <c r="P109" s="331"/>
      <c r="Q109" s="11"/>
      <c r="S109" s="221"/>
      <c r="T109" s="331"/>
      <c r="U109" s="331"/>
      <c r="V109" s="331"/>
      <c r="W109" s="331"/>
      <c r="X109" s="331"/>
      <c r="Y109" s="331"/>
      <c r="Z109" s="11"/>
      <c r="AB109" s="221"/>
      <c r="AC109" s="331"/>
      <c r="AD109" s="331"/>
      <c r="AE109" s="331"/>
      <c r="AF109" s="331"/>
      <c r="AG109" s="331"/>
      <c r="AH109" s="331"/>
      <c r="AI109" s="11"/>
      <c r="AP109" s="216" t="s">
        <v>227</v>
      </c>
    </row>
    <row r="110" customFormat="false" ht="17.35" hidden="false" customHeight="false" outlineLevel="0" collapsed="false">
      <c r="A110" s="221" t="s">
        <v>230</v>
      </c>
      <c r="B110" s="331" t="s">
        <v>142</v>
      </c>
      <c r="C110" s="331"/>
      <c r="D110" s="331"/>
      <c r="E110" s="331" t="s">
        <v>231</v>
      </c>
      <c r="F110" s="331"/>
      <c r="G110" s="331"/>
      <c r="H110" s="11"/>
      <c r="J110" s="221" t="s">
        <v>230</v>
      </c>
      <c r="K110" s="331" t="s">
        <v>142</v>
      </c>
      <c r="L110" s="331"/>
      <c r="M110" s="331"/>
      <c r="N110" s="331" t="s">
        <v>231</v>
      </c>
      <c r="O110" s="331"/>
      <c r="P110" s="331"/>
      <c r="Q110" s="11"/>
      <c r="S110" s="221" t="s">
        <v>230</v>
      </c>
      <c r="T110" s="331" t="s">
        <v>142</v>
      </c>
      <c r="U110" s="331"/>
      <c r="V110" s="331"/>
      <c r="W110" s="331" t="s">
        <v>231</v>
      </c>
      <c r="X110" s="331"/>
      <c r="Y110" s="331"/>
      <c r="Z110" s="11"/>
      <c r="AB110" s="221" t="s">
        <v>230</v>
      </c>
      <c r="AC110" s="331" t="s">
        <v>142</v>
      </c>
      <c r="AD110" s="331"/>
      <c r="AE110" s="331"/>
      <c r="AF110" s="331" t="s">
        <v>231</v>
      </c>
      <c r="AG110" s="331"/>
      <c r="AH110" s="331"/>
      <c r="AI110" s="11"/>
    </row>
    <row r="111" customFormat="false" ht="17.35" hidden="false" customHeight="false" outlineLevel="0" collapsed="false">
      <c r="A111" s="242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80"/>
      <c r="J111" s="242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80"/>
      <c r="S111" s="242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80"/>
      <c r="AB111" s="242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80"/>
    </row>
    <row r="112" customFormat="false" ht="17.35" hidden="false" customHeight="false" outlineLevel="0" collapsed="false">
      <c r="A112" s="221"/>
      <c r="B112" s="331"/>
      <c r="C112" s="331"/>
      <c r="D112" s="331"/>
      <c r="E112" s="331"/>
      <c r="F112" s="331"/>
      <c r="G112" s="342"/>
      <c r="H112" s="280"/>
      <c r="J112" s="221"/>
      <c r="K112" s="331"/>
      <c r="L112" s="331"/>
      <c r="M112" s="331"/>
      <c r="N112" s="331"/>
      <c r="O112" s="331"/>
      <c r="P112" s="342"/>
      <c r="Q112" s="280"/>
      <c r="S112" s="221"/>
      <c r="T112" s="331"/>
      <c r="U112" s="331"/>
      <c r="V112" s="331"/>
      <c r="W112" s="331"/>
      <c r="X112" s="331"/>
      <c r="Y112" s="342"/>
      <c r="Z112" s="280"/>
      <c r="AB112" s="221"/>
      <c r="AC112" s="331"/>
      <c r="AD112" s="331"/>
      <c r="AE112" s="331"/>
      <c r="AF112" s="331"/>
      <c r="AG112" s="331"/>
      <c r="AH112" s="342"/>
      <c r="AI112" s="280"/>
    </row>
    <row r="113" customFormat="false" ht="17.35" hidden="false" customHeight="false" outlineLevel="0" collapsed="false">
      <c r="A113" s="51" t="s">
        <v>232</v>
      </c>
      <c r="B113" s="331" t="s">
        <v>163</v>
      </c>
      <c r="C113" s="331"/>
      <c r="D113" s="331"/>
      <c r="E113" s="331" t="s">
        <v>132</v>
      </c>
      <c r="F113" s="331"/>
      <c r="G113" s="342"/>
      <c r="H113" s="280"/>
      <c r="J113" s="51" t="s">
        <v>232</v>
      </c>
      <c r="K113" s="331" t="s">
        <v>163</v>
      </c>
      <c r="L113" s="331"/>
      <c r="M113" s="331"/>
      <c r="N113" s="331" t="s">
        <v>132</v>
      </c>
      <c r="O113" s="331"/>
      <c r="P113" s="342"/>
      <c r="Q113" s="280"/>
      <c r="S113" s="51" t="s">
        <v>232</v>
      </c>
      <c r="T113" s="331" t="s">
        <v>163</v>
      </c>
      <c r="U113" s="331"/>
      <c r="V113" s="331"/>
      <c r="W113" s="331" t="s">
        <v>132</v>
      </c>
      <c r="X113" s="331"/>
      <c r="Y113" s="342"/>
      <c r="Z113" s="280"/>
      <c r="AB113" s="51" t="s">
        <v>232</v>
      </c>
      <c r="AC113" s="331" t="s">
        <v>163</v>
      </c>
      <c r="AD113" s="331"/>
      <c r="AE113" s="331"/>
      <c r="AF113" s="331" t="s">
        <v>132</v>
      </c>
      <c r="AG113" s="331"/>
      <c r="AH113" s="342"/>
      <c r="AI113" s="280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80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80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80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80"/>
    </row>
    <row r="115" customFormat="false" ht="13.8" hidden="false" customHeight="false" outlineLevel="0" collapsed="false">
      <c r="A115" s="284"/>
      <c r="B115" s="342"/>
      <c r="C115" s="342"/>
      <c r="D115" s="342"/>
      <c r="E115" s="342"/>
      <c r="F115" s="342"/>
      <c r="G115" s="342"/>
      <c r="H115" s="280"/>
      <c r="J115" s="284"/>
      <c r="K115" s="342"/>
      <c r="L115" s="342"/>
      <c r="M115" s="342"/>
      <c r="N115" s="342"/>
      <c r="O115" s="342"/>
      <c r="P115" s="342"/>
      <c r="Q115" s="280"/>
      <c r="S115" s="284"/>
      <c r="T115" s="342"/>
      <c r="U115" s="342"/>
      <c r="V115" s="342"/>
      <c r="W115" s="342"/>
      <c r="X115" s="342"/>
      <c r="Y115" s="342"/>
      <c r="Z115" s="280"/>
      <c r="AB115" s="284"/>
      <c r="AC115" s="342"/>
      <c r="AD115" s="342"/>
      <c r="AE115" s="342"/>
      <c r="AF115" s="342"/>
      <c r="AG115" s="342"/>
      <c r="AH115" s="342"/>
      <c r="AI115" s="280"/>
    </row>
    <row r="116" customFormat="false" ht="13.8" hidden="false" customHeight="false" outlineLevel="0" collapsed="false">
      <c r="A116" s="284"/>
      <c r="B116" s="342"/>
      <c r="C116" s="342"/>
      <c r="D116" s="342"/>
      <c r="E116" s="342"/>
      <c r="F116" s="342"/>
      <c r="G116" s="342"/>
      <c r="H116" s="280"/>
      <c r="J116" s="284"/>
      <c r="K116" s="342"/>
      <c r="L116" s="342"/>
      <c r="M116" s="342"/>
      <c r="N116" s="342"/>
      <c r="O116" s="342"/>
      <c r="P116" s="342"/>
      <c r="Q116" s="280"/>
      <c r="S116" s="284"/>
      <c r="T116" s="342"/>
      <c r="U116" s="342"/>
      <c r="V116" s="342"/>
      <c r="W116" s="342"/>
      <c r="X116" s="342"/>
      <c r="Y116" s="342"/>
      <c r="Z116" s="280"/>
      <c r="AB116" s="284"/>
      <c r="AC116" s="342"/>
      <c r="AD116" s="342"/>
      <c r="AE116" s="342"/>
      <c r="AF116" s="342"/>
      <c r="AG116" s="342"/>
      <c r="AH116" s="342"/>
      <c r="AI116" s="280"/>
    </row>
    <row r="117" customFormat="false" ht="22.05" hidden="false" customHeight="false" outlineLevel="0" collapsed="false">
      <c r="A117" s="240" t="s">
        <v>233</v>
      </c>
      <c r="B117" s="240"/>
      <c r="C117" s="240"/>
      <c r="D117" s="240"/>
      <c r="E117" s="240"/>
      <c r="F117" s="240"/>
      <c r="G117" s="240"/>
      <c r="H117" s="240"/>
      <c r="J117" s="240" t="s">
        <v>233</v>
      </c>
      <c r="K117" s="240"/>
      <c r="L117" s="240"/>
      <c r="M117" s="240"/>
      <c r="N117" s="240"/>
      <c r="O117" s="240"/>
      <c r="P117" s="240"/>
      <c r="Q117" s="240"/>
      <c r="S117" s="240" t="s">
        <v>233</v>
      </c>
      <c r="T117" s="240"/>
      <c r="U117" s="240"/>
      <c r="V117" s="240"/>
      <c r="W117" s="240"/>
      <c r="X117" s="240"/>
      <c r="Y117" s="240"/>
      <c r="Z117" s="240"/>
      <c r="AB117" s="240" t="s">
        <v>233</v>
      </c>
      <c r="AC117" s="240"/>
      <c r="AD117" s="240"/>
      <c r="AE117" s="240"/>
      <c r="AF117" s="240"/>
      <c r="AG117" s="240"/>
      <c r="AH117" s="240"/>
      <c r="AI117" s="240"/>
    </row>
    <row r="118" customFormat="false" ht="13.8" hidden="false" customHeight="false" outlineLevel="0" collapsed="false">
      <c r="A118" s="284"/>
      <c r="B118" s="342"/>
      <c r="C118" s="342"/>
      <c r="D118" s="342"/>
      <c r="E118" s="342"/>
      <c r="F118" s="342"/>
      <c r="G118" s="342"/>
      <c r="H118" s="280"/>
      <c r="J118" s="284"/>
      <c r="K118" s="342"/>
      <c r="L118" s="342"/>
      <c r="M118" s="342"/>
      <c r="N118" s="342"/>
      <c r="O118" s="342"/>
      <c r="P118" s="342"/>
      <c r="Q118" s="280"/>
      <c r="S118" s="284"/>
      <c r="T118" s="342"/>
      <c r="U118" s="342"/>
      <c r="V118" s="342"/>
      <c r="W118" s="342"/>
      <c r="X118" s="342"/>
      <c r="Y118" s="342"/>
      <c r="Z118" s="280"/>
      <c r="AB118" s="284"/>
      <c r="AC118" s="342"/>
      <c r="AD118" s="342"/>
      <c r="AE118" s="342"/>
      <c r="AF118" s="342"/>
      <c r="AG118" s="342"/>
      <c r="AH118" s="342"/>
      <c r="AI118" s="280"/>
    </row>
    <row r="119" customFormat="false" ht="19.7" hidden="false" customHeight="false" outlineLevel="0" collapsed="false">
      <c r="A119" s="264"/>
      <c r="B119" s="285" t="s">
        <v>1</v>
      </c>
      <c r="C119" s="285"/>
      <c r="D119" s="285" t="s">
        <v>2</v>
      </c>
      <c r="E119" s="285"/>
      <c r="F119" s="285" t="s">
        <v>3</v>
      </c>
      <c r="G119" s="285"/>
      <c r="H119" s="286" t="s">
        <v>4</v>
      </c>
      <c r="J119" s="264"/>
      <c r="K119" s="285" t="s">
        <v>1</v>
      </c>
      <c r="L119" s="285"/>
      <c r="M119" s="285" t="s">
        <v>2</v>
      </c>
      <c r="N119" s="285"/>
      <c r="O119" s="285" t="s">
        <v>3</v>
      </c>
      <c r="P119" s="285"/>
      <c r="Q119" s="286" t="s">
        <v>4</v>
      </c>
      <c r="S119" s="264"/>
      <c r="T119" s="285" t="s">
        <v>1</v>
      </c>
      <c r="U119" s="285"/>
      <c r="V119" s="285" t="s">
        <v>2</v>
      </c>
      <c r="W119" s="285"/>
      <c r="X119" s="285" t="s">
        <v>3</v>
      </c>
      <c r="Y119" s="285"/>
      <c r="Z119" s="286" t="s">
        <v>4</v>
      </c>
      <c r="AB119" s="264"/>
      <c r="AC119" s="285" t="s">
        <v>1</v>
      </c>
      <c r="AD119" s="285"/>
      <c r="AE119" s="285" t="s">
        <v>2</v>
      </c>
      <c r="AF119" s="285"/>
      <c r="AG119" s="285" t="s">
        <v>3</v>
      </c>
      <c r="AH119" s="285"/>
      <c r="AI119" s="286" t="s">
        <v>4</v>
      </c>
    </row>
    <row r="120" customFormat="false" ht="19.7" hidden="false" customHeight="false" outlineLevel="0" collapsed="false">
      <c r="A120" s="218"/>
      <c r="B120" s="287" t="s">
        <v>234</v>
      </c>
      <c r="C120" s="288" t="s">
        <v>235</v>
      </c>
      <c r="D120" s="287" t="s">
        <v>234</v>
      </c>
      <c r="E120" s="289" t="s">
        <v>235</v>
      </c>
      <c r="F120" s="287" t="s">
        <v>234</v>
      </c>
      <c r="G120" s="289" t="s">
        <v>235</v>
      </c>
      <c r="H120" s="290"/>
      <c r="J120" s="218"/>
      <c r="K120" s="287" t="s">
        <v>234</v>
      </c>
      <c r="L120" s="288" t="s">
        <v>235</v>
      </c>
      <c r="M120" s="287" t="s">
        <v>234</v>
      </c>
      <c r="N120" s="289" t="s">
        <v>235</v>
      </c>
      <c r="O120" s="287" t="s">
        <v>234</v>
      </c>
      <c r="P120" s="289" t="s">
        <v>235</v>
      </c>
      <c r="Q120" s="290"/>
      <c r="S120" s="218"/>
      <c r="T120" s="287" t="s">
        <v>234</v>
      </c>
      <c r="U120" s="288" t="s">
        <v>235</v>
      </c>
      <c r="V120" s="287" t="s">
        <v>234</v>
      </c>
      <c r="W120" s="289" t="s">
        <v>235</v>
      </c>
      <c r="X120" s="287" t="s">
        <v>234</v>
      </c>
      <c r="Y120" s="289" t="s">
        <v>235</v>
      </c>
      <c r="Z120" s="290"/>
      <c r="AB120" s="218"/>
      <c r="AC120" s="287" t="s">
        <v>234</v>
      </c>
      <c r="AD120" s="288" t="s">
        <v>235</v>
      </c>
      <c r="AE120" s="287" t="s">
        <v>234</v>
      </c>
      <c r="AF120" s="289" t="s">
        <v>235</v>
      </c>
      <c r="AG120" s="287" t="s">
        <v>234</v>
      </c>
      <c r="AH120" s="289" t="s">
        <v>235</v>
      </c>
      <c r="AI120" s="290"/>
    </row>
    <row r="121" customFormat="false" ht="17.35" hidden="false" customHeight="false" outlineLevel="0" collapsed="false">
      <c r="A121" s="238" t="s">
        <v>5</v>
      </c>
      <c r="B121" s="353" t="n">
        <f aca="false">B3</f>
        <v>46854.17</v>
      </c>
      <c r="C121" s="354" t="n">
        <f aca="false">B121</f>
        <v>46854.17</v>
      </c>
      <c r="D121" s="353" t="n">
        <f aca="false">D3</f>
        <v>0</v>
      </c>
      <c r="E121" s="354" t="n">
        <f aca="false">D121</f>
        <v>0</v>
      </c>
      <c r="F121" s="353" t="n">
        <f aca="false">F3</f>
        <v>833.33</v>
      </c>
      <c r="G121" s="354" t="n">
        <f aca="false">F121</f>
        <v>833.33</v>
      </c>
      <c r="H121" s="291" t="n">
        <f aca="false">H3</f>
        <v>0</v>
      </c>
      <c r="J121" s="238" t="s">
        <v>5</v>
      </c>
      <c r="K121" s="353" t="n">
        <f aca="false">B3</f>
        <v>46854.17</v>
      </c>
      <c r="L121" s="354" t="n">
        <v>28629.17</v>
      </c>
      <c r="M121" s="353" t="n">
        <f aca="false">D3</f>
        <v>0</v>
      </c>
      <c r="N121" s="354" t="n">
        <f aca="false">M121</f>
        <v>0</v>
      </c>
      <c r="O121" s="353" t="n">
        <f aca="false">F3</f>
        <v>833.33</v>
      </c>
      <c r="P121" s="354" t="n">
        <f aca="false">O121</f>
        <v>833.33</v>
      </c>
      <c r="Q121" s="291" t="n">
        <f aca="false">H3</f>
        <v>0</v>
      </c>
      <c r="S121" s="238" t="s">
        <v>5</v>
      </c>
      <c r="T121" s="353" t="n">
        <f aca="false">B3</f>
        <v>46854.17</v>
      </c>
      <c r="U121" s="354" t="n">
        <f aca="false">T121</f>
        <v>46854.17</v>
      </c>
      <c r="V121" s="353" t="n">
        <f aca="false">D3</f>
        <v>0</v>
      </c>
      <c r="W121" s="354" t="n">
        <f aca="false">V121</f>
        <v>0</v>
      </c>
      <c r="X121" s="353" t="n">
        <f aca="false">F3</f>
        <v>833.33</v>
      </c>
      <c r="Y121" s="354" t="n">
        <f aca="false">X121</f>
        <v>833.33</v>
      </c>
      <c r="Z121" s="291" t="n">
        <f aca="false">H3</f>
        <v>0</v>
      </c>
      <c r="AB121" s="238" t="s">
        <v>5</v>
      </c>
      <c r="AC121" s="353" t="n">
        <f aca="false">B3</f>
        <v>46854.17</v>
      </c>
      <c r="AD121" s="354" t="n">
        <f aca="false">AC121</f>
        <v>46854.17</v>
      </c>
      <c r="AE121" s="353" t="n">
        <f aca="false">D3</f>
        <v>0</v>
      </c>
      <c r="AF121" s="354" t="n">
        <f aca="false">AE121</f>
        <v>0</v>
      </c>
      <c r="AG121" s="353" t="n">
        <f aca="false">F3</f>
        <v>833.33</v>
      </c>
      <c r="AH121" s="354" t="n">
        <f aca="false">AG121</f>
        <v>833.33</v>
      </c>
      <c r="AI121" s="291" t="n">
        <f aca="false">H3</f>
        <v>0</v>
      </c>
    </row>
    <row r="122" customFormat="false" ht="17.35" hidden="false" customHeight="false" outlineLevel="0" collapsed="false">
      <c r="A122" s="221" t="s">
        <v>6</v>
      </c>
      <c r="B122" s="355" t="n">
        <f aca="false">B4</f>
        <v>0</v>
      </c>
      <c r="C122" s="329" t="n">
        <v>0</v>
      </c>
      <c r="D122" s="355" t="n">
        <f aca="false">D4</f>
        <v>0</v>
      </c>
      <c r="E122" s="329" t="n">
        <f aca="false">D122</f>
        <v>0</v>
      </c>
      <c r="F122" s="355" t="n">
        <f aca="false">F4</f>
        <v>0</v>
      </c>
      <c r="G122" s="356" t="n">
        <f aca="false">F122</f>
        <v>0</v>
      </c>
      <c r="H122" s="330"/>
      <c r="J122" s="221" t="s">
        <v>6</v>
      </c>
      <c r="K122" s="355" t="n">
        <f aca="false">B4</f>
        <v>0</v>
      </c>
      <c r="L122" s="329" t="n">
        <v>0</v>
      </c>
      <c r="M122" s="355" t="n">
        <f aca="false">D4</f>
        <v>0</v>
      </c>
      <c r="N122" s="329" t="n">
        <f aca="false">M122</f>
        <v>0</v>
      </c>
      <c r="O122" s="355" t="n">
        <f aca="false">F4</f>
        <v>0</v>
      </c>
      <c r="P122" s="356" t="n">
        <f aca="false">O122</f>
        <v>0</v>
      </c>
      <c r="Q122" s="330"/>
      <c r="S122" s="221" t="s">
        <v>6</v>
      </c>
      <c r="T122" s="355" t="n">
        <f aca="false">B4</f>
        <v>0</v>
      </c>
      <c r="U122" s="329" t="n">
        <v>0.25</v>
      </c>
      <c r="V122" s="355" t="n">
        <f aca="false">D4</f>
        <v>0</v>
      </c>
      <c r="W122" s="329" t="n">
        <f aca="false">V122</f>
        <v>0</v>
      </c>
      <c r="X122" s="355" t="n">
        <f aca="false">F4</f>
        <v>0</v>
      </c>
      <c r="Y122" s="356" t="n">
        <f aca="false">X122</f>
        <v>0</v>
      </c>
      <c r="Z122" s="330"/>
      <c r="AB122" s="221" t="s">
        <v>6</v>
      </c>
      <c r="AC122" s="355" t="n">
        <f aca="false">B4</f>
        <v>0</v>
      </c>
      <c r="AD122" s="329" t="n">
        <v>0.25</v>
      </c>
      <c r="AE122" s="355" t="n">
        <f aca="false">D4</f>
        <v>0</v>
      </c>
      <c r="AF122" s="329" t="n">
        <f aca="false">AE122</f>
        <v>0</v>
      </c>
      <c r="AG122" s="355" t="n">
        <f aca="false">F4</f>
        <v>0</v>
      </c>
      <c r="AH122" s="356" t="n">
        <f aca="false">AG122</f>
        <v>0</v>
      </c>
      <c r="AI122" s="330"/>
    </row>
    <row r="123" customFormat="false" ht="17.35" hidden="false" customHeight="false" outlineLevel="0" collapsed="false">
      <c r="A123" s="221" t="s">
        <v>7</v>
      </c>
      <c r="B123" s="357" t="n">
        <f aca="false">B5</f>
        <v>0</v>
      </c>
      <c r="C123" s="354" t="n">
        <v>0</v>
      </c>
      <c r="D123" s="357" t="n">
        <f aca="false">D5</f>
        <v>0</v>
      </c>
      <c r="E123" s="354" t="n">
        <f aca="false">D123</f>
        <v>0</v>
      </c>
      <c r="F123" s="357" t="n">
        <f aca="false">F5</f>
        <v>0</v>
      </c>
      <c r="G123" s="354" t="n">
        <f aca="false">F123</f>
        <v>0</v>
      </c>
      <c r="H123" s="11"/>
      <c r="J123" s="221" t="s">
        <v>7</v>
      </c>
      <c r="K123" s="357" t="n">
        <f aca="false">B5</f>
        <v>0</v>
      </c>
      <c r="L123" s="354" t="n">
        <v>0</v>
      </c>
      <c r="M123" s="357" t="n">
        <f aca="false">D5</f>
        <v>0</v>
      </c>
      <c r="N123" s="354" t="n">
        <f aca="false">M123</f>
        <v>0</v>
      </c>
      <c r="O123" s="357" t="n">
        <f aca="false">F5</f>
        <v>0</v>
      </c>
      <c r="P123" s="354" t="n">
        <f aca="false">O123</f>
        <v>0</v>
      </c>
      <c r="Q123" s="11"/>
      <c r="S123" s="221" t="s">
        <v>7</v>
      </c>
      <c r="T123" s="357" t="n">
        <f aca="false">B5</f>
        <v>0</v>
      </c>
      <c r="U123" s="354" t="n">
        <v>0</v>
      </c>
      <c r="V123" s="357" t="n">
        <f aca="false">D5</f>
        <v>0</v>
      </c>
      <c r="W123" s="354" t="n">
        <f aca="false">V123</f>
        <v>0</v>
      </c>
      <c r="X123" s="357" t="n">
        <f aca="false">F5</f>
        <v>0</v>
      </c>
      <c r="Y123" s="354" t="n">
        <f aca="false">X123</f>
        <v>0</v>
      </c>
      <c r="Z123" s="11"/>
      <c r="AB123" s="221" t="s">
        <v>7</v>
      </c>
      <c r="AC123" s="357" t="n">
        <f aca="false">B5</f>
        <v>0</v>
      </c>
      <c r="AD123" s="354" t="n">
        <v>0</v>
      </c>
      <c r="AE123" s="357" t="n">
        <f aca="false">D5</f>
        <v>0</v>
      </c>
      <c r="AF123" s="354" t="n">
        <f aca="false">AE123</f>
        <v>0</v>
      </c>
      <c r="AG123" s="357" t="n">
        <f aca="false">F5</f>
        <v>0</v>
      </c>
      <c r="AH123" s="354" t="n">
        <f aca="false">AG123</f>
        <v>0</v>
      </c>
      <c r="AI123" s="11"/>
    </row>
    <row r="124" customFormat="false" ht="17.35" hidden="false" customHeight="false" outlineLevel="0" collapsed="false">
      <c r="A124" s="221" t="s">
        <v>8</v>
      </c>
      <c r="B124" s="357" t="n">
        <f aca="false">(B121*B122)+B123</f>
        <v>0</v>
      </c>
      <c r="C124" s="203" t="n">
        <f aca="false">(C121*C122/100)+C123</f>
        <v>0</v>
      </c>
      <c r="D124" s="357" t="n">
        <f aca="false">(D121*D122)+D123</f>
        <v>0</v>
      </c>
      <c r="E124" s="203" t="n">
        <f aca="false">(E121*E122/100)+E123</f>
        <v>0</v>
      </c>
      <c r="F124" s="357" t="n">
        <f aca="false">(F121*F122)+F123</f>
        <v>0</v>
      </c>
      <c r="G124" s="203" t="n">
        <f aca="false">(G121*G122/100)+G123</f>
        <v>0</v>
      </c>
      <c r="H124" s="11"/>
      <c r="J124" s="221" t="s">
        <v>8</v>
      </c>
      <c r="K124" s="357" t="n">
        <f aca="false">(K121*K122)+K123</f>
        <v>0</v>
      </c>
      <c r="L124" s="203" t="n">
        <f aca="false">(L121*L122)+L123</f>
        <v>0</v>
      </c>
      <c r="M124" s="357" t="n">
        <f aca="false">(M121*M122)+M123</f>
        <v>0</v>
      </c>
      <c r="N124" s="203" t="n">
        <f aca="false">(N121*N122)+N123</f>
        <v>0</v>
      </c>
      <c r="O124" s="357" t="n">
        <f aca="false">(O121*O122)+O123</f>
        <v>0</v>
      </c>
      <c r="P124" s="203" t="n">
        <f aca="false">(P121*P122)+P123</f>
        <v>0</v>
      </c>
      <c r="Q124" s="11"/>
      <c r="S124" s="221" t="s">
        <v>8</v>
      </c>
      <c r="T124" s="357" t="n">
        <f aca="false">(T121*T122)+T123</f>
        <v>0</v>
      </c>
      <c r="U124" s="203" t="n">
        <f aca="false">(U121*U122/100)+U123</f>
        <v>117.135425</v>
      </c>
      <c r="V124" s="357" t="n">
        <f aca="false">(V121*V122)+V123</f>
        <v>0</v>
      </c>
      <c r="W124" s="203" t="n">
        <f aca="false">(W121*W122/100)+W123</f>
        <v>0</v>
      </c>
      <c r="X124" s="357" t="n">
        <f aca="false">(X121*X122)+X123</f>
        <v>0</v>
      </c>
      <c r="Y124" s="203" t="n">
        <f aca="false">(Y121*Y122/100)+Y123</f>
        <v>0</v>
      </c>
      <c r="Z124" s="11"/>
      <c r="AB124" s="221" t="s">
        <v>8</v>
      </c>
      <c r="AC124" s="357" t="n">
        <f aca="false">(AC121*AC122)+AC123</f>
        <v>0</v>
      </c>
      <c r="AD124" s="203" t="n">
        <f aca="false">(AD121*AD122)+AD123</f>
        <v>11713.5425</v>
      </c>
      <c r="AE124" s="357" t="n">
        <f aca="false">(AE121*AE122)+AE123</f>
        <v>0</v>
      </c>
      <c r="AF124" s="203" t="n">
        <f aca="false">(AF121*AF122)+AF123</f>
        <v>0</v>
      </c>
      <c r="AG124" s="357" t="n">
        <f aca="false">(AG121*AG122)+AG123</f>
        <v>0</v>
      </c>
      <c r="AH124" s="203" t="n">
        <f aca="false">(AH121*AH122)+AH123</f>
        <v>0</v>
      </c>
      <c r="AI124" s="11"/>
    </row>
    <row r="125" customFormat="false" ht="17.35" hidden="false" customHeight="false" outlineLevel="0" collapsed="false">
      <c r="A125" s="249" t="s">
        <v>9</v>
      </c>
      <c r="B125" s="358" t="n">
        <f aca="false">B121-B124</f>
        <v>46854.17</v>
      </c>
      <c r="C125" s="185" t="n">
        <f aca="false">C121-C124</f>
        <v>46854.17</v>
      </c>
      <c r="D125" s="358" t="n">
        <f aca="false">D121-D124</f>
        <v>0</v>
      </c>
      <c r="E125" s="185" t="n">
        <f aca="false">E121-E124</f>
        <v>0</v>
      </c>
      <c r="F125" s="358" t="n">
        <f aca="false">F121-F124</f>
        <v>833.33</v>
      </c>
      <c r="G125" s="185" t="n">
        <f aca="false">G121-G124</f>
        <v>833.33</v>
      </c>
      <c r="H125" s="84"/>
      <c r="J125" s="249" t="s">
        <v>9</v>
      </c>
      <c r="K125" s="358" t="n">
        <f aca="false">K121-K124</f>
        <v>46854.17</v>
      </c>
      <c r="L125" s="185" t="n">
        <f aca="false">L121-L124</f>
        <v>28629.17</v>
      </c>
      <c r="M125" s="358" t="n">
        <f aca="false">M121-M124</f>
        <v>0</v>
      </c>
      <c r="N125" s="185" t="n">
        <f aca="false">N121-N124</f>
        <v>0</v>
      </c>
      <c r="O125" s="358" t="n">
        <f aca="false">O121-O124</f>
        <v>833.33</v>
      </c>
      <c r="P125" s="185" t="n">
        <f aca="false">P121-P124</f>
        <v>833.33</v>
      </c>
      <c r="Q125" s="84"/>
      <c r="S125" s="249" t="s">
        <v>9</v>
      </c>
      <c r="T125" s="358" t="n">
        <f aca="false">T121-T124</f>
        <v>46854.17</v>
      </c>
      <c r="U125" s="185" t="n">
        <f aca="false">U121-U124</f>
        <v>46737.034575</v>
      </c>
      <c r="V125" s="358" t="n">
        <f aca="false">V121-V124</f>
        <v>0</v>
      </c>
      <c r="W125" s="185" t="n">
        <f aca="false">W121-W124</f>
        <v>0</v>
      </c>
      <c r="X125" s="358" t="n">
        <f aca="false">X121-X124</f>
        <v>833.33</v>
      </c>
      <c r="Y125" s="185" t="n">
        <f aca="false">Y121-Y124</f>
        <v>833.33</v>
      </c>
      <c r="Z125" s="84"/>
      <c r="AB125" s="249" t="s">
        <v>9</v>
      </c>
      <c r="AC125" s="358" t="n">
        <f aca="false">AC121-AC124</f>
        <v>46854.17</v>
      </c>
      <c r="AD125" s="185" t="n">
        <f aca="false">AD121-AD124</f>
        <v>35140.6275</v>
      </c>
      <c r="AE125" s="358" t="n">
        <f aca="false">AE121-AE124</f>
        <v>0</v>
      </c>
      <c r="AF125" s="185" t="n">
        <f aca="false">AF121-AF124</f>
        <v>0</v>
      </c>
      <c r="AG125" s="358" t="n">
        <f aca="false">AG121-AG124</f>
        <v>833.33</v>
      </c>
      <c r="AH125" s="185" t="n">
        <f aca="false">AH121-AH124</f>
        <v>833.33</v>
      </c>
      <c r="AI125" s="84"/>
    </row>
    <row r="126" customFormat="false" ht="17.35" hidden="false" customHeight="false" outlineLevel="0" collapsed="false">
      <c r="A126" s="221"/>
      <c r="B126" s="331"/>
      <c r="C126" s="331"/>
      <c r="D126" s="331"/>
      <c r="E126" s="331"/>
      <c r="F126" s="331"/>
      <c r="G126" s="331"/>
      <c r="H126" s="11"/>
      <c r="J126" s="221"/>
      <c r="K126" s="331"/>
      <c r="L126" s="331"/>
      <c r="M126" s="331"/>
      <c r="N126" s="331"/>
      <c r="O126" s="331"/>
      <c r="P126" s="331"/>
      <c r="Q126" s="11"/>
      <c r="S126" s="221"/>
      <c r="T126" s="331"/>
      <c r="U126" s="331"/>
      <c r="V126" s="331"/>
      <c r="W126" s="331"/>
      <c r="X126" s="331"/>
      <c r="Y126" s="331"/>
      <c r="Z126" s="11"/>
      <c r="AB126" s="221"/>
      <c r="AC126" s="331"/>
      <c r="AD126" s="331"/>
      <c r="AE126" s="331"/>
      <c r="AF126" s="331"/>
      <c r="AG126" s="331"/>
      <c r="AH126" s="331"/>
      <c r="AI126" s="11"/>
    </row>
    <row r="127" customFormat="false" ht="19.7" hidden="false" customHeight="false" outlineLevel="0" collapsed="false">
      <c r="A127" s="294"/>
      <c r="B127" s="359"/>
      <c r="C127" s="359"/>
      <c r="D127" s="359"/>
      <c r="E127" s="359"/>
      <c r="F127" s="359"/>
      <c r="G127" s="332" t="s">
        <v>234</v>
      </c>
      <c r="H127" s="296" t="s">
        <v>235</v>
      </c>
      <c r="J127" s="294"/>
      <c r="K127" s="359"/>
      <c r="L127" s="359"/>
      <c r="M127" s="359"/>
      <c r="N127" s="359"/>
      <c r="O127" s="359"/>
      <c r="P127" s="332" t="s">
        <v>234</v>
      </c>
      <c r="Q127" s="296" t="s">
        <v>235</v>
      </c>
      <c r="S127" s="294"/>
      <c r="T127" s="359"/>
      <c r="U127" s="359"/>
      <c r="V127" s="359"/>
      <c r="W127" s="359"/>
      <c r="X127" s="359"/>
      <c r="Y127" s="332" t="s">
        <v>234</v>
      </c>
      <c r="Z127" s="296" t="s">
        <v>235</v>
      </c>
      <c r="AB127" s="294"/>
      <c r="AC127" s="359"/>
      <c r="AD127" s="359"/>
      <c r="AE127" s="359"/>
      <c r="AF127" s="359"/>
      <c r="AG127" s="359"/>
      <c r="AH127" s="332" t="s">
        <v>234</v>
      </c>
      <c r="AI127" s="296" t="s">
        <v>235</v>
      </c>
    </row>
    <row r="128" customFormat="false" ht="17.35" hidden="false" customHeight="false" outlineLevel="0" collapsed="false">
      <c r="A128" s="297" t="s">
        <v>236</v>
      </c>
      <c r="B128" s="298"/>
      <c r="C128" s="298"/>
      <c r="D128" s="298"/>
      <c r="E128" s="298"/>
      <c r="F128" s="298"/>
      <c r="G128" s="299" t="n">
        <f aca="false">H121</f>
        <v>0</v>
      </c>
      <c r="H128" s="300" t="n">
        <f aca="false">SUM(H131:H133)</f>
        <v>0</v>
      </c>
      <c r="J128" s="297" t="s">
        <v>236</v>
      </c>
      <c r="K128" s="298"/>
      <c r="L128" s="298"/>
      <c r="M128" s="298"/>
      <c r="N128" s="298"/>
      <c r="O128" s="298"/>
      <c r="P128" s="299" t="n">
        <f aca="false">Q121</f>
        <v>0</v>
      </c>
      <c r="Q128" s="300" t="n">
        <f aca="false">SUM(Q131:Q133)</f>
        <v>0</v>
      </c>
      <c r="S128" s="297" t="s">
        <v>236</v>
      </c>
      <c r="T128" s="298"/>
      <c r="U128" s="298"/>
      <c r="V128" s="298"/>
      <c r="W128" s="298"/>
      <c r="X128" s="298"/>
      <c r="Y128" s="299" t="n">
        <f aca="false">Z121</f>
        <v>0</v>
      </c>
      <c r="Z128" s="300" t="n">
        <f aca="false">SUM(Z131:Z133)</f>
        <v>0</v>
      </c>
      <c r="AB128" s="297" t="s">
        <v>236</v>
      </c>
      <c r="AC128" s="298"/>
      <c r="AD128" s="298"/>
      <c r="AE128" s="298"/>
      <c r="AF128" s="298"/>
      <c r="AG128" s="298"/>
      <c r="AH128" s="299" t="n">
        <f aca="false">AI121</f>
        <v>0</v>
      </c>
      <c r="AI128" s="300" t="n">
        <f aca="false">SUM(AI131:AI133)</f>
        <v>0</v>
      </c>
    </row>
    <row r="129" customFormat="false" ht="17.35" hidden="false" customHeight="false" outlineLevel="0" collapsed="false">
      <c r="A129" s="221"/>
      <c r="B129" s="331"/>
      <c r="C129" s="331"/>
      <c r="D129" s="331"/>
      <c r="E129" s="331"/>
      <c r="F129" s="331"/>
      <c r="G129" s="304"/>
      <c r="H129" s="302"/>
      <c r="J129" s="221"/>
      <c r="K129" s="331"/>
      <c r="L129" s="331"/>
      <c r="M129" s="331"/>
      <c r="N129" s="331"/>
      <c r="O129" s="331"/>
      <c r="P129" s="304"/>
      <c r="Q129" s="302"/>
      <c r="S129" s="221"/>
      <c r="T129" s="331"/>
      <c r="U129" s="331"/>
      <c r="V129" s="331"/>
      <c r="W129" s="331"/>
      <c r="X129" s="331"/>
      <c r="Y129" s="304"/>
      <c r="Z129" s="302"/>
      <c r="AB129" s="221"/>
      <c r="AC129" s="331"/>
      <c r="AD129" s="331"/>
      <c r="AE129" s="331"/>
      <c r="AF129" s="331"/>
      <c r="AG129" s="331"/>
      <c r="AH129" s="304"/>
      <c r="AI129" s="302"/>
    </row>
    <row r="130" customFormat="false" ht="17.35" hidden="false" customHeight="false" outlineLevel="0" collapsed="false">
      <c r="A130" s="303" t="s">
        <v>237</v>
      </c>
      <c r="B130" s="304" t="s">
        <v>238</v>
      </c>
      <c r="C130" s="304"/>
      <c r="D130" s="304" t="s">
        <v>239</v>
      </c>
      <c r="E130" s="304"/>
      <c r="F130" s="304" t="s">
        <v>7</v>
      </c>
      <c r="G130" s="304"/>
      <c r="H130" s="302" t="s">
        <v>235</v>
      </c>
      <c r="J130" s="303" t="s">
        <v>237</v>
      </c>
      <c r="K130" s="304" t="s">
        <v>238</v>
      </c>
      <c r="L130" s="304"/>
      <c r="M130" s="304" t="s">
        <v>239</v>
      </c>
      <c r="N130" s="304"/>
      <c r="O130" s="304" t="s">
        <v>7</v>
      </c>
      <c r="P130" s="304"/>
      <c r="Q130" s="302" t="s">
        <v>235</v>
      </c>
      <c r="S130" s="303" t="s">
        <v>237</v>
      </c>
      <c r="T130" s="304" t="s">
        <v>238</v>
      </c>
      <c r="U130" s="304"/>
      <c r="V130" s="304" t="s">
        <v>239</v>
      </c>
      <c r="W130" s="304"/>
      <c r="X130" s="304" t="s">
        <v>7</v>
      </c>
      <c r="Y130" s="304"/>
      <c r="Z130" s="302" t="s">
        <v>235</v>
      </c>
      <c r="AB130" s="303" t="s">
        <v>237</v>
      </c>
      <c r="AC130" s="304" t="s">
        <v>238</v>
      </c>
      <c r="AD130" s="304"/>
      <c r="AE130" s="304" t="s">
        <v>239</v>
      </c>
      <c r="AF130" s="304"/>
      <c r="AG130" s="304" t="s">
        <v>7</v>
      </c>
      <c r="AH130" s="304"/>
      <c r="AI130" s="302" t="s">
        <v>235</v>
      </c>
    </row>
    <row r="131" customFormat="false" ht="17.35" hidden="false" customHeight="false" outlineLevel="0" collapsed="false">
      <c r="A131" s="221" t="s">
        <v>240</v>
      </c>
      <c r="B131" s="306" t="n">
        <f aca="false">G128</f>
        <v>0</v>
      </c>
      <c r="C131" s="306"/>
      <c r="D131" s="307" t="n">
        <v>0</v>
      </c>
      <c r="E131" s="307"/>
      <c r="F131" s="306" t="n">
        <v>0</v>
      </c>
      <c r="G131" s="306"/>
      <c r="H131" s="308" t="n">
        <f aca="false">(B131-(B131*D131))-F131</f>
        <v>0</v>
      </c>
      <c r="J131" s="221" t="s">
        <v>240</v>
      </c>
      <c r="K131" s="306" t="n">
        <f aca="false">P128</f>
        <v>0</v>
      </c>
      <c r="L131" s="306"/>
      <c r="M131" s="307" t="n">
        <v>0</v>
      </c>
      <c r="N131" s="307"/>
      <c r="O131" s="306" t="n">
        <v>0</v>
      </c>
      <c r="P131" s="306"/>
      <c r="Q131" s="308" t="n">
        <f aca="false">(K131-(K131*M131))-O131</f>
        <v>0</v>
      </c>
      <c r="S131" s="221" t="s">
        <v>240</v>
      </c>
      <c r="T131" s="306" t="n">
        <f aca="false">Y128</f>
        <v>0</v>
      </c>
      <c r="U131" s="306"/>
      <c r="V131" s="307" t="n">
        <v>0</v>
      </c>
      <c r="W131" s="307"/>
      <c r="X131" s="306" t="n">
        <v>0</v>
      </c>
      <c r="Y131" s="306"/>
      <c r="Z131" s="308" t="n">
        <f aca="false">(T131-(T131*V131))-X131</f>
        <v>0</v>
      </c>
      <c r="AB131" s="221" t="s">
        <v>240</v>
      </c>
      <c r="AC131" s="306" t="n">
        <f aca="false">AH128</f>
        <v>0</v>
      </c>
      <c r="AD131" s="306"/>
      <c r="AE131" s="307" t="n">
        <v>0</v>
      </c>
      <c r="AF131" s="307"/>
      <c r="AG131" s="306" t="n">
        <v>0</v>
      </c>
      <c r="AH131" s="306"/>
      <c r="AI131" s="308" t="n">
        <f aca="false">(AC131-(AC131*AE131))-AG131</f>
        <v>0</v>
      </c>
    </row>
    <row r="132" customFormat="false" ht="17.35" hidden="false" customHeight="false" outlineLevel="0" collapsed="false">
      <c r="A132" s="221" t="s">
        <v>241</v>
      </c>
      <c r="B132" s="306" t="n">
        <v>0</v>
      </c>
      <c r="C132" s="306"/>
      <c r="D132" s="307" t="n">
        <v>0</v>
      </c>
      <c r="E132" s="307"/>
      <c r="F132" s="306" t="n">
        <v>0</v>
      </c>
      <c r="G132" s="306"/>
      <c r="H132" s="308" t="n">
        <f aca="false">(B132-(B132*D132))-F132</f>
        <v>0</v>
      </c>
      <c r="J132" s="221" t="s">
        <v>241</v>
      </c>
      <c r="K132" s="306" t="n">
        <v>0</v>
      </c>
      <c r="L132" s="306"/>
      <c r="M132" s="307" t="n">
        <v>0</v>
      </c>
      <c r="N132" s="307"/>
      <c r="O132" s="306" t="n">
        <v>0</v>
      </c>
      <c r="P132" s="306"/>
      <c r="Q132" s="308" t="n">
        <f aca="false">(K132-(K132*M132))-O132</f>
        <v>0</v>
      </c>
      <c r="S132" s="221" t="s">
        <v>241</v>
      </c>
      <c r="T132" s="306" t="n">
        <v>0</v>
      </c>
      <c r="U132" s="306"/>
      <c r="V132" s="307" t="n">
        <v>0</v>
      </c>
      <c r="W132" s="307"/>
      <c r="X132" s="306" t="n">
        <v>0</v>
      </c>
      <c r="Y132" s="306"/>
      <c r="Z132" s="308" t="n">
        <f aca="false">(T132-(T132*V132))-X132</f>
        <v>0</v>
      </c>
      <c r="AB132" s="221" t="s">
        <v>241</v>
      </c>
      <c r="AC132" s="306" t="n">
        <v>0</v>
      </c>
      <c r="AD132" s="306"/>
      <c r="AE132" s="307" t="n">
        <v>0</v>
      </c>
      <c r="AF132" s="307"/>
      <c r="AG132" s="306" t="n">
        <v>0</v>
      </c>
      <c r="AH132" s="306"/>
      <c r="AI132" s="308" t="n">
        <f aca="false">(AC132-(AC132*AE132))-AG132</f>
        <v>0</v>
      </c>
    </row>
    <row r="133" customFormat="false" ht="17.35" hidden="false" customHeight="false" outlineLevel="0" collapsed="false">
      <c r="A133" s="221" t="s">
        <v>242</v>
      </c>
      <c r="B133" s="306" t="n">
        <v>0</v>
      </c>
      <c r="C133" s="306"/>
      <c r="D133" s="307" t="n">
        <v>0</v>
      </c>
      <c r="E133" s="307"/>
      <c r="F133" s="306" t="n">
        <v>0</v>
      </c>
      <c r="G133" s="306"/>
      <c r="H133" s="308" t="n">
        <f aca="false">(B133-(B133*D133))-F133</f>
        <v>0</v>
      </c>
      <c r="J133" s="221" t="s">
        <v>242</v>
      </c>
      <c r="K133" s="306" t="n">
        <v>0</v>
      </c>
      <c r="L133" s="306"/>
      <c r="M133" s="307" t="n">
        <v>0</v>
      </c>
      <c r="N133" s="307"/>
      <c r="O133" s="306" t="n">
        <v>0</v>
      </c>
      <c r="P133" s="306"/>
      <c r="Q133" s="308" t="n">
        <f aca="false">(K133-(K133*M133))-O133</f>
        <v>0</v>
      </c>
      <c r="S133" s="221" t="s">
        <v>242</v>
      </c>
      <c r="T133" s="306" t="n">
        <v>0</v>
      </c>
      <c r="U133" s="306"/>
      <c r="V133" s="307" t="n">
        <v>0</v>
      </c>
      <c r="W133" s="307"/>
      <c r="X133" s="306" t="n">
        <v>0</v>
      </c>
      <c r="Y133" s="306"/>
      <c r="Z133" s="308" t="n">
        <f aca="false">(T133-(T133*V133))-X133</f>
        <v>0</v>
      </c>
      <c r="AB133" s="221" t="s">
        <v>242</v>
      </c>
      <c r="AC133" s="306" t="n">
        <v>0</v>
      </c>
      <c r="AD133" s="306"/>
      <c r="AE133" s="307" t="n">
        <v>0</v>
      </c>
      <c r="AF133" s="307"/>
      <c r="AG133" s="306" t="n">
        <v>0</v>
      </c>
      <c r="AH133" s="306"/>
      <c r="AI133" s="308" t="n">
        <f aca="false">(AC133-(AC133*AE133))-AG133</f>
        <v>0</v>
      </c>
    </row>
    <row r="134" customFormat="false" ht="17.35" hidden="false" customHeight="false" outlineLevel="0" collapsed="false">
      <c r="A134" s="221"/>
      <c r="B134" s="331"/>
      <c r="C134" s="331"/>
      <c r="D134" s="331"/>
      <c r="E134" s="331"/>
      <c r="F134" s="331"/>
      <c r="G134" s="304"/>
      <c r="H134" s="302"/>
      <c r="J134" s="221"/>
      <c r="K134" s="331"/>
      <c r="L134" s="331"/>
      <c r="M134" s="331"/>
      <c r="N134" s="331"/>
      <c r="O134" s="331"/>
      <c r="P134" s="304"/>
      <c r="Q134" s="302"/>
      <c r="S134" s="221"/>
      <c r="T134" s="331"/>
      <c r="U134" s="331"/>
      <c r="V134" s="331"/>
      <c r="W134" s="331"/>
      <c r="X134" s="331"/>
      <c r="Y134" s="304"/>
      <c r="Z134" s="302"/>
      <c r="AB134" s="221"/>
      <c r="AC134" s="331"/>
      <c r="AD134" s="331"/>
      <c r="AE134" s="331"/>
      <c r="AF134" s="331"/>
      <c r="AG134" s="331"/>
      <c r="AH134" s="304"/>
      <c r="AI134" s="302"/>
    </row>
    <row r="135" customFormat="false" ht="19.7" hidden="false" customHeight="false" outlineLevel="0" collapsed="false">
      <c r="A135" s="226" t="s">
        <v>10</v>
      </c>
      <c r="B135" s="226"/>
      <c r="C135" s="226"/>
      <c r="D135" s="226"/>
      <c r="E135" s="226"/>
      <c r="F135" s="226"/>
      <c r="G135" s="332" t="n">
        <f aca="false">H9</f>
        <v>47687.5</v>
      </c>
      <c r="H135" s="309" t="n">
        <f aca="false">C125+E125+G125+H128</f>
        <v>47687.5</v>
      </c>
      <c r="J135" s="226" t="s">
        <v>10</v>
      </c>
      <c r="K135" s="226"/>
      <c r="L135" s="226"/>
      <c r="M135" s="226"/>
      <c r="N135" s="226"/>
      <c r="O135" s="226"/>
      <c r="P135" s="332" t="n">
        <f aca="false">H9</f>
        <v>47687.5</v>
      </c>
      <c r="Q135" s="309" t="n">
        <f aca="false">L125+N125+P125+Q128</f>
        <v>29462.5</v>
      </c>
      <c r="S135" s="226" t="s">
        <v>10</v>
      </c>
      <c r="T135" s="226"/>
      <c r="U135" s="226"/>
      <c r="V135" s="226"/>
      <c r="W135" s="226"/>
      <c r="X135" s="226"/>
      <c r="Y135" s="332" t="n">
        <f aca="false">H9</f>
        <v>47687.5</v>
      </c>
      <c r="Z135" s="309" t="n">
        <f aca="false">U125+W125+Y125+Z128</f>
        <v>47570.364575</v>
      </c>
      <c r="AB135" s="226" t="s">
        <v>10</v>
      </c>
      <c r="AC135" s="226"/>
      <c r="AD135" s="226"/>
      <c r="AE135" s="226"/>
      <c r="AF135" s="226"/>
      <c r="AG135" s="226"/>
      <c r="AH135" s="332" t="n">
        <f aca="false">H9</f>
        <v>47687.5</v>
      </c>
      <c r="AI135" s="309" t="n">
        <f aca="false">AD125+AF125+AH125+AI128</f>
        <v>35973.9575</v>
      </c>
    </row>
    <row r="136" customFormat="false" ht="17.35" hidden="false" customHeight="false" outlineLevel="0" collapsed="false">
      <c r="A136" s="229" t="s">
        <v>11</v>
      </c>
      <c r="B136" s="229"/>
      <c r="C136" s="229"/>
      <c r="D136" s="229"/>
      <c r="E136" s="229"/>
      <c r="F136" s="229"/>
      <c r="G136" s="40" t="n">
        <f aca="false">H10</f>
        <v>550</v>
      </c>
      <c r="H136" s="11" t="n">
        <f aca="false">G136</f>
        <v>550</v>
      </c>
      <c r="J136" s="229" t="s">
        <v>11</v>
      </c>
      <c r="K136" s="229"/>
      <c r="L136" s="229"/>
      <c r="M136" s="229"/>
      <c r="N136" s="229"/>
      <c r="O136" s="229"/>
      <c r="P136" s="40" t="n">
        <f aca="false">H10</f>
        <v>550</v>
      </c>
      <c r="Q136" s="11" t="n">
        <f aca="false">P136</f>
        <v>550</v>
      </c>
      <c r="S136" s="229" t="s">
        <v>11</v>
      </c>
      <c r="T136" s="229"/>
      <c r="U136" s="229"/>
      <c r="V136" s="229"/>
      <c r="W136" s="229"/>
      <c r="X136" s="229"/>
      <c r="Y136" s="40" t="n">
        <f aca="false">H10</f>
        <v>550</v>
      </c>
      <c r="Z136" s="11" t="n">
        <f aca="false">Y136</f>
        <v>550</v>
      </c>
      <c r="AB136" s="229" t="s">
        <v>11</v>
      </c>
      <c r="AC136" s="229"/>
      <c r="AD136" s="229"/>
      <c r="AE136" s="229"/>
      <c r="AF136" s="229"/>
      <c r="AG136" s="229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9" t="s">
        <v>12</v>
      </c>
      <c r="B137" s="229"/>
      <c r="C137" s="229"/>
      <c r="D137" s="229"/>
      <c r="E137" s="229"/>
      <c r="F137" s="229"/>
      <c r="G137" s="40" t="n">
        <f aca="false">H11</f>
        <v>9647.5</v>
      </c>
      <c r="H137" s="11" t="n">
        <f aca="false">(H135+H136)*20%</f>
        <v>9647.5</v>
      </c>
      <c r="J137" s="229" t="s">
        <v>12</v>
      </c>
      <c r="K137" s="229"/>
      <c r="L137" s="229"/>
      <c r="M137" s="229"/>
      <c r="N137" s="229"/>
      <c r="O137" s="229"/>
      <c r="P137" s="40" t="n">
        <f aca="false">H11</f>
        <v>9647.5</v>
      </c>
      <c r="Q137" s="11" t="n">
        <f aca="false">(Q135+Q136)*20%</f>
        <v>6002.5</v>
      </c>
      <c r="S137" s="229" t="s">
        <v>12</v>
      </c>
      <c r="T137" s="229"/>
      <c r="U137" s="229"/>
      <c r="V137" s="229"/>
      <c r="W137" s="229"/>
      <c r="X137" s="229"/>
      <c r="Y137" s="40" t="n">
        <f aca="false">H11</f>
        <v>9647.5</v>
      </c>
      <c r="Z137" s="11" t="n">
        <f aca="false">(Z135+Z136)*20%</f>
        <v>9624.072915</v>
      </c>
      <c r="AB137" s="229" t="s">
        <v>12</v>
      </c>
      <c r="AC137" s="229"/>
      <c r="AD137" s="229"/>
      <c r="AE137" s="229"/>
      <c r="AF137" s="229"/>
      <c r="AG137" s="229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9" t="s">
        <v>13</v>
      </c>
      <c r="B138" s="229"/>
      <c r="C138" s="229"/>
      <c r="D138" s="229"/>
      <c r="E138" s="229"/>
      <c r="F138" s="229"/>
      <c r="G138" s="40" t="n">
        <f aca="false">H12</f>
        <v>0</v>
      </c>
      <c r="H138" s="11" t="n">
        <f aca="false">G138</f>
        <v>0</v>
      </c>
      <c r="J138" s="229" t="s">
        <v>13</v>
      </c>
      <c r="K138" s="229"/>
      <c r="L138" s="229"/>
      <c r="M138" s="229"/>
      <c r="N138" s="229"/>
      <c r="O138" s="229"/>
      <c r="P138" s="40" t="n">
        <f aca="false">H12</f>
        <v>0</v>
      </c>
      <c r="Q138" s="11" t="n">
        <f aca="false">P138</f>
        <v>0</v>
      </c>
      <c r="S138" s="229" t="s">
        <v>13</v>
      </c>
      <c r="T138" s="229"/>
      <c r="U138" s="229"/>
      <c r="V138" s="229"/>
      <c r="W138" s="229"/>
      <c r="X138" s="229"/>
      <c r="Y138" s="40" t="n">
        <f aca="false">H12</f>
        <v>0</v>
      </c>
      <c r="Z138" s="11" t="n">
        <f aca="false">Y138</f>
        <v>0</v>
      </c>
      <c r="AB138" s="229" t="s">
        <v>13</v>
      </c>
      <c r="AC138" s="229"/>
      <c r="AD138" s="229"/>
      <c r="AE138" s="229"/>
      <c r="AF138" s="229"/>
      <c r="AG138" s="229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9" t="s">
        <v>14</v>
      </c>
      <c r="B139" s="229"/>
      <c r="C139" s="229"/>
      <c r="D139" s="229"/>
      <c r="E139" s="229"/>
      <c r="F139" s="229"/>
      <c r="G139" s="40" t="n">
        <f aca="false">H13</f>
        <v>585</v>
      </c>
      <c r="H139" s="11" t="n">
        <f aca="false">G139</f>
        <v>585</v>
      </c>
      <c r="J139" s="229" t="s">
        <v>14</v>
      </c>
      <c r="K139" s="229"/>
      <c r="L139" s="229"/>
      <c r="M139" s="229"/>
      <c r="N139" s="229"/>
      <c r="O139" s="229"/>
      <c r="P139" s="40" t="n">
        <f aca="false">H13</f>
        <v>585</v>
      </c>
      <c r="Q139" s="11" t="n">
        <f aca="false">P139</f>
        <v>585</v>
      </c>
      <c r="S139" s="229" t="s">
        <v>14</v>
      </c>
      <c r="T139" s="229"/>
      <c r="U139" s="229"/>
      <c r="V139" s="229"/>
      <c r="W139" s="229"/>
      <c r="X139" s="229"/>
      <c r="Y139" s="40" t="n">
        <f aca="false">H13</f>
        <v>585</v>
      </c>
      <c r="Z139" s="11" t="n">
        <f aca="false">Y139</f>
        <v>585</v>
      </c>
      <c r="AB139" s="229" t="s">
        <v>14</v>
      </c>
      <c r="AC139" s="229"/>
      <c r="AD139" s="229"/>
      <c r="AE139" s="229"/>
      <c r="AF139" s="229"/>
      <c r="AG139" s="229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9" t="s">
        <v>15</v>
      </c>
      <c r="B140" s="229"/>
      <c r="C140" s="229"/>
      <c r="D140" s="229"/>
      <c r="E140" s="229"/>
      <c r="F140" s="229"/>
      <c r="G140" s="40" t="n">
        <f aca="false">H14</f>
        <v>55</v>
      </c>
      <c r="H140" s="11" t="n">
        <v>55</v>
      </c>
      <c r="J140" s="229" t="s">
        <v>15</v>
      </c>
      <c r="K140" s="229"/>
      <c r="L140" s="229"/>
      <c r="M140" s="229"/>
      <c r="N140" s="229"/>
      <c r="O140" s="229"/>
      <c r="P140" s="40" t="n">
        <f aca="false">H14</f>
        <v>55</v>
      </c>
      <c r="Q140" s="11" t="n">
        <v>55</v>
      </c>
      <c r="S140" s="229" t="s">
        <v>15</v>
      </c>
      <c r="T140" s="229"/>
      <c r="U140" s="229"/>
      <c r="V140" s="229"/>
      <c r="W140" s="229"/>
      <c r="X140" s="229"/>
      <c r="Y140" s="40" t="n">
        <f aca="false">H14</f>
        <v>55</v>
      </c>
      <c r="Z140" s="11" t="n">
        <v>55</v>
      </c>
      <c r="AB140" s="229" t="s">
        <v>15</v>
      </c>
      <c r="AC140" s="229"/>
      <c r="AD140" s="229"/>
      <c r="AE140" s="229"/>
      <c r="AF140" s="229"/>
      <c r="AG140" s="229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9" t="s">
        <v>17</v>
      </c>
      <c r="B141" s="229"/>
      <c r="C141" s="229"/>
      <c r="D141" s="229"/>
      <c r="E141" s="229"/>
      <c r="F141" s="229"/>
      <c r="G141" s="360" t="n">
        <f aca="false">H15</f>
        <v>58525</v>
      </c>
      <c r="H141" s="311" t="n">
        <f aca="false">(H135+H136+H139+H140+H137)-H138</f>
        <v>58525</v>
      </c>
      <c r="J141" s="229" t="s">
        <v>17</v>
      </c>
      <c r="K141" s="229"/>
      <c r="L141" s="229"/>
      <c r="M141" s="229"/>
      <c r="N141" s="229"/>
      <c r="O141" s="229"/>
      <c r="P141" s="360" t="n">
        <f aca="false">H15</f>
        <v>58525</v>
      </c>
      <c r="Q141" s="311" t="n">
        <f aca="false">(Q135+Q136+Q139+Q140+Q137)-Q138</f>
        <v>36655</v>
      </c>
      <c r="S141" s="229" t="s">
        <v>17</v>
      </c>
      <c r="T141" s="229"/>
      <c r="U141" s="229"/>
      <c r="V141" s="229"/>
      <c r="W141" s="229"/>
      <c r="X141" s="229"/>
      <c r="Y141" s="360" t="n">
        <f aca="false">H15</f>
        <v>58525</v>
      </c>
      <c r="Z141" s="311" t="n">
        <f aca="false">(Z135+Z136+Z139+Z140+Z137)-Z138</f>
        <v>58384.43749</v>
      </c>
      <c r="AB141" s="229" t="s">
        <v>17</v>
      </c>
      <c r="AC141" s="229"/>
      <c r="AD141" s="229"/>
      <c r="AE141" s="229"/>
      <c r="AF141" s="229"/>
      <c r="AG141" s="229"/>
      <c r="AH141" s="360" t="n">
        <f aca="false">H15</f>
        <v>58525</v>
      </c>
      <c r="AI141" s="311" t="n">
        <f aca="false">(AI135+AI136+AI139+AI140+AI137)-AI138</f>
        <v>44468.749</v>
      </c>
    </row>
    <row r="142" customFormat="false" ht="17.35" hidden="false" customHeight="false" outlineLevel="0" collapsed="false">
      <c r="A142" s="229" t="s">
        <v>18</v>
      </c>
      <c r="B142" s="229"/>
      <c r="C142" s="229"/>
      <c r="D142" s="229"/>
      <c r="E142" s="229"/>
      <c r="F142" s="229"/>
      <c r="G142" s="40" t="n">
        <f aca="false">H16</f>
        <v>0</v>
      </c>
      <c r="H142" s="242" t="n">
        <f aca="false">G142</f>
        <v>0</v>
      </c>
      <c r="J142" s="229" t="s">
        <v>18</v>
      </c>
      <c r="K142" s="229"/>
      <c r="L142" s="229"/>
      <c r="M142" s="229"/>
      <c r="N142" s="229"/>
      <c r="O142" s="229"/>
      <c r="P142" s="40" t="n">
        <f aca="false">H16</f>
        <v>0</v>
      </c>
      <c r="Q142" s="242" t="n">
        <f aca="false">P142</f>
        <v>0</v>
      </c>
      <c r="S142" s="229" t="s">
        <v>18</v>
      </c>
      <c r="T142" s="229"/>
      <c r="U142" s="229"/>
      <c r="V142" s="229"/>
      <c r="W142" s="229"/>
      <c r="X142" s="229"/>
      <c r="Y142" s="40" t="n">
        <f aca="false">H16</f>
        <v>0</v>
      </c>
      <c r="Z142" s="242" t="n">
        <f aca="false">Y142</f>
        <v>0</v>
      </c>
      <c r="AB142" s="229" t="s">
        <v>18</v>
      </c>
      <c r="AC142" s="229"/>
      <c r="AD142" s="229"/>
      <c r="AE142" s="229"/>
      <c r="AF142" s="229"/>
      <c r="AG142" s="229"/>
      <c r="AH142" s="40" t="n">
        <f aca="false">H16</f>
        <v>0</v>
      </c>
      <c r="AI142" s="242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5"/>
      <c r="H143" s="11"/>
      <c r="J143" s="129" t="s">
        <v>20</v>
      </c>
      <c r="K143" s="129"/>
      <c r="L143" s="129"/>
      <c r="M143" s="129"/>
      <c r="N143" s="129"/>
      <c r="O143" s="129"/>
      <c r="P143" s="215"/>
      <c r="Q143" s="11"/>
      <c r="S143" s="129" t="s">
        <v>20</v>
      </c>
      <c r="T143" s="129"/>
      <c r="U143" s="129"/>
      <c r="V143" s="129"/>
      <c r="W143" s="129"/>
      <c r="X143" s="129"/>
      <c r="Y143" s="215"/>
      <c r="Z143" s="11"/>
      <c r="AB143" s="129" t="s">
        <v>20</v>
      </c>
      <c r="AC143" s="129"/>
      <c r="AD143" s="129"/>
      <c r="AE143" s="129"/>
      <c r="AF143" s="129"/>
      <c r="AG143" s="129"/>
      <c r="AH143" s="215"/>
      <c r="AI143" s="11"/>
    </row>
    <row r="144" customFormat="false" ht="17.35" hidden="false" customHeight="false" outlineLevel="0" collapsed="false">
      <c r="A144" s="232" t="s">
        <v>19</v>
      </c>
      <c r="B144" s="233" t="s">
        <v>23</v>
      </c>
      <c r="C144" s="233"/>
      <c r="D144" s="233"/>
      <c r="E144" s="233"/>
      <c r="F144" s="233"/>
      <c r="G144" s="40" t="n">
        <f aca="false">H18</f>
        <v>0</v>
      </c>
      <c r="H144" s="242" t="n">
        <f aca="false">G144</f>
        <v>0</v>
      </c>
      <c r="J144" s="232" t="s">
        <v>19</v>
      </c>
      <c r="K144" s="233" t="s">
        <v>23</v>
      </c>
      <c r="L144" s="233"/>
      <c r="M144" s="233"/>
      <c r="N144" s="233"/>
      <c r="O144" s="233"/>
      <c r="P144" s="40" t="n">
        <f aca="false">H18</f>
        <v>0</v>
      </c>
      <c r="Q144" s="242" t="n">
        <f aca="false">P144</f>
        <v>0</v>
      </c>
      <c r="S144" s="232" t="s">
        <v>19</v>
      </c>
      <c r="T144" s="233" t="s">
        <v>23</v>
      </c>
      <c r="U144" s="233"/>
      <c r="V144" s="233"/>
      <c r="W144" s="233"/>
      <c r="X144" s="233"/>
      <c r="Y144" s="40" t="n">
        <f aca="false">H18</f>
        <v>0</v>
      </c>
      <c r="Z144" s="242" t="n">
        <f aca="false">Y144</f>
        <v>0</v>
      </c>
      <c r="AB144" s="232" t="s">
        <v>19</v>
      </c>
      <c r="AC144" s="233" t="s">
        <v>23</v>
      </c>
      <c r="AD144" s="233"/>
      <c r="AE144" s="233"/>
      <c r="AF144" s="233"/>
      <c r="AG144" s="233"/>
      <c r="AH144" s="40" t="n">
        <f aca="false">H18</f>
        <v>0</v>
      </c>
      <c r="AI144" s="242" t="n">
        <f aca="false">AH144</f>
        <v>0</v>
      </c>
    </row>
    <row r="145" customFormat="false" ht="17.35" hidden="false" customHeight="false" outlineLevel="0" collapsed="false">
      <c r="A145" s="232" t="s">
        <v>22</v>
      </c>
      <c r="B145" s="233" t="s">
        <v>23</v>
      </c>
      <c r="C145" s="233"/>
      <c r="D145" s="233"/>
      <c r="E145" s="233"/>
      <c r="F145" s="233"/>
      <c r="G145" s="40" t="n">
        <f aca="false">H19</f>
        <v>0</v>
      </c>
      <c r="H145" s="242" t="n">
        <f aca="false">G145</f>
        <v>0</v>
      </c>
      <c r="I145" s="216" t="n">
        <f aca="false">(G142+G145+G146+G144)</f>
        <v>0</v>
      </c>
      <c r="J145" s="232" t="s">
        <v>22</v>
      </c>
      <c r="K145" s="233" t="s">
        <v>23</v>
      </c>
      <c r="L145" s="233"/>
      <c r="M145" s="233"/>
      <c r="N145" s="233"/>
      <c r="O145" s="233"/>
      <c r="P145" s="40" t="n">
        <f aca="false">H19</f>
        <v>0</v>
      </c>
      <c r="Q145" s="242" t="n">
        <f aca="false">P145</f>
        <v>0</v>
      </c>
      <c r="S145" s="232" t="s">
        <v>22</v>
      </c>
      <c r="T145" s="233" t="s">
        <v>23</v>
      </c>
      <c r="U145" s="233"/>
      <c r="V145" s="233"/>
      <c r="W145" s="233"/>
      <c r="X145" s="233"/>
      <c r="Y145" s="40" t="n">
        <f aca="false">H19</f>
        <v>0</v>
      </c>
      <c r="Z145" s="242" t="n">
        <f aca="false">Y145</f>
        <v>0</v>
      </c>
      <c r="AB145" s="232" t="s">
        <v>22</v>
      </c>
      <c r="AC145" s="233" t="s">
        <v>23</v>
      </c>
      <c r="AD145" s="233"/>
      <c r="AE145" s="233"/>
      <c r="AF145" s="233"/>
      <c r="AG145" s="233"/>
      <c r="AH145" s="40" t="n">
        <f aca="false">H19</f>
        <v>0</v>
      </c>
      <c r="AI145" s="242" t="n">
        <f aca="false">AH145</f>
        <v>0</v>
      </c>
    </row>
    <row r="146" customFormat="false" ht="17.35" hidden="false" customHeight="false" outlineLevel="0" collapsed="false">
      <c r="A146" s="313" t="s">
        <v>24</v>
      </c>
      <c r="B146" s="314" t="s">
        <v>23</v>
      </c>
      <c r="C146" s="314"/>
      <c r="D146" s="314"/>
      <c r="E146" s="314"/>
      <c r="F146" s="314"/>
      <c r="G146" s="40" t="n">
        <f aca="false">H20</f>
        <v>0</v>
      </c>
      <c r="H146" s="242" t="n">
        <f aca="false">G146</f>
        <v>0</v>
      </c>
      <c r="I146" s="216" t="n">
        <f aca="false">(H142+H144+H145+H146)</f>
        <v>0</v>
      </c>
      <c r="J146" s="313" t="s">
        <v>24</v>
      </c>
      <c r="K146" s="314" t="s">
        <v>23</v>
      </c>
      <c r="L146" s="314"/>
      <c r="M146" s="314"/>
      <c r="N146" s="314"/>
      <c r="O146" s="314"/>
      <c r="P146" s="40" t="n">
        <f aca="false">H20</f>
        <v>0</v>
      </c>
      <c r="Q146" s="242" t="n">
        <f aca="false">P146</f>
        <v>0</v>
      </c>
      <c r="S146" s="313" t="s">
        <v>24</v>
      </c>
      <c r="T146" s="314" t="s">
        <v>23</v>
      </c>
      <c r="U146" s="314"/>
      <c r="V146" s="314"/>
      <c r="W146" s="314"/>
      <c r="X146" s="314"/>
      <c r="Y146" s="40" t="n">
        <f aca="false">H20</f>
        <v>0</v>
      </c>
      <c r="Z146" s="242" t="n">
        <f aca="false">Y146</f>
        <v>0</v>
      </c>
      <c r="AB146" s="313" t="s">
        <v>24</v>
      </c>
      <c r="AC146" s="314" t="s">
        <v>23</v>
      </c>
      <c r="AD146" s="314"/>
      <c r="AE146" s="314"/>
      <c r="AF146" s="314"/>
      <c r="AG146" s="314"/>
      <c r="AH146" s="40" t="n">
        <f aca="false">H20</f>
        <v>0</v>
      </c>
      <c r="AI146" s="242" t="n">
        <f aca="false">AH146</f>
        <v>0</v>
      </c>
    </row>
    <row r="147" customFormat="false" ht="19.7" hidden="false" customHeight="false" outlineLevel="0" collapsed="false">
      <c r="A147" s="229" t="s">
        <v>27</v>
      </c>
      <c r="B147" s="229"/>
      <c r="C147" s="229"/>
      <c r="D147" s="229"/>
      <c r="E147" s="229"/>
      <c r="F147" s="229"/>
      <c r="G147" s="360" t="n">
        <f aca="false">G141-((G144*1.2)+(G145*1.2)+(G146*1.2)+(G142*1.2))</f>
        <v>58525</v>
      </c>
      <c r="H147" s="315" t="n">
        <f aca="false">H141-((H144*1.2)+(H145*1.2)+(H146*1.2)+(H142*1.2))</f>
        <v>58525</v>
      </c>
      <c r="J147" s="229" t="s">
        <v>27</v>
      </c>
      <c r="K147" s="229"/>
      <c r="L147" s="229"/>
      <c r="M147" s="229"/>
      <c r="N147" s="229"/>
      <c r="O147" s="229"/>
      <c r="P147" s="360" t="n">
        <f aca="false">P141-((P144*1.2)+(P145*1.2)+(P146*1.2)+(P142*1.2))</f>
        <v>58525</v>
      </c>
      <c r="Q147" s="315" t="n">
        <f aca="false">Q141-((Q144*1.2)+(Q145*1.2)+(Q146*1.2)+(Q142*1.2))</f>
        <v>36655</v>
      </c>
      <c r="S147" s="229" t="s">
        <v>27</v>
      </c>
      <c r="T147" s="229"/>
      <c r="U147" s="229"/>
      <c r="V147" s="229"/>
      <c r="W147" s="229"/>
      <c r="X147" s="229"/>
      <c r="Y147" s="360" t="n">
        <f aca="false">Y141-((Y144*1.2)+(Y145*1.2)+(Y146*1.2)+(Y142*1.2))</f>
        <v>58525</v>
      </c>
      <c r="Z147" s="315" t="n">
        <f aca="false">Z141-((Z144*1.2)+(Z145*1.2)+(Z146*1.2)+(Z142*1.2))</f>
        <v>58384.43749</v>
      </c>
      <c r="AB147" s="229" t="s">
        <v>27</v>
      </c>
      <c r="AC147" s="229"/>
      <c r="AD147" s="229"/>
      <c r="AE147" s="229"/>
      <c r="AF147" s="229"/>
      <c r="AG147" s="229"/>
      <c r="AH147" s="360" t="n">
        <f aca="false">AH141-((AH144*1.2)+(AH145*1.2)+(AH146*1.2)+(AH142*1.2))</f>
        <v>58525</v>
      </c>
      <c r="AI147" s="31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9" t="s">
        <v>243</v>
      </c>
      <c r="B148" s="229"/>
      <c r="C148" s="229"/>
      <c r="D148" s="229"/>
      <c r="E148" s="229"/>
      <c r="F148" s="229"/>
      <c r="G148" s="40"/>
      <c r="H148" s="242" t="n">
        <f aca="false">Q147-P147</f>
        <v>-21870</v>
      </c>
      <c r="I148" s="216" t="n">
        <f aca="false">(H148-G81)/1.2</f>
        <v>-18225</v>
      </c>
      <c r="J148" s="229" t="s">
        <v>243</v>
      </c>
      <c r="K148" s="229"/>
      <c r="L148" s="229"/>
      <c r="M148" s="229"/>
      <c r="N148" s="229"/>
      <c r="O148" s="229"/>
      <c r="P148" s="40"/>
      <c r="Q148" s="242" t="n">
        <f aca="false">Q147-P147</f>
        <v>-21870</v>
      </c>
      <c r="S148" s="229" t="s">
        <v>243</v>
      </c>
      <c r="T148" s="229"/>
      <c r="U148" s="229"/>
      <c r="V148" s="229"/>
      <c r="W148" s="229"/>
      <c r="X148" s="229"/>
      <c r="Y148" s="40"/>
      <c r="Z148" s="242" t="n">
        <f aca="false">Z147-Y147</f>
        <v>-140.562510000003</v>
      </c>
      <c r="AB148" s="229" t="s">
        <v>243</v>
      </c>
      <c r="AC148" s="229"/>
      <c r="AD148" s="229"/>
      <c r="AE148" s="229"/>
      <c r="AF148" s="229"/>
      <c r="AG148" s="229"/>
      <c r="AH148" s="40"/>
      <c r="AI148" s="242" t="n">
        <f aca="false">AI147-AH147</f>
        <v>-14056.251</v>
      </c>
    </row>
    <row r="149" customFormat="false" ht="17.35" hidden="false" customHeight="false" outlineLevel="0" collapsed="false">
      <c r="A149" s="221"/>
      <c r="B149" s="331"/>
      <c r="C149" s="331"/>
      <c r="D149" s="331"/>
      <c r="E149" s="236"/>
      <c r="F149" s="236"/>
      <c r="G149" s="236"/>
      <c r="H149" s="11"/>
      <c r="J149" s="221"/>
      <c r="K149" s="331"/>
      <c r="L149" s="331"/>
      <c r="M149" s="331"/>
      <c r="N149" s="236"/>
      <c r="O149" s="236"/>
      <c r="P149" s="236"/>
      <c r="Q149" s="11"/>
      <c r="S149" s="221"/>
      <c r="T149" s="331"/>
      <c r="U149" s="331"/>
      <c r="V149" s="331"/>
      <c r="W149" s="236"/>
      <c r="X149" s="236"/>
      <c r="Y149" s="236"/>
      <c r="Z149" s="11"/>
      <c r="AB149" s="221"/>
      <c r="AC149" s="331"/>
      <c r="AD149" s="331"/>
      <c r="AE149" s="331"/>
      <c r="AF149" s="236"/>
      <c r="AG149" s="236"/>
      <c r="AH149" s="236"/>
      <c r="AI149" s="11"/>
    </row>
    <row r="150" customFormat="false" ht="22.05" hidden="false" customHeight="false" outlineLevel="0" collapsed="false">
      <c r="A150" s="240" t="s">
        <v>244</v>
      </c>
      <c r="B150" s="240"/>
      <c r="C150" s="240"/>
      <c r="D150" s="240"/>
      <c r="E150" s="240"/>
      <c r="F150" s="240"/>
      <c r="G150" s="240"/>
      <c r="H150" s="240"/>
      <c r="J150" s="240" t="s">
        <v>244</v>
      </c>
      <c r="K150" s="240"/>
      <c r="L150" s="240"/>
      <c r="M150" s="240"/>
      <c r="N150" s="240"/>
      <c r="O150" s="240"/>
      <c r="P150" s="240"/>
      <c r="Q150" s="240"/>
      <c r="S150" s="240" t="s">
        <v>244</v>
      </c>
      <c r="T150" s="240"/>
      <c r="U150" s="240"/>
      <c r="V150" s="240"/>
      <c r="W150" s="240"/>
      <c r="X150" s="240"/>
      <c r="Y150" s="240"/>
      <c r="Z150" s="240"/>
      <c r="AB150" s="240" t="s">
        <v>244</v>
      </c>
      <c r="AC150" s="240"/>
      <c r="AD150" s="240"/>
      <c r="AE150" s="240"/>
      <c r="AF150" s="240"/>
      <c r="AG150" s="240"/>
      <c r="AH150" s="240"/>
      <c r="AI150" s="240"/>
    </row>
    <row r="151" customFormat="false" ht="17.35" hidden="false" customHeight="false" outlineLevel="0" collapsed="false">
      <c r="A151" s="221"/>
      <c r="B151" s="331"/>
      <c r="C151" s="331"/>
      <c r="D151" s="331"/>
      <c r="E151" s="236"/>
      <c r="F151" s="236"/>
      <c r="G151" s="236"/>
      <c r="H151" s="11"/>
      <c r="J151" s="221"/>
      <c r="K151" s="331"/>
      <c r="L151" s="331"/>
      <c r="M151" s="331"/>
      <c r="N151" s="236"/>
      <c r="O151" s="236"/>
      <c r="P151" s="236"/>
      <c r="Q151" s="11"/>
      <c r="S151" s="221"/>
      <c r="T151" s="331"/>
      <c r="U151" s="331"/>
      <c r="V151" s="331"/>
      <c r="W151" s="236"/>
      <c r="X151" s="236"/>
      <c r="Y151" s="236"/>
      <c r="Z151" s="11"/>
      <c r="AB151" s="221"/>
      <c r="AC151" s="331"/>
      <c r="AD151" s="331"/>
      <c r="AE151" s="331"/>
      <c r="AF151" s="236"/>
      <c r="AG151" s="236"/>
      <c r="AH151" s="236"/>
      <c r="AI151" s="11"/>
    </row>
    <row r="152" customFormat="false" ht="17.35" hidden="false" customHeight="false" outlineLevel="0" collapsed="false">
      <c r="A152" s="221" t="s">
        <v>138</v>
      </c>
      <c r="B152" s="331"/>
      <c r="C152" s="331"/>
      <c r="D152" s="236"/>
      <c r="E152" s="112" t="n">
        <v>0</v>
      </c>
      <c r="F152" s="112"/>
      <c r="G152" s="112" t="n">
        <v>0</v>
      </c>
      <c r="H152" s="112"/>
      <c r="J152" s="221" t="s">
        <v>138</v>
      </c>
      <c r="K152" s="331"/>
      <c r="L152" s="331"/>
      <c r="M152" s="236"/>
      <c r="N152" s="112" t="n">
        <v>10000</v>
      </c>
      <c r="O152" s="112"/>
      <c r="P152" s="112" t="n">
        <v>5000</v>
      </c>
      <c r="Q152" s="112"/>
      <c r="S152" s="221" t="s">
        <v>138</v>
      </c>
      <c r="T152" s="331"/>
      <c r="U152" s="331"/>
      <c r="V152" s="236"/>
      <c r="W152" s="112" t="n">
        <v>10000</v>
      </c>
      <c r="X152" s="112"/>
      <c r="Y152" s="112" t="n">
        <v>5000</v>
      </c>
      <c r="Z152" s="112"/>
      <c r="AB152" s="221" t="s">
        <v>138</v>
      </c>
      <c r="AC152" s="331"/>
      <c r="AD152" s="331"/>
      <c r="AE152" s="236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1" t="s">
        <v>139</v>
      </c>
      <c r="B153" s="331"/>
      <c r="C153" s="331"/>
      <c r="D153" s="236"/>
      <c r="E153" s="210" t="n">
        <f aca="false">G153</f>
        <v>0</v>
      </c>
      <c r="F153" s="210"/>
      <c r="G153" s="112" t="n">
        <v>0</v>
      </c>
      <c r="H153" s="112"/>
      <c r="J153" s="221" t="s">
        <v>139</v>
      </c>
      <c r="K153" s="331"/>
      <c r="L153" s="331"/>
      <c r="M153" s="236"/>
      <c r="N153" s="210" t="n">
        <f aca="false">P153</f>
        <v>7000</v>
      </c>
      <c r="O153" s="210"/>
      <c r="P153" s="112" t="n">
        <v>7000</v>
      </c>
      <c r="Q153" s="112"/>
      <c r="S153" s="221" t="s">
        <v>139</v>
      </c>
      <c r="T153" s="331"/>
      <c r="U153" s="331"/>
      <c r="V153" s="236"/>
      <c r="W153" s="210" t="n">
        <f aca="false">Y153</f>
        <v>7000</v>
      </c>
      <c r="X153" s="210"/>
      <c r="Y153" s="112" t="n">
        <v>7000</v>
      </c>
      <c r="Z153" s="112"/>
      <c r="AB153" s="221" t="s">
        <v>139</v>
      </c>
      <c r="AC153" s="331"/>
      <c r="AD153" s="331"/>
      <c r="AE153" s="236"/>
      <c r="AF153" s="210" t="n">
        <f aca="false">AH153</f>
        <v>7000</v>
      </c>
      <c r="AG153" s="210"/>
      <c r="AH153" s="112" t="n">
        <v>7000</v>
      </c>
      <c r="AI153" s="112"/>
    </row>
    <row r="154" customFormat="false" ht="17.35" hidden="false" customHeight="false" outlineLevel="0" collapsed="false">
      <c r="A154" s="221" t="s">
        <v>140</v>
      </c>
      <c r="B154" s="331"/>
      <c r="C154" s="331"/>
      <c r="D154" s="236"/>
      <c r="E154" s="210" t="n">
        <f aca="false">E152-E153</f>
        <v>0</v>
      </c>
      <c r="F154" s="210"/>
      <c r="G154" s="115" t="n">
        <f aca="false">G152-G153</f>
        <v>0</v>
      </c>
      <c r="H154" s="115"/>
      <c r="J154" s="221" t="s">
        <v>140</v>
      </c>
      <c r="K154" s="331"/>
      <c r="L154" s="331"/>
      <c r="M154" s="236"/>
      <c r="N154" s="210" t="n">
        <f aca="false">N152-N153</f>
        <v>3000</v>
      </c>
      <c r="O154" s="210"/>
      <c r="P154" s="115" t="n">
        <f aca="false">P152-P153</f>
        <v>-2000</v>
      </c>
      <c r="Q154" s="115"/>
      <c r="S154" s="221" t="s">
        <v>140</v>
      </c>
      <c r="T154" s="331"/>
      <c r="U154" s="331"/>
      <c r="V154" s="236"/>
      <c r="W154" s="210" t="n">
        <f aca="false">W152-W153</f>
        <v>3000</v>
      </c>
      <c r="X154" s="210"/>
      <c r="Y154" s="115" t="n">
        <f aca="false">Y152-Y153</f>
        <v>-2000</v>
      </c>
      <c r="Z154" s="115"/>
      <c r="AB154" s="221" t="s">
        <v>140</v>
      </c>
      <c r="AC154" s="331"/>
      <c r="AD154" s="331"/>
      <c r="AE154" s="236"/>
      <c r="AF154" s="210" t="n">
        <f aca="false">AF152-AF153</f>
        <v>3000</v>
      </c>
      <c r="AG154" s="210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1" t="s">
        <v>141</v>
      </c>
      <c r="B155" s="331"/>
      <c r="C155" s="331"/>
      <c r="D155" s="236"/>
      <c r="E155" s="210" t="n">
        <f aca="false">E154-G154</f>
        <v>0</v>
      </c>
      <c r="F155" s="210"/>
      <c r="G155" s="236"/>
      <c r="H155" s="11"/>
      <c r="J155" s="221" t="s">
        <v>141</v>
      </c>
      <c r="K155" s="331"/>
      <c r="L155" s="331"/>
      <c r="M155" s="236"/>
      <c r="N155" s="210" t="n">
        <f aca="false">N154-P154</f>
        <v>5000</v>
      </c>
      <c r="O155" s="210"/>
      <c r="P155" s="236"/>
      <c r="Q155" s="11"/>
      <c r="S155" s="221" t="s">
        <v>141</v>
      </c>
      <c r="T155" s="331"/>
      <c r="U155" s="331"/>
      <c r="V155" s="236"/>
      <c r="W155" s="210" t="n">
        <f aca="false">W154-Y154</f>
        <v>5000</v>
      </c>
      <c r="X155" s="210"/>
      <c r="Y155" s="236"/>
      <c r="Z155" s="11"/>
      <c r="AB155" s="221" t="s">
        <v>141</v>
      </c>
      <c r="AC155" s="331"/>
      <c r="AD155" s="331"/>
      <c r="AE155" s="236"/>
      <c r="AF155" s="210" t="n">
        <f aca="false">AF154-AH154</f>
        <v>5000</v>
      </c>
      <c r="AG155" s="210"/>
      <c r="AH155" s="236"/>
      <c r="AI155" s="11"/>
    </row>
    <row r="156" customFormat="false" ht="17.35" hidden="false" customHeight="false" outlineLevel="0" collapsed="false">
      <c r="A156" s="221"/>
      <c r="B156" s="331"/>
      <c r="C156" s="331"/>
      <c r="D156" s="236"/>
      <c r="E156" s="331"/>
      <c r="F156" s="236"/>
      <c r="G156" s="236"/>
      <c r="H156" s="11"/>
      <c r="J156" s="221"/>
      <c r="K156" s="331"/>
      <c r="L156" s="331"/>
      <c r="M156" s="236"/>
      <c r="N156" s="331"/>
      <c r="O156" s="236"/>
      <c r="P156" s="236"/>
      <c r="Q156" s="11"/>
      <c r="S156" s="221"/>
      <c r="T156" s="331"/>
      <c r="U156" s="331"/>
      <c r="V156" s="236"/>
      <c r="W156" s="331"/>
      <c r="X156" s="236"/>
      <c r="Y156" s="236"/>
      <c r="Z156" s="11"/>
      <c r="AB156" s="221"/>
      <c r="AC156" s="331"/>
      <c r="AD156" s="331"/>
      <c r="AE156" s="236"/>
      <c r="AF156" s="331"/>
      <c r="AG156" s="236"/>
      <c r="AH156" s="236"/>
      <c r="AI156" s="11"/>
    </row>
    <row r="157" customFormat="false" ht="17.35" hidden="false" customHeight="false" outlineLevel="0" collapsed="false">
      <c r="A157" s="238" t="s">
        <v>245</v>
      </c>
      <c r="B157" s="239"/>
      <c r="C157" s="239"/>
      <c r="D157" s="262"/>
      <c r="E157" s="239"/>
      <c r="F157" s="262"/>
      <c r="G157" s="317" t="n">
        <f aca="false">A114</f>
        <v>0</v>
      </c>
      <c r="H157" s="317"/>
      <c r="J157" s="238" t="s">
        <v>245</v>
      </c>
      <c r="K157" s="239"/>
      <c r="L157" s="239"/>
      <c r="M157" s="262"/>
      <c r="N157" s="239"/>
      <c r="O157" s="262"/>
      <c r="P157" s="317" t="n">
        <f aca="false">J114</f>
        <v>1000</v>
      </c>
      <c r="Q157" s="317"/>
      <c r="S157" s="238" t="s">
        <v>245</v>
      </c>
      <c r="T157" s="239"/>
      <c r="U157" s="239"/>
      <c r="V157" s="262"/>
      <c r="W157" s="239"/>
      <c r="X157" s="262"/>
      <c r="Y157" s="317" t="n">
        <f aca="false">S114</f>
        <v>1000</v>
      </c>
      <c r="Z157" s="317"/>
      <c r="AB157" s="238" t="s">
        <v>245</v>
      </c>
      <c r="AC157" s="239"/>
      <c r="AD157" s="239"/>
      <c r="AE157" s="262"/>
      <c r="AF157" s="239"/>
      <c r="AG157" s="262"/>
      <c r="AH157" s="317" t="n">
        <f aca="false">AB114</f>
        <v>1000</v>
      </c>
      <c r="AI157" s="317"/>
    </row>
    <row r="158" customFormat="false" ht="19.7" hidden="false" customHeight="false" outlineLevel="0" collapsed="false">
      <c r="A158" s="318" t="s">
        <v>246</v>
      </c>
      <c r="B158" s="331"/>
      <c r="C158" s="331"/>
      <c r="D158" s="342"/>
      <c r="E158" s="331"/>
      <c r="F158" s="342"/>
      <c r="G158" s="319" t="n">
        <f aca="false">H147-G154-G157</f>
        <v>58525</v>
      </c>
      <c r="H158" s="319"/>
      <c r="J158" s="318" t="s">
        <v>246</v>
      </c>
      <c r="K158" s="331"/>
      <c r="L158" s="331"/>
      <c r="M158" s="342"/>
      <c r="N158" s="331"/>
      <c r="O158" s="342"/>
      <c r="P158" s="319" t="n">
        <f aca="false">Q147-P154-P157</f>
        <v>37655</v>
      </c>
      <c r="Q158" s="319"/>
      <c r="S158" s="318" t="s">
        <v>246</v>
      </c>
      <c r="T158" s="331"/>
      <c r="U158" s="331"/>
      <c r="V158" s="342"/>
      <c r="W158" s="331"/>
      <c r="X158" s="342"/>
      <c r="Y158" s="319" t="n">
        <f aca="false">Z147-Y154-Y157</f>
        <v>59384.43749</v>
      </c>
      <c r="Z158" s="319"/>
      <c r="AB158" s="318" t="s">
        <v>246</v>
      </c>
      <c r="AC158" s="331"/>
      <c r="AD158" s="331"/>
      <c r="AE158" s="342"/>
      <c r="AF158" s="331"/>
      <c r="AG158" s="342"/>
      <c r="AH158" s="319" t="n">
        <f aca="false">AI147-AH154-AH157</f>
        <v>45468.749</v>
      </c>
      <c r="AI158" s="319"/>
    </row>
    <row r="159" customFormat="false" ht="17.35" hidden="false" customHeight="false" outlineLevel="0" collapsed="false">
      <c r="A159" s="249" t="s">
        <v>52</v>
      </c>
      <c r="B159" s="250"/>
      <c r="C159" s="250"/>
      <c r="D159" s="278"/>
      <c r="E159" s="250"/>
      <c r="F159" s="278"/>
      <c r="G159" s="320" t="str">
        <f aca="false">B114</f>
        <v>239.99</v>
      </c>
      <c r="H159" s="320"/>
      <c r="J159" s="249" t="s">
        <v>52</v>
      </c>
      <c r="K159" s="250"/>
      <c r="L159" s="250"/>
      <c r="M159" s="278"/>
      <c r="N159" s="250"/>
      <c r="O159" s="278"/>
      <c r="P159" s="320" t="n">
        <f aca="false">K114</f>
        <v>239.99</v>
      </c>
      <c r="Q159" s="320"/>
      <c r="S159" s="249" t="s">
        <v>52</v>
      </c>
      <c r="T159" s="250"/>
      <c r="U159" s="250"/>
      <c r="V159" s="278"/>
      <c r="W159" s="250"/>
      <c r="X159" s="278"/>
      <c r="Y159" s="320" t="n">
        <f aca="false">T114</f>
        <v>199.99</v>
      </c>
      <c r="Z159" s="320"/>
      <c r="AB159" s="249" t="s">
        <v>52</v>
      </c>
      <c r="AC159" s="250"/>
      <c r="AD159" s="250"/>
      <c r="AE159" s="278"/>
      <c r="AF159" s="250"/>
      <c r="AG159" s="278"/>
      <c r="AH159" s="320" t="n">
        <f aca="false">AC114</f>
        <v>239.99</v>
      </c>
      <c r="AI159" s="320"/>
    </row>
    <row r="160" customFormat="false" ht="17.35" hidden="false" customHeight="false" outlineLevel="0" collapsed="false">
      <c r="A160" s="221"/>
      <c r="B160" s="331"/>
      <c r="C160" s="331"/>
      <c r="D160" s="331"/>
      <c r="E160" s="236"/>
      <c r="F160" s="236"/>
      <c r="G160" s="236"/>
      <c r="H160" s="11"/>
      <c r="J160" s="221"/>
      <c r="K160" s="331"/>
      <c r="L160" s="331"/>
      <c r="M160" s="331"/>
      <c r="N160" s="236"/>
      <c r="O160" s="236"/>
      <c r="P160" s="236"/>
      <c r="Q160" s="11"/>
      <c r="S160" s="221"/>
      <c r="T160" s="331"/>
      <c r="U160" s="331"/>
      <c r="V160" s="331"/>
      <c r="W160" s="236"/>
      <c r="X160" s="236"/>
      <c r="Y160" s="236"/>
      <c r="Z160" s="11"/>
      <c r="AB160" s="221"/>
      <c r="AC160" s="331"/>
      <c r="AD160" s="331"/>
      <c r="AE160" s="331"/>
      <c r="AF160" s="236"/>
      <c r="AG160" s="236"/>
      <c r="AH160" s="236"/>
      <c r="AI160" s="11"/>
    </row>
    <row r="161" customFormat="false" ht="17.35" hidden="false" customHeight="false" outlineLevel="0" collapsed="false">
      <c r="A161" s="221"/>
      <c r="B161" s="331"/>
      <c r="C161" s="331"/>
      <c r="D161" s="331"/>
      <c r="E161" s="236"/>
      <c r="F161" s="236"/>
      <c r="G161" s="236"/>
      <c r="H161" s="11"/>
      <c r="J161" s="221"/>
      <c r="K161" s="331"/>
      <c r="L161" s="331"/>
      <c r="M161" s="331"/>
      <c r="N161" s="236"/>
      <c r="O161" s="236"/>
      <c r="P161" s="236"/>
      <c r="Q161" s="11"/>
      <c r="S161" s="221"/>
      <c r="T161" s="331"/>
      <c r="U161" s="331"/>
      <c r="V161" s="331"/>
      <c r="W161" s="236"/>
      <c r="X161" s="236"/>
      <c r="Y161" s="236"/>
      <c r="Z161" s="11"/>
      <c r="AB161" s="221"/>
      <c r="AC161" s="331"/>
      <c r="AD161" s="331"/>
      <c r="AE161" s="331"/>
      <c r="AF161" s="236"/>
      <c r="AG161" s="236"/>
      <c r="AH161" s="236"/>
      <c r="AI161" s="11"/>
    </row>
    <row r="162" customFormat="false" ht="22.05" hidden="false" customHeight="false" outlineLevel="0" collapsed="false">
      <c r="A162" s="240" t="s">
        <v>247</v>
      </c>
      <c r="B162" s="240"/>
      <c r="C162" s="240"/>
      <c r="D162" s="240"/>
      <c r="E162" s="240"/>
      <c r="F162" s="240"/>
      <c r="G162" s="240"/>
      <c r="H162" s="240"/>
      <c r="J162" s="240" t="s">
        <v>247</v>
      </c>
      <c r="K162" s="240"/>
      <c r="L162" s="240"/>
      <c r="M162" s="240"/>
      <c r="N162" s="240"/>
      <c r="O162" s="240"/>
      <c r="P162" s="240"/>
      <c r="Q162" s="240"/>
      <c r="S162" s="240" t="s">
        <v>247</v>
      </c>
      <c r="T162" s="240"/>
      <c r="U162" s="240"/>
      <c r="V162" s="240"/>
      <c r="W162" s="240"/>
      <c r="X162" s="240"/>
      <c r="Y162" s="240"/>
      <c r="Z162" s="240"/>
      <c r="AB162" s="240" t="s">
        <v>247</v>
      </c>
      <c r="AC162" s="240"/>
      <c r="AD162" s="240"/>
      <c r="AE162" s="240"/>
      <c r="AF162" s="240"/>
      <c r="AG162" s="240"/>
      <c r="AH162" s="240"/>
      <c r="AI162" s="240"/>
    </row>
    <row r="163" customFormat="false" ht="17.35" hidden="false" customHeight="false" outlineLevel="0" collapsed="false">
      <c r="A163" s="221"/>
      <c r="B163" s="331"/>
      <c r="C163" s="331"/>
      <c r="D163" s="331"/>
      <c r="E163" s="236"/>
      <c r="F163" s="236"/>
      <c r="G163" s="236"/>
      <c r="H163" s="11"/>
      <c r="J163" s="221"/>
      <c r="K163" s="331"/>
      <c r="L163" s="331"/>
      <c r="M163" s="331"/>
      <c r="N163" s="236"/>
      <c r="O163" s="236"/>
      <c r="P163" s="236"/>
      <c r="Q163" s="11"/>
      <c r="S163" s="221"/>
      <c r="T163" s="331"/>
      <c r="U163" s="331"/>
      <c r="V163" s="331"/>
      <c r="W163" s="236"/>
      <c r="X163" s="236"/>
      <c r="Y163" s="236"/>
      <c r="Z163" s="11"/>
      <c r="AB163" s="221"/>
      <c r="AC163" s="331"/>
      <c r="AD163" s="331"/>
      <c r="AE163" s="331"/>
      <c r="AF163" s="236"/>
      <c r="AG163" s="236"/>
      <c r="AH163" s="236"/>
      <c r="AI163" s="11"/>
    </row>
    <row r="164" customFormat="false" ht="17.35" hidden="false" customHeight="false" outlineLevel="0" collapsed="false">
      <c r="A164" s="221" t="s">
        <v>145</v>
      </c>
      <c r="B164" s="117" t="n">
        <v>0</v>
      </c>
      <c r="C164" s="117"/>
      <c r="D164" s="331"/>
      <c r="E164" s="236"/>
      <c r="F164" s="236"/>
      <c r="G164" s="236"/>
      <c r="H164" s="11"/>
      <c r="J164" s="221" t="s">
        <v>145</v>
      </c>
      <c r="K164" s="117" t="n">
        <v>0</v>
      </c>
      <c r="L164" s="117"/>
      <c r="M164" s="331"/>
      <c r="N164" s="236"/>
      <c r="O164" s="236"/>
      <c r="P164" s="236"/>
      <c r="Q164" s="11"/>
      <c r="S164" s="221" t="s">
        <v>145</v>
      </c>
      <c r="T164" s="117" t="n">
        <v>0</v>
      </c>
      <c r="U164" s="117"/>
      <c r="V164" s="331"/>
      <c r="W164" s="236"/>
      <c r="X164" s="236"/>
      <c r="Y164" s="236"/>
      <c r="Z164" s="11"/>
      <c r="AB164" s="221" t="s">
        <v>145</v>
      </c>
      <c r="AC164" s="117" t="n">
        <v>0</v>
      </c>
      <c r="AD164" s="117"/>
      <c r="AE164" s="331"/>
      <c r="AF164" s="236"/>
      <c r="AG164" s="236"/>
      <c r="AH164" s="236"/>
      <c r="AI164" s="11"/>
    </row>
    <row r="165" customFormat="false" ht="17.35" hidden="false" customHeight="false" outlineLevel="0" collapsed="false">
      <c r="A165" s="221"/>
      <c r="B165" s="331"/>
      <c r="C165" s="331"/>
      <c r="D165" s="331"/>
      <c r="E165" s="236"/>
      <c r="F165" s="236"/>
      <c r="G165" s="236"/>
      <c r="H165" s="11"/>
      <c r="J165" s="221"/>
      <c r="K165" s="331"/>
      <c r="L165" s="331"/>
      <c r="M165" s="331"/>
      <c r="N165" s="236"/>
      <c r="O165" s="236"/>
      <c r="P165" s="236"/>
      <c r="Q165" s="11"/>
      <c r="S165" s="221"/>
      <c r="T165" s="331"/>
      <c r="U165" s="331"/>
      <c r="V165" s="331"/>
      <c r="W165" s="236"/>
      <c r="X165" s="236"/>
      <c r="Y165" s="236"/>
      <c r="Z165" s="11"/>
      <c r="AB165" s="221"/>
      <c r="AC165" s="331"/>
      <c r="AD165" s="331"/>
      <c r="AE165" s="331"/>
      <c r="AF165" s="236"/>
      <c r="AG165" s="236"/>
      <c r="AH165" s="236"/>
      <c r="AI165" s="11"/>
    </row>
    <row r="166" customFormat="false" ht="17.35" hidden="false" customHeight="false" outlineLevel="0" collapsed="false">
      <c r="A166" s="321" t="s">
        <v>248</v>
      </c>
      <c r="B166" s="361" t="s">
        <v>249</v>
      </c>
      <c r="C166" s="361"/>
      <c r="D166" s="361"/>
      <c r="E166" s="361" t="s">
        <v>250</v>
      </c>
      <c r="F166" s="236"/>
      <c r="G166" s="236"/>
      <c r="H166" s="11"/>
      <c r="J166" s="321" t="s">
        <v>248</v>
      </c>
      <c r="K166" s="361" t="s">
        <v>249</v>
      </c>
      <c r="L166" s="361"/>
      <c r="M166" s="361"/>
      <c r="N166" s="361" t="s">
        <v>250</v>
      </c>
      <c r="O166" s="236"/>
      <c r="P166" s="236"/>
      <c r="Q166" s="11"/>
      <c r="S166" s="321" t="s">
        <v>248</v>
      </c>
      <c r="T166" s="361" t="s">
        <v>249</v>
      </c>
      <c r="U166" s="361"/>
      <c r="V166" s="361"/>
      <c r="W166" s="361" t="s">
        <v>250</v>
      </c>
      <c r="X166" s="236"/>
      <c r="Y166" s="236"/>
      <c r="Z166" s="11"/>
      <c r="AB166" s="321" t="s">
        <v>248</v>
      </c>
      <c r="AC166" s="361" t="s">
        <v>249</v>
      </c>
      <c r="AD166" s="361"/>
      <c r="AE166" s="361"/>
      <c r="AF166" s="361" t="s">
        <v>250</v>
      </c>
      <c r="AG166" s="236"/>
      <c r="AH166" s="236"/>
      <c r="AI166" s="11"/>
    </row>
    <row r="167" customFormat="false" ht="17.35" hidden="false" customHeight="false" outlineLevel="0" collapsed="false">
      <c r="A167" s="323" t="n">
        <f aca="false">B95</f>
        <v>1401.49987807535</v>
      </c>
      <c r="B167" s="214" t="str">
        <f aca="false">B94</f>
        <v>0</v>
      </c>
      <c r="C167" s="361"/>
      <c r="D167" s="361"/>
      <c r="E167" s="214" t="n">
        <f aca="false">B96</f>
        <v>1401.49987807535</v>
      </c>
      <c r="F167" s="236"/>
      <c r="G167" s="236"/>
      <c r="H167" s="11"/>
      <c r="J167" s="323" t="n">
        <f aca="false">K95</f>
        <v>1477.31306457009</v>
      </c>
      <c r="K167" s="214" t="n">
        <f aca="false">K94</f>
        <v>0</v>
      </c>
      <c r="L167" s="361"/>
      <c r="M167" s="361"/>
      <c r="N167" s="214" t="n">
        <f aca="false">K96</f>
        <v>1477.31306457009</v>
      </c>
      <c r="O167" s="236"/>
      <c r="P167" s="236"/>
      <c r="Q167" s="11"/>
      <c r="S167" s="323" t="n">
        <f aca="false">T95</f>
        <v>1408.20027188803</v>
      </c>
      <c r="T167" s="214" t="n">
        <f aca="false">T94</f>
        <v>0</v>
      </c>
      <c r="U167" s="361"/>
      <c r="V167" s="361"/>
      <c r="W167" s="214" t="n">
        <f aca="false">T96</f>
        <v>1408.20027188803</v>
      </c>
      <c r="X167" s="236"/>
      <c r="Y167" s="236"/>
      <c r="Z167" s="11"/>
      <c r="AB167" s="323" t="n">
        <f aca="false">AC95</f>
        <v>927.687248290581</v>
      </c>
      <c r="AC167" s="214" t="n">
        <f aca="false">AC94</f>
        <v>0</v>
      </c>
      <c r="AD167" s="361"/>
      <c r="AE167" s="361"/>
      <c r="AF167" s="214" t="n">
        <f aca="false">AC96</f>
        <v>927.687248290581</v>
      </c>
      <c r="AG167" s="236"/>
      <c r="AH167" s="236"/>
      <c r="AI167" s="11"/>
    </row>
    <row r="168" customFormat="false" ht="17.35" hidden="false" customHeight="false" outlineLevel="0" collapsed="false">
      <c r="A168" s="221"/>
      <c r="B168" s="331"/>
      <c r="C168" s="331"/>
      <c r="D168" s="331"/>
      <c r="E168" s="236"/>
      <c r="F168" s="236"/>
      <c r="G168" s="236"/>
      <c r="H168" s="11"/>
      <c r="J168" s="221"/>
      <c r="K168" s="331"/>
      <c r="L168" s="331"/>
      <c r="M168" s="331"/>
      <c r="N168" s="236"/>
      <c r="O168" s="236"/>
      <c r="P168" s="236"/>
      <c r="Q168" s="11"/>
      <c r="S168" s="221"/>
      <c r="T168" s="331"/>
      <c r="U168" s="331"/>
      <c r="V168" s="331"/>
      <c r="W168" s="236"/>
      <c r="X168" s="236"/>
      <c r="Y168" s="236"/>
      <c r="Z168" s="11"/>
      <c r="AB168" s="221"/>
      <c r="AC168" s="331"/>
      <c r="AD168" s="331"/>
      <c r="AE168" s="331"/>
      <c r="AF168" s="236"/>
      <c r="AG168" s="236"/>
      <c r="AH168" s="236"/>
      <c r="AI168" s="11"/>
    </row>
    <row r="169" customFormat="false" ht="17.35" hidden="false" customHeight="false" outlineLevel="0" collapsed="false">
      <c r="A169" s="221" t="s">
        <v>81</v>
      </c>
      <c r="B169" s="331" t="s">
        <v>82</v>
      </c>
      <c r="C169" s="331"/>
      <c r="D169" s="236"/>
      <c r="E169" s="331" t="s">
        <v>251</v>
      </c>
      <c r="F169" s="236"/>
      <c r="G169" s="236"/>
      <c r="H169" s="11"/>
      <c r="J169" s="221" t="s">
        <v>81</v>
      </c>
      <c r="K169" s="331" t="s">
        <v>82</v>
      </c>
      <c r="L169" s="331"/>
      <c r="M169" s="236"/>
      <c r="N169" s="331" t="s">
        <v>251</v>
      </c>
      <c r="O169" s="236"/>
      <c r="P169" s="236"/>
      <c r="Q169" s="11"/>
      <c r="S169" s="221" t="s">
        <v>81</v>
      </c>
      <c r="T169" s="331" t="s">
        <v>82</v>
      </c>
      <c r="U169" s="331"/>
      <c r="V169" s="236"/>
      <c r="W169" s="331" t="s">
        <v>251</v>
      </c>
      <c r="X169" s="236"/>
      <c r="Y169" s="236"/>
      <c r="Z169" s="11"/>
      <c r="AB169" s="221" t="s">
        <v>81</v>
      </c>
      <c r="AC169" s="331" t="s">
        <v>82</v>
      </c>
      <c r="AD169" s="331"/>
      <c r="AE169" s="236"/>
      <c r="AF169" s="331" t="s">
        <v>251</v>
      </c>
      <c r="AG169" s="236"/>
      <c r="AH169" s="236"/>
      <c r="AI169" s="11"/>
    </row>
    <row r="170" customFormat="false" ht="17.35" hidden="false" customHeight="false" outlineLevel="0" collapsed="false">
      <c r="A170" s="324" t="n">
        <f aca="false">B29</f>
        <v>0</v>
      </c>
      <c r="B170" s="161" t="str">
        <f aca="false">B30</f>
        <v>0</v>
      </c>
      <c r="C170" s="362"/>
      <c r="D170" s="236"/>
      <c r="E170" s="60" t="n">
        <f aca="false">IF(A111="YES",A40, 0)</f>
        <v>27500</v>
      </c>
      <c r="F170" s="236"/>
      <c r="G170" s="236"/>
      <c r="H170" s="11"/>
      <c r="J170" s="324" t="n">
        <f aca="false">K29</f>
        <v>36</v>
      </c>
      <c r="K170" s="161" t="n">
        <f aca="false">K30</f>
        <v>10000</v>
      </c>
      <c r="L170" s="362"/>
      <c r="M170" s="236"/>
      <c r="N170" s="60" t="n">
        <f aca="false">IF(A111="YES", A40, 0)</f>
        <v>27500</v>
      </c>
      <c r="O170" s="236"/>
      <c r="P170" s="236"/>
      <c r="Q170" s="11"/>
      <c r="S170" s="324" t="n">
        <f aca="false">K29</f>
        <v>36</v>
      </c>
      <c r="T170" s="161" t="n">
        <f aca="false">K30</f>
        <v>10000</v>
      </c>
      <c r="U170" s="362"/>
      <c r="V170" s="236"/>
      <c r="W170" s="60" t="n">
        <f aca="false">IF(A111="YES", A40, 0)</f>
        <v>27500</v>
      </c>
      <c r="X170" s="236"/>
      <c r="Y170" s="236"/>
      <c r="Z170" s="11"/>
      <c r="AB170" s="324" t="n">
        <f aca="false">K29</f>
        <v>36</v>
      </c>
      <c r="AC170" s="161" t="n">
        <f aca="false">K30</f>
        <v>10000</v>
      </c>
      <c r="AD170" s="362"/>
      <c r="AE170" s="236"/>
      <c r="AF170" s="60" t="n">
        <f aca="false">IF(A111="YES", A40, 0)</f>
        <v>27500</v>
      </c>
      <c r="AG170" s="236"/>
      <c r="AH170" s="236"/>
      <c r="AI170" s="11"/>
    </row>
    <row r="171" customFormat="false" ht="17.35" hidden="false" customHeight="false" outlineLevel="0" collapsed="false">
      <c r="A171" s="221"/>
      <c r="B171" s="331"/>
      <c r="C171" s="331"/>
      <c r="D171" s="236"/>
      <c r="E171" s="331"/>
      <c r="F171" s="236"/>
      <c r="G171" s="236"/>
      <c r="H171" s="11"/>
      <c r="J171" s="221"/>
      <c r="K171" s="331"/>
      <c r="L171" s="331"/>
      <c r="M171" s="236"/>
      <c r="N171" s="331"/>
      <c r="O171" s="236"/>
      <c r="P171" s="236"/>
      <c r="Q171" s="11"/>
      <c r="S171" s="221"/>
      <c r="T171" s="331"/>
      <c r="U171" s="331"/>
      <c r="V171" s="236"/>
      <c r="W171" s="331"/>
      <c r="X171" s="236"/>
      <c r="Y171" s="236"/>
      <c r="Z171" s="11"/>
      <c r="AB171" s="221"/>
      <c r="AC171" s="331"/>
      <c r="AD171" s="331"/>
      <c r="AE171" s="236"/>
      <c r="AF171" s="331"/>
      <c r="AG171" s="236"/>
      <c r="AH171" s="236"/>
      <c r="AI171" s="11"/>
    </row>
    <row r="172" customFormat="false" ht="17.35" hidden="false" customHeight="false" outlineLevel="0" collapsed="false">
      <c r="A172" s="221" t="s">
        <v>252</v>
      </c>
      <c r="B172" s="331" t="s">
        <v>253</v>
      </c>
      <c r="C172" s="331"/>
      <c r="D172" s="236"/>
      <c r="E172" s="331" t="s">
        <v>254</v>
      </c>
      <c r="F172" s="236"/>
      <c r="G172" s="236"/>
      <c r="H172" s="11"/>
      <c r="J172" s="221" t="s">
        <v>252</v>
      </c>
      <c r="K172" s="331" t="s">
        <v>253</v>
      </c>
      <c r="L172" s="331"/>
      <c r="M172" s="236"/>
      <c r="N172" s="331" t="s">
        <v>254</v>
      </c>
      <c r="O172" s="236"/>
      <c r="P172" s="236"/>
      <c r="Q172" s="11"/>
      <c r="S172" s="221" t="s">
        <v>252</v>
      </c>
      <c r="T172" s="331" t="s">
        <v>253</v>
      </c>
      <c r="U172" s="331"/>
      <c r="V172" s="236"/>
      <c r="W172" s="331" t="s">
        <v>254</v>
      </c>
      <c r="X172" s="236"/>
      <c r="Y172" s="236"/>
      <c r="Z172" s="11"/>
      <c r="AB172" s="221" t="s">
        <v>252</v>
      </c>
      <c r="AC172" s="331" t="s">
        <v>253</v>
      </c>
      <c r="AD172" s="331"/>
      <c r="AE172" s="236"/>
      <c r="AF172" s="331" t="s">
        <v>254</v>
      </c>
      <c r="AG172" s="236"/>
      <c r="AH172" s="236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5" t="n">
        <f aca="false">H137</f>
        <v>9647.5</v>
      </c>
      <c r="C173" s="363"/>
      <c r="D173" s="236"/>
      <c r="E173" s="60" t="n">
        <f aca="false">H139+H140</f>
        <v>640</v>
      </c>
      <c r="F173" s="236"/>
      <c r="G173" s="236"/>
      <c r="H173" s="11"/>
      <c r="J173" s="125" t="n">
        <f aca="false">Q141-Q137-Q139-Q140</f>
        <v>30012.5</v>
      </c>
      <c r="K173" s="215" t="n">
        <f aca="false">Q137</f>
        <v>6002.5</v>
      </c>
      <c r="L173" s="363"/>
      <c r="M173" s="236"/>
      <c r="N173" s="60" t="n">
        <f aca="false">Q139+Q140</f>
        <v>640</v>
      </c>
      <c r="O173" s="236"/>
      <c r="P173" s="236"/>
      <c r="Q173" s="11"/>
      <c r="S173" s="125" t="n">
        <f aca="false">Z141-Z137-Z139-Z140</f>
        <v>48120.364575</v>
      </c>
      <c r="T173" s="215" t="n">
        <f aca="false">Z137</f>
        <v>9624.072915</v>
      </c>
      <c r="U173" s="363"/>
      <c r="V173" s="236"/>
      <c r="W173" s="60" t="n">
        <f aca="false">Z139+Z140</f>
        <v>640</v>
      </c>
      <c r="X173" s="236"/>
      <c r="Y173" s="236"/>
      <c r="Z173" s="11"/>
      <c r="AB173" s="125" t="n">
        <f aca="false">AI141-AI137-AI139-AI140</f>
        <v>36523.9575</v>
      </c>
      <c r="AC173" s="215" t="n">
        <f aca="false">AI137</f>
        <v>7304.7915</v>
      </c>
      <c r="AD173" s="363"/>
      <c r="AE173" s="236"/>
      <c r="AF173" s="60" t="n">
        <f aca="false">AI139+AI140</f>
        <v>640</v>
      </c>
      <c r="AG173" s="236"/>
      <c r="AH173" s="236"/>
      <c r="AI173" s="11"/>
    </row>
    <row r="174" customFormat="false" ht="17.35" hidden="false" customHeight="false" outlineLevel="0" collapsed="false">
      <c r="A174" s="221"/>
      <c r="B174" s="331"/>
      <c r="C174" s="331"/>
      <c r="D174" s="236"/>
      <c r="E174" s="331"/>
      <c r="F174" s="236"/>
      <c r="G174" s="236"/>
      <c r="H174" s="11"/>
      <c r="J174" s="221"/>
      <c r="K174" s="331"/>
      <c r="L174" s="331"/>
      <c r="M174" s="236"/>
      <c r="N174" s="331"/>
      <c r="O174" s="236"/>
      <c r="P174" s="236"/>
      <c r="Q174" s="11"/>
      <c r="S174" s="221"/>
      <c r="T174" s="331"/>
      <c r="U174" s="331"/>
      <c r="V174" s="236"/>
      <c r="W174" s="331"/>
      <c r="X174" s="236"/>
      <c r="Y174" s="236"/>
      <c r="Z174" s="11"/>
      <c r="AB174" s="221"/>
      <c r="AC174" s="331"/>
      <c r="AD174" s="331"/>
      <c r="AE174" s="236"/>
      <c r="AF174" s="331"/>
      <c r="AG174" s="236"/>
      <c r="AH174" s="236"/>
      <c r="AI174" s="11"/>
    </row>
    <row r="175" customFormat="false" ht="17.35" hidden="false" customHeight="false" outlineLevel="0" collapsed="false">
      <c r="A175" s="221" t="s">
        <v>255</v>
      </c>
      <c r="B175" s="331" t="s">
        <v>142</v>
      </c>
      <c r="C175" s="331"/>
      <c r="D175" s="236"/>
      <c r="E175" s="331" t="s">
        <v>231</v>
      </c>
      <c r="F175" s="236"/>
      <c r="G175" s="236"/>
      <c r="H175" s="11"/>
      <c r="J175" s="221" t="s">
        <v>255</v>
      </c>
      <c r="K175" s="331" t="s">
        <v>142</v>
      </c>
      <c r="L175" s="331"/>
      <c r="M175" s="236"/>
      <c r="N175" s="331" t="s">
        <v>231</v>
      </c>
      <c r="O175" s="236"/>
      <c r="P175" s="236"/>
      <c r="Q175" s="11"/>
      <c r="S175" s="221" t="s">
        <v>255</v>
      </c>
      <c r="T175" s="331" t="s">
        <v>142</v>
      </c>
      <c r="U175" s="331"/>
      <c r="V175" s="236"/>
      <c r="W175" s="331" t="s">
        <v>231</v>
      </c>
      <c r="X175" s="236"/>
      <c r="Y175" s="236"/>
      <c r="Z175" s="11"/>
      <c r="AB175" s="221" t="s">
        <v>255</v>
      </c>
      <c r="AC175" s="331" t="s">
        <v>142</v>
      </c>
      <c r="AD175" s="331"/>
      <c r="AE175" s="236"/>
      <c r="AF175" s="331" t="s">
        <v>231</v>
      </c>
      <c r="AG175" s="236"/>
      <c r="AH175" s="236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5" t="n">
        <f aca="false">B111</f>
        <v>0</v>
      </c>
      <c r="C176" s="215"/>
      <c r="D176" s="236"/>
      <c r="E176" s="215" t="n">
        <f aca="false">E111</f>
        <v>0</v>
      </c>
      <c r="F176" s="236"/>
      <c r="G176" s="236"/>
      <c r="H176" s="130"/>
      <c r="J176" s="125" t="n">
        <f aca="false">Q141</f>
        <v>36655</v>
      </c>
      <c r="K176" s="215" t="n">
        <f aca="false">K111</f>
        <v>1000</v>
      </c>
      <c r="L176" s="215"/>
      <c r="M176" s="236"/>
      <c r="N176" s="215" t="n">
        <f aca="false">N111</f>
        <v>0</v>
      </c>
      <c r="O176" s="236"/>
      <c r="P176" s="236"/>
      <c r="Q176" s="130"/>
      <c r="S176" s="125" t="n">
        <f aca="false">Z141</f>
        <v>58384.43749</v>
      </c>
      <c r="T176" s="215" t="n">
        <f aca="false">T111</f>
        <v>1000</v>
      </c>
      <c r="U176" s="215"/>
      <c r="V176" s="236"/>
      <c r="W176" s="215" t="n">
        <f aca="false">W111</f>
        <v>0</v>
      </c>
      <c r="X176" s="236"/>
      <c r="Y176" s="236"/>
      <c r="Z176" s="130"/>
      <c r="AB176" s="125" t="n">
        <f aca="false">AI141</f>
        <v>44468.749</v>
      </c>
      <c r="AC176" s="215" t="n">
        <f aca="false">AC111</f>
        <v>1000</v>
      </c>
      <c r="AD176" s="215"/>
      <c r="AE176" s="236"/>
      <c r="AF176" s="215" t="n">
        <f aca="false">AF111</f>
        <v>0</v>
      </c>
      <c r="AG176" s="236"/>
      <c r="AH176" s="236"/>
      <c r="AI176" s="130"/>
    </row>
    <row r="177" customFormat="false" ht="17.35" hidden="false" customHeight="false" outlineLevel="0" collapsed="false">
      <c r="A177" s="221"/>
      <c r="B177" s="331"/>
      <c r="C177" s="331"/>
      <c r="D177" s="236"/>
      <c r="E177" s="331"/>
      <c r="F177" s="236"/>
      <c r="G177" s="236"/>
      <c r="H177" s="11"/>
      <c r="J177" s="221"/>
      <c r="K177" s="331"/>
      <c r="L177" s="331"/>
      <c r="M177" s="236"/>
      <c r="N177" s="331"/>
      <c r="O177" s="236"/>
      <c r="P177" s="236"/>
      <c r="Q177" s="11"/>
      <c r="S177" s="221"/>
      <c r="T177" s="331"/>
      <c r="U177" s="331"/>
      <c r="V177" s="236"/>
      <c r="W177" s="331"/>
      <c r="X177" s="236"/>
      <c r="Y177" s="236"/>
      <c r="Z177" s="11"/>
      <c r="AB177" s="221"/>
      <c r="AC177" s="331"/>
      <c r="AD177" s="331"/>
      <c r="AE177" s="236"/>
      <c r="AF177" s="331"/>
      <c r="AG177" s="236"/>
      <c r="AH177" s="236"/>
      <c r="AI177" s="11"/>
    </row>
    <row r="178" customFormat="false" ht="17.35" hidden="false" customHeight="false" outlineLevel="0" collapsed="false">
      <c r="A178" s="221" t="s">
        <v>232</v>
      </c>
      <c r="B178" s="331" t="s">
        <v>138</v>
      </c>
      <c r="C178" s="331"/>
      <c r="D178" s="236"/>
      <c r="E178" s="331" t="s">
        <v>246</v>
      </c>
      <c r="F178" s="236"/>
      <c r="G178" s="236"/>
      <c r="H178" s="11"/>
      <c r="J178" s="221" t="s">
        <v>232</v>
      </c>
      <c r="K178" s="331" t="s">
        <v>138</v>
      </c>
      <c r="L178" s="331"/>
      <c r="M178" s="236"/>
      <c r="N178" s="331" t="s">
        <v>246</v>
      </c>
      <c r="O178" s="236"/>
      <c r="P178" s="236"/>
      <c r="Q178" s="11"/>
      <c r="S178" s="221" t="s">
        <v>232</v>
      </c>
      <c r="T178" s="331" t="s">
        <v>138</v>
      </c>
      <c r="U178" s="331"/>
      <c r="V178" s="236"/>
      <c r="W178" s="331" t="s">
        <v>246</v>
      </c>
      <c r="X178" s="236"/>
      <c r="Y178" s="236"/>
      <c r="Z178" s="11"/>
      <c r="AB178" s="221" t="s">
        <v>232</v>
      </c>
      <c r="AC178" s="331" t="s">
        <v>138</v>
      </c>
      <c r="AD178" s="331"/>
      <c r="AE178" s="236"/>
      <c r="AF178" s="331" t="s">
        <v>246</v>
      </c>
      <c r="AG178" s="236"/>
      <c r="AH178" s="236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5" t="n">
        <f aca="false">G154</f>
        <v>0</v>
      </c>
      <c r="C179" s="215"/>
      <c r="D179" s="236"/>
      <c r="E179" s="215" t="n">
        <f aca="false">A176-A179-B179</f>
        <v>58525</v>
      </c>
      <c r="F179" s="236"/>
      <c r="G179" s="236"/>
      <c r="H179" s="130"/>
      <c r="J179" s="129" t="n">
        <f aca="false">K176+N176</f>
        <v>1000</v>
      </c>
      <c r="K179" s="215" t="n">
        <f aca="false">P154</f>
        <v>-2000</v>
      </c>
      <c r="L179" s="215"/>
      <c r="M179" s="236"/>
      <c r="N179" s="215" t="n">
        <f aca="false">J176-J179-K179</f>
        <v>37655</v>
      </c>
      <c r="O179" s="236"/>
      <c r="P179" s="236"/>
      <c r="Q179" s="130"/>
      <c r="S179" s="129" t="n">
        <f aca="false">T176+W176</f>
        <v>1000</v>
      </c>
      <c r="T179" s="215" t="n">
        <f aca="false">Y154</f>
        <v>-2000</v>
      </c>
      <c r="U179" s="215"/>
      <c r="V179" s="236"/>
      <c r="W179" s="215" t="n">
        <f aca="false">S176-S179-T179</f>
        <v>59384.43749</v>
      </c>
      <c r="X179" s="236"/>
      <c r="Y179" s="236"/>
      <c r="Z179" s="130"/>
      <c r="AB179" s="129" t="n">
        <f aca="false">AC176+AF176</f>
        <v>1000</v>
      </c>
      <c r="AC179" s="215" t="n">
        <f aca="false">AH154</f>
        <v>-2000</v>
      </c>
      <c r="AD179" s="215"/>
      <c r="AE179" s="236"/>
      <c r="AF179" s="215" t="n">
        <f aca="false">AB176-AB179-AC179</f>
        <v>45468.749</v>
      </c>
      <c r="AG179" s="236"/>
      <c r="AH179" s="236"/>
      <c r="AI179" s="130"/>
    </row>
    <row r="180" customFormat="false" ht="17.35" hidden="false" customHeight="false" outlineLevel="0" collapsed="false">
      <c r="A180" s="221"/>
      <c r="B180" s="331"/>
      <c r="C180" s="331"/>
      <c r="D180" s="236"/>
      <c r="E180" s="331"/>
      <c r="F180" s="236"/>
      <c r="G180" s="236"/>
      <c r="H180" s="11"/>
      <c r="J180" s="221"/>
      <c r="K180" s="331"/>
      <c r="L180" s="331"/>
      <c r="M180" s="236"/>
      <c r="N180" s="331"/>
      <c r="O180" s="236"/>
      <c r="P180" s="236"/>
      <c r="Q180" s="11"/>
      <c r="S180" s="221"/>
      <c r="T180" s="331"/>
      <c r="U180" s="331"/>
      <c r="V180" s="236"/>
      <c r="W180" s="331"/>
      <c r="X180" s="236"/>
      <c r="Y180" s="236"/>
      <c r="Z180" s="11"/>
      <c r="AB180" s="221"/>
      <c r="AC180" s="331"/>
      <c r="AD180" s="331"/>
      <c r="AE180" s="236"/>
      <c r="AF180" s="331"/>
      <c r="AG180" s="236"/>
      <c r="AH180" s="236"/>
      <c r="AI180" s="11"/>
    </row>
    <row r="181" customFormat="false" ht="17.35" hidden="false" customHeight="false" outlineLevel="0" collapsed="false">
      <c r="A181" s="221" t="s">
        <v>256</v>
      </c>
      <c r="B181" s="331" t="s">
        <v>52</v>
      </c>
      <c r="C181" s="331"/>
      <c r="D181" s="236"/>
      <c r="E181" s="331" t="s">
        <v>257</v>
      </c>
      <c r="F181" s="236"/>
      <c r="G181" s="236"/>
      <c r="H181" s="11"/>
      <c r="J181" s="221" t="s">
        <v>256</v>
      </c>
      <c r="K181" s="331" t="s">
        <v>52</v>
      </c>
      <c r="L181" s="331"/>
      <c r="M181" s="236"/>
      <c r="N181" s="331" t="s">
        <v>257</v>
      </c>
      <c r="O181" s="236"/>
      <c r="P181" s="236"/>
      <c r="Q181" s="11"/>
      <c r="S181" s="221" t="s">
        <v>256</v>
      </c>
      <c r="T181" s="331" t="s">
        <v>52</v>
      </c>
      <c r="U181" s="331"/>
      <c r="V181" s="236"/>
      <c r="W181" s="331" t="s">
        <v>257</v>
      </c>
      <c r="X181" s="236"/>
      <c r="Y181" s="236"/>
      <c r="Z181" s="11"/>
      <c r="AB181" s="221" t="s">
        <v>256</v>
      </c>
      <c r="AC181" s="331" t="s">
        <v>52</v>
      </c>
      <c r="AD181" s="331"/>
      <c r="AE181" s="236"/>
      <c r="AF181" s="331" t="s">
        <v>257</v>
      </c>
      <c r="AG181" s="236"/>
      <c r="AH181" s="236"/>
      <c r="AI181" s="11"/>
    </row>
    <row r="182" customFormat="false" ht="17.35" hidden="false" customHeight="false" outlineLevel="0" collapsed="false">
      <c r="A182" s="129" t="n">
        <f aca="false">(A167*B59)+E185-E179-A185</f>
        <v>18027.4957326372</v>
      </c>
      <c r="B182" s="215" t="str">
        <f aca="false">B114</f>
        <v>239.99</v>
      </c>
      <c r="C182" s="215"/>
      <c r="D182" s="236"/>
      <c r="E182" s="215" t="n">
        <f aca="false">E179+A182+B182+A185</f>
        <v>76802.4857326372</v>
      </c>
      <c r="F182" s="236"/>
      <c r="G182" s="236"/>
      <c r="H182" s="130"/>
      <c r="J182" s="129" t="n">
        <f aca="false">(J167*K59)+N185-N179-J185</f>
        <v>41550.9572599531</v>
      </c>
      <c r="K182" s="215" t="n">
        <f aca="false">K114</f>
        <v>239.99</v>
      </c>
      <c r="L182" s="215"/>
      <c r="M182" s="236"/>
      <c r="N182" s="215" t="n">
        <f aca="false">N179+J182+K182+J185</f>
        <v>79465.9472599531</v>
      </c>
      <c r="O182" s="236"/>
      <c r="P182" s="236"/>
      <c r="Q182" s="130"/>
      <c r="S182" s="129" t="n">
        <f aca="false">(S167*T59)+W185-W179-S185</f>
        <v>17402.5720260811</v>
      </c>
      <c r="T182" s="215" t="n">
        <f aca="false">T114</f>
        <v>199.99</v>
      </c>
      <c r="U182" s="215"/>
      <c r="V182" s="236"/>
      <c r="W182" s="215" t="n">
        <f aca="false">W179+S182+T182+S185</f>
        <v>76996.9995160811</v>
      </c>
      <c r="X182" s="236"/>
      <c r="Y182" s="236"/>
      <c r="Z182" s="130"/>
      <c r="AB182" s="129" t="n">
        <f aca="false">(AB167*AC59)+AF185-AF179-AB185</f>
        <v>14500.3046901703</v>
      </c>
      <c r="AC182" s="215" t="n">
        <f aca="false">AC114</f>
        <v>239.99</v>
      </c>
      <c r="AD182" s="215"/>
      <c r="AE182" s="236"/>
      <c r="AF182" s="215" t="n">
        <f aca="false">AF179+AB182+AC182+AB185</f>
        <v>60219.0436901703</v>
      </c>
      <c r="AG182" s="236"/>
      <c r="AH182" s="236"/>
      <c r="AI182" s="130"/>
    </row>
    <row r="183" customFormat="false" ht="17.35" hidden="false" customHeight="false" outlineLevel="0" collapsed="false">
      <c r="A183" s="221"/>
      <c r="B183" s="331"/>
      <c r="C183" s="331"/>
      <c r="D183" s="236"/>
      <c r="E183" s="331"/>
      <c r="F183" s="236"/>
      <c r="G183" s="236"/>
      <c r="H183" s="11"/>
      <c r="J183" s="221"/>
      <c r="K183" s="331"/>
      <c r="L183" s="331"/>
      <c r="M183" s="236"/>
      <c r="N183" s="331"/>
      <c r="O183" s="236"/>
      <c r="P183" s="236"/>
      <c r="Q183" s="11"/>
      <c r="S183" s="221"/>
      <c r="T183" s="331"/>
      <c r="U183" s="331"/>
      <c r="V183" s="236"/>
      <c r="W183" s="331"/>
      <c r="X183" s="236"/>
      <c r="Y183" s="236"/>
      <c r="Z183" s="11"/>
      <c r="AB183" s="221"/>
      <c r="AC183" s="331"/>
      <c r="AD183" s="331"/>
      <c r="AE183" s="236"/>
      <c r="AF183" s="331"/>
      <c r="AG183" s="236"/>
      <c r="AH183" s="236"/>
      <c r="AI183" s="11"/>
    </row>
    <row r="184" customFormat="false" ht="17.35" hidden="false" customHeight="false" outlineLevel="0" collapsed="false">
      <c r="A184" s="221" t="s">
        <v>258</v>
      </c>
      <c r="B184" s="331" t="s">
        <v>259</v>
      </c>
      <c r="C184" s="331"/>
      <c r="D184" s="236"/>
      <c r="E184" s="331" t="s">
        <v>260</v>
      </c>
      <c r="F184" s="236"/>
      <c r="G184" s="236"/>
      <c r="H184" s="11"/>
      <c r="J184" s="221" t="s">
        <v>258</v>
      </c>
      <c r="K184" s="331" t="s">
        <v>259</v>
      </c>
      <c r="L184" s="331"/>
      <c r="M184" s="236"/>
      <c r="N184" s="331" t="s">
        <v>260</v>
      </c>
      <c r="O184" s="236"/>
      <c r="P184" s="236"/>
      <c r="Q184" s="11"/>
      <c r="S184" s="221" t="s">
        <v>258</v>
      </c>
      <c r="T184" s="331" t="s">
        <v>259</v>
      </c>
      <c r="U184" s="331"/>
      <c r="V184" s="236"/>
      <c r="W184" s="331" t="s">
        <v>260</v>
      </c>
      <c r="X184" s="236"/>
      <c r="Y184" s="236"/>
      <c r="Z184" s="11"/>
      <c r="AB184" s="221" t="s">
        <v>258</v>
      </c>
      <c r="AC184" s="331" t="s">
        <v>259</v>
      </c>
      <c r="AD184" s="331"/>
      <c r="AE184" s="236"/>
      <c r="AF184" s="331" t="s">
        <v>260</v>
      </c>
      <c r="AG184" s="236"/>
      <c r="AH184" s="236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5" t="n">
        <f aca="false">A179+B182</f>
        <v>239.99</v>
      </c>
      <c r="C185" s="215"/>
      <c r="D185" s="236"/>
      <c r="E185" s="215" t="n">
        <f aca="false">E170+A185</f>
        <v>27510</v>
      </c>
      <c r="F185" s="236"/>
      <c r="G185" s="236"/>
      <c r="H185" s="130"/>
      <c r="J185" s="129" t="n">
        <f aca="false">K60</f>
        <v>20</v>
      </c>
      <c r="K185" s="215" t="n">
        <f aca="false">J179+K182</f>
        <v>1239.99</v>
      </c>
      <c r="L185" s="215"/>
      <c r="M185" s="236"/>
      <c r="N185" s="215" t="n">
        <f aca="false">N170+J185</f>
        <v>27520</v>
      </c>
      <c r="O185" s="236"/>
      <c r="P185" s="236"/>
      <c r="Q185" s="130"/>
      <c r="S185" s="129" t="n">
        <f aca="false">T60</f>
        <v>10</v>
      </c>
      <c r="T185" s="215" t="n">
        <f aca="false">S179+T182</f>
        <v>1199.99</v>
      </c>
      <c r="U185" s="215"/>
      <c r="V185" s="236"/>
      <c r="W185" s="215" t="n">
        <f aca="false">W170+S185</f>
        <v>27510</v>
      </c>
      <c r="X185" s="236"/>
      <c r="Y185" s="236"/>
      <c r="Z185" s="130"/>
      <c r="AB185" s="129" t="n">
        <f aca="false">AC60</f>
        <v>10</v>
      </c>
      <c r="AC185" s="215" t="n">
        <f aca="false">AB179+AC182</f>
        <v>1239.99</v>
      </c>
      <c r="AD185" s="215"/>
      <c r="AE185" s="236"/>
      <c r="AF185" s="215" t="n">
        <f aca="false">AF170+AB185</f>
        <v>27510</v>
      </c>
      <c r="AG185" s="236"/>
      <c r="AH185" s="236"/>
      <c r="AI185" s="130"/>
    </row>
    <row r="186" customFormat="false" ht="17.35" hidden="false" customHeight="false" outlineLevel="0" collapsed="false">
      <c r="A186" s="221"/>
      <c r="B186" s="331"/>
      <c r="C186" s="331"/>
      <c r="D186" s="331"/>
      <c r="E186" s="236"/>
      <c r="F186" s="236"/>
      <c r="G186" s="236"/>
      <c r="H186" s="11"/>
      <c r="J186" s="221"/>
      <c r="K186" s="331"/>
      <c r="L186" s="331"/>
      <c r="M186" s="331"/>
      <c r="N186" s="236"/>
      <c r="O186" s="236"/>
      <c r="P186" s="236"/>
      <c r="Q186" s="11"/>
      <c r="S186" s="221"/>
      <c r="T186" s="331"/>
      <c r="U186" s="331"/>
      <c r="V186" s="331"/>
      <c r="W186" s="236"/>
      <c r="X186" s="12"/>
      <c r="Y186" s="12"/>
      <c r="Z186" s="11"/>
      <c r="AB186" s="221"/>
      <c r="AC186" s="331"/>
      <c r="AD186" s="331"/>
      <c r="AE186" s="331"/>
      <c r="AF186" s="236"/>
      <c r="AG186" s="236"/>
      <c r="AH186" s="236"/>
      <c r="AI186" s="11"/>
    </row>
    <row r="187" customFormat="false" ht="17.35" hidden="false" customHeight="false" outlineLevel="0" collapsed="false">
      <c r="A187" s="221" t="s">
        <v>261</v>
      </c>
      <c r="B187" s="331" t="s">
        <v>262</v>
      </c>
      <c r="C187" s="331"/>
      <c r="D187" s="331"/>
      <c r="E187" s="210" t="s">
        <v>263</v>
      </c>
      <c r="F187" s="236"/>
      <c r="G187" s="236"/>
      <c r="H187" s="11"/>
      <c r="J187" s="221" t="s">
        <v>261</v>
      </c>
      <c r="K187" s="331" t="s">
        <v>262</v>
      </c>
      <c r="L187" s="331"/>
      <c r="M187" s="331"/>
      <c r="N187" s="210" t="s">
        <v>263</v>
      </c>
      <c r="O187" s="236"/>
      <c r="P187" s="236"/>
      <c r="Q187" s="11"/>
      <c r="S187" s="221" t="s">
        <v>261</v>
      </c>
      <c r="T187" s="331" t="s">
        <v>262</v>
      </c>
      <c r="U187" s="331"/>
      <c r="V187" s="331"/>
      <c r="W187" s="210" t="s">
        <v>263</v>
      </c>
      <c r="X187" s="12"/>
      <c r="Y187" s="12"/>
      <c r="Z187" s="11"/>
      <c r="AB187" s="221" t="s">
        <v>261</v>
      </c>
      <c r="AC187" s="331" t="s">
        <v>262</v>
      </c>
      <c r="AD187" s="331"/>
      <c r="AE187" s="331"/>
      <c r="AF187" s="210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5" t="n">
        <f aca="false">(G158*B67)/1.2</f>
        <v>182.890625</v>
      </c>
      <c r="C188" s="331"/>
      <c r="D188" s="331"/>
      <c r="E188" s="215" t="n">
        <f aca="false">(E40*A108)*0.1</f>
        <v>0</v>
      </c>
      <c r="F188" s="236"/>
      <c r="G188" s="236"/>
      <c r="H188" s="11"/>
      <c r="J188" s="129" t="n">
        <f aca="false">IF(N105="YES", H15*0.000002, 0)</f>
        <v>0.11705</v>
      </c>
      <c r="K188" s="215" t="n">
        <f aca="false">(P158*K67)/1.2</f>
        <v>2353.4375</v>
      </c>
      <c r="L188" s="331"/>
      <c r="M188" s="331"/>
      <c r="N188" s="215" t="n">
        <f aca="false">(E40*J108)*0.1</f>
        <v>0</v>
      </c>
      <c r="O188" s="236"/>
      <c r="P188" s="236"/>
      <c r="Q188" s="11"/>
      <c r="S188" s="129" t="n">
        <f aca="false">IF(W105="YES", Z15*0.000002, 0)</f>
        <v>0</v>
      </c>
      <c r="T188" s="215" t="n">
        <f aca="false">(Y158*T67)/1.2</f>
        <v>494.870312416667</v>
      </c>
      <c r="U188" s="331"/>
      <c r="V188" s="331"/>
      <c r="W188" s="215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5" t="n">
        <f aca="false">(AH158*AC67)/1.2</f>
        <v>378.906241666667</v>
      </c>
      <c r="AD188" s="331"/>
      <c r="AE188" s="331"/>
      <c r="AF188" s="215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5"/>
      <c r="C189" s="331"/>
      <c r="D189" s="331"/>
      <c r="E189" s="236"/>
      <c r="F189" s="236"/>
      <c r="G189" s="236"/>
      <c r="H189" s="11"/>
      <c r="J189" s="129"/>
      <c r="K189" s="215"/>
      <c r="L189" s="331"/>
      <c r="M189" s="331"/>
      <c r="N189" s="236"/>
      <c r="O189" s="236"/>
      <c r="P189" s="236"/>
      <c r="Q189" s="11"/>
      <c r="S189" s="129"/>
      <c r="T189" s="215"/>
      <c r="U189" s="331"/>
      <c r="V189" s="331"/>
      <c r="W189" s="236"/>
      <c r="X189" s="12"/>
      <c r="Y189" s="12"/>
      <c r="Z189" s="11"/>
      <c r="AB189" s="129"/>
      <c r="AC189" s="215"/>
      <c r="AD189" s="331"/>
      <c r="AE189" s="331"/>
      <c r="AF189" s="236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10" t="s">
        <v>265</v>
      </c>
      <c r="C190" s="331"/>
      <c r="D190" s="331"/>
      <c r="E190" s="210" t="s">
        <v>266</v>
      </c>
      <c r="F190" s="236"/>
      <c r="G190" s="236"/>
      <c r="H190" s="11"/>
      <c r="J190" s="131" t="s">
        <v>264</v>
      </c>
      <c r="K190" s="210" t="s">
        <v>265</v>
      </c>
      <c r="L190" s="331"/>
      <c r="M190" s="331"/>
      <c r="N190" s="210" t="s">
        <v>266</v>
      </c>
      <c r="O190" s="236"/>
      <c r="P190" s="236"/>
      <c r="Q190" s="11"/>
      <c r="S190" s="131" t="s">
        <v>264</v>
      </c>
      <c r="T190" s="210" t="s">
        <v>265</v>
      </c>
      <c r="U190" s="331"/>
      <c r="V190" s="331"/>
      <c r="W190" s="210" t="s">
        <v>266</v>
      </c>
      <c r="X190" s="12"/>
      <c r="Y190" s="12"/>
      <c r="Z190" s="11"/>
      <c r="AB190" s="131" t="s">
        <v>264</v>
      </c>
      <c r="AC190" s="210" t="s">
        <v>265</v>
      </c>
      <c r="AD190" s="331"/>
      <c r="AE190" s="331"/>
      <c r="AF190" s="210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5" t="n">
        <f aca="false">B188+E188+A191</f>
        <v>322.880625</v>
      </c>
      <c r="C191" s="331"/>
      <c r="D191" s="331"/>
      <c r="E191" s="215" t="n">
        <f aca="false">H148</f>
        <v>-21870</v>
      </c>
      <c r="F191" s="236"/>
      <c r="G191" s="236"/>
      <c r="H191" s="11"/>
      <c r="J191" s="129" t="n">
        <f aca="false">K185-100</f>
        <v>1139.99</v>
      </c>
      <c r="K191" s="215" t="n">
        <f aca="false">K188+N188+J191</f>
        <v>3493.4275</v>
      </c>
      <c r="L191" s="331"/>
      <c r="M191" s="331"/>
      <c r="N191" s="215" t="n">
        <f aca="false">Q148</f>
        <v>-21870</v>
      </c>
      <c r="O191" s="236"/>
      <c r="P191" s="236"/>
      <c r="Q191" s="11"/>
      <c r="S191" s="129" t="n">
        <f aca="false">T185-100</f>
        <v>1099.99</v>
      </c>
      <c r="T191" s="215" t="n">
        <f aca="false">T188+W188+S191</f>
        <v>1594.86031241667</v>
      </c>
      <c r="U191" s="331"/>
      <c r="V191" s="331"/>
      <c r="W191" s="215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5" t="n">
        <f aca="false">AC188+AF188+AB191</f>
        <v>1518.89624166667</v>
      </c>
      <c r="AD191" s="331"/>
      <c r="AE191" s="331"/>
      <c r="AF191" s="215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1"/>
      <c r="B192" s="331"/>
      <c r="C192" s="331"/>
      <c r="D192" s="331"/>
      <c r="E192" s="236"/>
      <c r="F192" s="236"/>
      <c r="G192" s="236"/>
      <c r="H192" s="11"/>
      <c r="J192" s="221"/>
      <c r="K192" s="331"/>
      <c r="L192" s="331"/>
      <c r="M192" s="331"/>
      <c r="N192" s="236"/>
      <c r="O192" s="236"/>
      <c r="P192" s="236"/>
      <c r="Q192" s="11"/>
      <c r="S192" s="221"/>
      <c r="T192" s="331"/>
      <c r="U192" s="331"/>
      <c r="V192" s="331"/>
      <c r="W192" s="236"/>
      <c r="X192" s="236"/>
      <c r="Y192" s="236"/>
      <c r="Z192" s="11"/>
      <c r="AB192" s="221"/>
      <c r="AC192" s="331"/>
      <c r="AD192" s="331"/>
      <c r="AE192" s="331"/>
      <c r="AF192" s="236"/>
      <c r="AG192" s="236"/>
      <c r="AH192" s="236"/>
      <c r="AI192" s="11"/>
    </row>
    <row r="193" customFormat="false" ht="17.35" hidden="false" customHeight="false" outlineLevel="0" collapsed="false">
      <c r="A193" s="254" t="s">
        <v>267</v>
      </c>
      <c r="B193" s="331"/>
      <c r="C193" s="331"/>
      <c r="D193" s="255"/>
      <c r="E193" s="255"/>
      <c r="F193" s="255"/>
      <c r="G193" s="255"/>
      <c r="H193" s="256"/>
      <c r="J193" s="254" t="s">
        <v>267</v>
      </c>
      <c r="K193" s="331"/>
      <c r="L193" s="331"/>
      <c r="M193" s="255"/>
      <c r="N193" s="255"/>
      <c r="O193" s="255"/>
      <c r="P193" s="255"/>
      <c r="Q193" s="256"/>
      <c r="S193" s="254" t="s">
        <v>267</v>
      </c>
      <c r="T193" s="331"/>
      <c r="U193" s="331"/>
      <c r="V193" s="255"/>
      <c r="W193" s="255"/>
      <c r="X193" s="255"/>
      <c r="Y193" s="255"/>
      <c r="Z193" s="256"/>
      <c r="AB193" s="254" t="s">
        <v>267</v>
      </c>
      <c r="AC193" s="331"/>
      <c r="AD193" s="331"/>
      <c r="AE193" s="255"/>
      <c r="AF193" s="255"/>
      <c r="AG193" s="255"/>
      <c r="AH193" s="255"/>
      <c r="AI193" s="256"/>
    </row>
    <row r="194" customFormat="false" ht="17.35" hidden="false" customHeight="false" outlineLevel="0" collapsed="false">
      <c r="A194" s="221"/>
      <c r="B194" s="257"/>
      <c r="C194" s="257"/>
      <c r="D194" s="331"/>
      <c r="E194" s="236"/>
      <c r="F194" s="236"/>
      <c r="G194" s="236"/>
      <c r="H194" s="11"/>
      <c r="J194" s="221"/>
      <c r="K194" s="257"/>
      <c r="L194" s="257"/>
      <c r="M194" s="331"/>
      <c r="N194" s="236"/>
      <c r="O194" s="236"/>
      <c r="P194" s="236"/>
      <c r="Q194" s="11"/>
      <c r="S194" s="221"/>
      <c r="T194" s="257"/>
      <c r="U194" s="257"/>
      <c r="V194" s="331"/>
      <c r="W194" s="236"/>
      <c r="X194" s="236"/>
      <c r="Y194" s="236"/>
      <c r="Z194" s="11"/>
      <c r="AB194" s="221"/>
      <c r="AC194" s="257"/>
      <c r="AD194" s="257"/>
      <c r="AE194" s="331"/>
      <c r="AF194" s="236"/>
      <c r="AG194" s="236"/>
      <c r="AH194" s="236"/>
      <c r="AI194" s="11"/>
    </row>
    <row r="195" customFormat="false" ht="19.7" hidden="false" customHeight="false" outlineLevel="0" collapsed="false">
      <c r="A195" s="326" t="s">
        <v>81</v>
      </c>
      <c r="B195" s="259" t="s">
        <v>82</v>
      </c>
      <c r="C195" s="259"/>
      <c r="D195" s="259"/>
      <c r="E195" s="236"/>
      <c r="F195" s="236"/>
      <c r="G195" s="236"/>
      <c r="H195" s="11"/>
      <c r="J195" s="326" t="s">
        <v>81</v>
      </c>
      <c r="K195" s="259" t="s">
        <v>82</v>
      </c>
      <c r="L195" s="259"/>
      <c r="M195" s="259"/>
      <c r="N195" s="236"/>
      <c r="O195" s="236"/>
      <c r="P195" s="236"/>
      <c r="Q195" s="11"/>
      <c r="S195" s="326" t="s">
        <v>81</v>
      </c>
      <c r="T195" s="259" t="s">
        <v>82</v>
      </c>
      <c r="U195" s="259"/>
      <c r="V195" s="259"/>
      <c r="W195" s="236"/>
      <c r="X195" s="236"/>
      <c r="Y195" s="236"/>
      <c r="Z195" s="11"/>
      <c r="AB195" s="326" t="s">
        <v>81</v>
      </c>
      <c r="AC195" s="259" t="s">
        <v>82</v>
      </c>
      <c r="AD195" s="259"/>
      <c r="AE195" s="259"/>
      <c r="AF195" s="236"/>
      <c r="AG195" s="236"/>
      <c r="AH195" s="236"/>
      <c r="AI195" s="11"/>
    </row>
    <row r="196" customFormat="false" ht="19.5" hidden="false" customHeight="true" outlineLevel="0" collapsed="false">
      <c r="A196" s="326"/>
      <c r="B196" s="260" t="str">
        <f aca="false">B30</f>
        <v>0</v>
      </c>
      <c r="C196" s="260"/>
      <c r="D196" s="260"/>
      <c r="E196" s="236"/>
      <c r="F196" s="236"/>
      <c r="G196" s="236"/>
      <c r="H196" s="11"/>
      <c r="J196" s="326"/>
      <c r="K196" s="260" t="n">
        <f aca="false">K30</f>
        <v>10000</v>
      </c>
      <c r="L196" s="260"/>
      <c r="M196" s="260"/>
      <c r="N196" s="236"/>
      <c r="O196" s="236"/>
      <c r="P196" s="236"/>
      <c r="Q196" s="11"/>
      <c r="S196" s="326"/>
      <c r="T196" s="260" t="n">
        <f aca="false">K30</f>
        <v>10000</v>
      </c>
      <c r="U196" s="260"/>
      <c r="V196" s="260"/>
      <c r="W196" s="236"/>
      <c r="X196" s="236"/>
      <c r="Y196" s="236"/>
      <c r="Z196" s="11"/>
      <c r="AB196" s="326"/>
      <c r="AC196" s="260" t="n">
        <f aca="false">K30</f>
        <v>10000</v>
      </c>
      <c r="AD196" s="260"/>
      <c r="AE196" s="260"/>
      <c r="AF196" s="236"/>
      <c r="AG196" s="236"/>
      <c r="AH196" s="236"/>
      <c r="AI196" s="11"/>
    </row>
    <row r="197" customFormat="false" ht="17.35" hidden="false" customHeight="false" outlineLevel="0" collapsed="false">
      <c r="A197" s="261" t="n">
        <f aca="false">B29</f>
        <v>0</v>
      </c>
      <c r="B197" s="75" t="n">
        <f aca="false">B96</f>
        <v>1401.49987807535</v>
      </c>
      <c r="C197" s="75"/>
      <c r="D197" s="75"/>
      <c r="E197" s="236"/>
      <c r="F197" s="236"/>
      <c r="G197" s="236"/>
      <c r="H197" s="11"/>
      <c r="J197" s="261" t="n">
        <f aca="false">K29</f>
        <v>36</v>
      </c>
      <c r="K197" s="75" t="n">
        <f aca="false">K96</f>
        <v>1477.31306457009</v>
      </c>
      <c r="L197" s="75"/>
      <c r="M197" s="75"/>
      <c r="N197" s="236"/>
      <c r="O197" s="236"/>
      <c r="P197" s="236"/>
      <c r="Q197" s="11"/>
      <c r="S197" s="261" t="n">
        <f aca="false">K29</f>
        <v>36</v>
      </c>
      <c r="T197" s="75" t="n">
        <f aca="false">T96</f>
        <v>1408.20027188803</v>
      </c>
      <c r="U197" s="75"/>
      <c r="V197" s="75"/>
      <c r="W197" s="236"/>
      <c r="X197" s="236"/>
      <c r="Y197" s="236"/>
      <c r="Z197" s="11"/>
      <c r="AB197" s="261" t="n">
        <f aca="false">K29</f>
        <v>36</v>
      </c>
      <c r="AC197" s="75" t="n">
        <f aca="false">AC96</f>
        <v>927.687248290581</v>
      </c>
      <c r="AD197" s="75"/>
      <c r="AE197" s="75"/>
      <c r="AF197" s="236"/>
      <c r="AG197" s="236"/>
      <c r="AH197" s="236"/>
      <c r="AI197" s="11"/>
    </row>
    <row r="198" customFormat="false" ht="17.35" hidden="false" customHeight="false" outlineLevel="0" collapsed="false">
      <c r="A198" s="221"/>
      <c r="B198" s="331"/>
      <c r="C198" s="331"/>
      <c r="D198" s="331"/>
      <c r="E198" s="236"/>
      <c r="F198" s="236"/>
      <c r="G198" s="236"/>
      <c r="H198" s="11"/>
      <c r="J198" s="221"/>
      <c r="K198" s="331"/>
      <c r="L198" s="331"/>
      <c r="M198" s="331"/>
      <c r="N198" s="236"/>
      <c r="O198" s="236"/>
      <c r="P198" s="236"/>
      <c r="Q198" s="11"/>
      <c r="S198" s="221"/>
      <c r="T198" s="331"/>
      <c r="U198" s="331"/>
      <c r="V198" s="331"/>
      <c r="W198" s="236"/>
      <c r="X198" s="236"/>
      <c r="Y198" s="236"/>
      <c r="Z198" s="11"/>
      <c r="AB198" s="221"/>
      <c r="AC198" s="331"/>
      <c r="AD198" s="331"/>
      <c r="AE198" s="331"/>
      <c r="AF198" s="236"/>
      <c r="AG198" s="236"/>
      <c r="AH198" s="236"/>
      <c r="AI198" s="11"/>
    </row>
    <row r="199" customFormat="false" ht="17.35" hidden="false" customHeight="false" outlineLevel="0" collapsed="false">
      <c r="A199" s="221"/>
      <c r="B199" s="331"/>
      <c r="C199" s="331"/>
      <c r="D199" s="331"/>
      <c r="E199" s="236"/>
      <c r="F199" s="236"/>
      <c r="G199" s="236"/>
      <c r="H199" s="11"/>
      <c r="J199" s="221"/>
      <c r="K199" s="331"/>
      <c r="L199" s="331"/>
      <c r="M199" s="331"/>
      <c r="N199" s="236"/>
      <c r="O199" s="236"/>
      <c r="P199" s="236"/>
      <c r="Q199" s="11"/>
      <c r="S199" s="221"/>
      <c r="T199" s="331"/>
      <c r="U199" s="331"/>
      <c r="V199" s="331"/>
      <c r="W199" s="236"/>
      <c r="X199" s="236"/>
      <c r="Y199" s="236"/>
      <c r="Z199" s="11"/>
      <c r="AB199" s="221"/>
      <c r="AC199" s="331"/>
      <c r="AD199" s="331"/>
      <c r="AE199" s="331"/>
      <c r="AF199" s="236"/>
      <c r="AG199" s="236"/>
      <c r="AH199" s="236"/>
      <c r="AI199" s="11"/>
    </row>
    <row r="200" customFormat="false" ht="17.35" hidden="false" customHeight="false" outlineLevel="0" collapsed="false">
      <c r="A200" s="221"/>
      <c r="B200" s="331"/>
      <c r="C200" s="331"/>
      <c r="D200" s="331"/>
      <c r="E200" s="236"/>
      <c r="F200" s="236"/>
      <c r="G200" s="236"/>
      <c r="H200" s="11"/>
      <c r="J200" s="221"/>
      <c r="K200" s="331"/>
      <c r="L200" s="331"/>
      <c r="M200" s="331"/>
      <c r="N200" s="236"/>
      <c r="O200" s="236"/>
      <c r="P200" s="236"/>
      <c r="Q200" s="11"/>
      <c r="S200" s="221"/>
      <c r="T200" s="331"/>
      <c r="U200" s="331"/>
      <c r="V200" s="331"/>
      <c r="W200" s="236"/>
      <c r="X200" s="236"/>
      <c r="Y200" s="236"/>
      <c r="Z200" s="11"/>
      <c r="AB200" s="221"/>
      <c r="AC200" s="331"/>
      <c r="AD200" s="331"/>
      <c r="AE200" s="331"/>
      <c r="AF200" s="236"/>
      <c r="AG200" s="236"/>
      <c r="AH200" s="236"/>
      <c r="AI200" s="11"/>
    </row>
    <row r="201" customFormat="false" ht="17.35" hidden="false" customHeight="false" outlineLevel="0" collapsed="false">
      <c r="A201" s="221"/>
      <c r="B201" s="331"/>
      <c r="C201" s="331"/>
      <c r="D201" s="331"/>
      <c r="E201" s="236"/>
      <c r="F201" s="236"/>
      <c r="G201" s="236"/>
      <c r="H201" s="11"/>
      <c r="J201" s="221"/>
      <c r="K201" s="331"/>
      <c r="L201" s="331"/>
      <c r="M201" s="331"/>
      <c r="N201" s="236"/>
      <c r="O201" s="236"/>
      <c r="P201" s="236"/>
      <c r="Q201" s="11"/>
      <c r="S201" s="221"/>
      <c r="T201" s="331"/>
      <c r="U201" s="331"/>
      <c r="V201" s="331"/>
      <c r="W201" s="236"/>
      <c r="X201" s="236"/>
      <c r="Y201" s="236"/>
      <c r="Z201" s="11"/>
      <c r="AB201" s="221"/>
      <c r="AC201" s="331"/>
      <c r="AD201" s="331"/>
      <c r="AE201" s="331"/>
      <c r="AF201" s="236"/>
      <c r="AG201" s="236"/>
      <c r="AH201" s="236"/>
      <c r="AI201" s="11"/>
    </row>
    <row r="202" customFormat="false" ht="17.35" hidden="false" customHeight="false" outlineLevel="0" collapsed="false">
      <c r="A202" s="249"/>
      <c r="B202" s="250"/>
      <c r="C202" s="250"/>
      <c r="D202" s="250"/>
      <c r="E202" s="250"/>
      <c r="F202" s="250"/>
      <c r="G202" s="250"/>
      <c r="H202" s="84"/>
      <c r="J202" s="249"/>
      <c r="K202" s="250"/>
      <c r="L202" s="250"/>
      <c r="M202" s="250"/>
      <c r="N202" s="250"/>
      <c r="O202" s="250"/>
      <c r="P202" s="250"/>
      <c r="Q202" s="84"/>
      <c r="S202" s="249"/>
      <c r="T202" s="250"/>
      <c r="U202" s="250"/>
      <c r="V202" s="250"/>
      <c r="W202" s="250"/>
      <c r="X202" s="250"/>
      <c r="Y202" s="250"/>
      <c r="Z202" s="84"/>
      <c r="AB202" s="249"/>
      <c r="AC202" s="250"/>
      <c r="AD202" s="250"/>
      <c r="AE202" s="250"/>
      <c r="AF202" s="250"/>
      <c r="AG202" s="250"/>
      <c r="AH202" s="250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216" width="41.67" collapsed="false" outlineLevel="0"/>
    <col min="2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2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2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2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 t="n">
        <v>0</v>
      </c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329" t="n">
        <v>0</v>
      </c>
      <c r="C4" s="329" t="n">
        <v>0</v>
      </c>
      <c r="D4" s="329" t="n">
        <v>0</v>
      </c>
      <c r="E4" s="329"/>
      <c r="F4" s="329" t="n">
        <v>0</v>
      </c>
      <c r="G4" s="329"/>
      <c r="H4" s="330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 t="n">
        <v>0</v>
      </c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331"/>
      <c r="C8" s="331"/>
      <c r="D8" s="331"/>
      <c r="E8" s="331"/>
      <c r="F8" s="331"/>
      <c r="G8" s="331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 t="n">
        <f aca="false">(B7+C7+D7+E3)</f>
        <v>46854.17</v>
      </c>
      <c r="F9" s="226"/>
      <c r="G9" s="332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 t="n">
        <v>50</v>
      </c>
      <c r="F10" s="229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 t="n">
        <v>585</v>
      </c>
      <c r="F13" s="229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 t="n">
        <v>55</v>
      </c>
      <c r="F14" s="229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 t="n">
        <v>120</v>
      </c>
      <c r="F16" s="229"/>
      <c r="G16" s="4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5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210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210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210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  <c r="P22" s="333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  <c r="P23" s="333"/>
    </row>
    <row r="24" customFormat="false" ht="46.5" hidden="false" customHeight="true" outlineLevel="0" collapsed="false">
      <c r="A24" s="237" t="s">
        <v>277</v>
      </c>
      <c r="B24" s="237"/>
      <c r="C24" s="237"/>
      <c r="D24" s="237"/>
      <c r="E24" s="237"/>
      <c r="F24" s="237"/>
      <c r="G24" s="237"/>
      <c r="H24" s="237"/>
      <c r="I24" s="50"/>
      <c r="J24" s="50"/>
      <c r="K24" s="50"/>
      <c r="P24" s="333"/>
    </row>
    <row r="25" customFormat="false" ht="17.35" hidden="false" customHeight="false" outlineLevel="0" collapsed="false">
      <c r="A25" s="238"/>
      <c r="B25" s="239"/>
      <c r="C25" s="239"/>
      <c r="D25" s="239"/>
      <c r="E25" s="239"/>
      <c r="F25" s="239"/>
      <c r="G25" s="239"/>
      <c r="H25" s="102"/>
      <c r="I25" s="50"/>
      <c r="J25" s="50"/>
      <c r="K25" s="50"/>
      <c r="P25" s="333"/>
    </row>
    <row r="26" customFormat="false" ht="17.9" hidden="false" customHeight="false" outlineLevel="0" collapsed="false">
      <c r="A26" s="241" t="s">
        <v>130</v>
      </c>
      <c r="B26" s="242" t="s">
        <v>26</v>
      </c>
      <c r="C26" s="331"/>
      <c r="D26" s="331"/>
      <c r="E26" s="331"/>
      <c r="F26" s="331"/>
      <c r="G26" s="331"/>
      <c r="H26" s="11"/>
      <c r="I26" s="50"/>
      <c r="J26" s="30" t="s">
        <v>30</v>
      </c>
      <c r="K26" s="31" t="s">
        <v>31</v>
      </c>
      <c r="P26" s="333"/>
    </row>
    <row r="27" customFormat="false" ht="17.9" hidden="false" customHeight="false" outlineLevel="0" collapsed="false">
      <c r="A27" s="221"/>
      <c r="B27" s="331"/>
      <c r="C27" s="331"/>
      <c r="D27" s="331"/>
      <c r="E27" s="331"/>
      <c r="F27" s="331"/>
      <c r="G27" s="331"/>
      <c r="H27" s="11"/>
      <c r="I27" s="50"/>
      <c r="J27" s="32" t="s">
        <v>32</v>
      </c>
      <c r="K27" s="33" t="n">
        <v>1</v>
      </c>
      <c r="P27" s="333"/>
    </row>
    <row r="28" customFormat="false" ht="22.05" hidden="false" customHeight="false" outlineLevel="0" collapsed="false">
      <c r="A28" s="240" t="s">
        <v>116</v>
      </c>
      <c r="B28" s="240"/>
      <c r="C28" s="240"/>
      <c r="D28" s="240"/>
      <c r="E28" s="240"/>
      <c r="F28" s="240"/>
      <c r="G28" s="240"/>
      <c r="H28" s="240"/>
      <c r="I28" s="50"/>
      <c r="J28" s="32" t="s">
        <v>36</v>
      </c>
      <c r="K28" s="33"/>
      <c r="P28" s="333"/>
    </row>
    <row r="29" customFormat="false" ht="17.9" hidden="false" customHeight="false" outlineLevel="0" collapsed="false">
      <c r="A29" s="221"/>
      <c r="B29" s="331"/>
      <c r="C29" s="331"/>
      <c r="D29" s="331"/>
      <c r="E29" s="331"/>
      <c r="F29" s="331"/>
      <c r="G29" s="331"/>
      <c r="H29" s="11" t="n">
        <v>36</v>
      </c>
      <c r="I29" s="331"/>
      <c r="J29" s="30" t="s">
        <v>38</v>
      </c>
      <c r="K29" s="364" t="n">
        <v>36</v>
      </c>
      <c r="P29" s="333"/>
    </row>
    <row r="30" customFormat="false" ht="17.9" hidden="false" customHeight="false" outlineLevel="0" collapsed="false">
      <c r="A30" s="221" t="s">
        <v>145</v>
      </c>
      <c r="B30" s="42" t="s">
        <v>278</v>
      </c>
      <c r="C30" s="42"/>
      <c r="D30" s="42"/>
      <c r="E30" s="331"/>
      <c r="F30" s="331"/>
      <c r="G30" s="331"/>
      <c r="H30" s="11" t="n">
        <v>10000</v>
      </c>
      <c r="I30" s="331"/>
      <c r="J30" s="30" t="s">
        <v>39</v>
      </c>
      <c r="K30" s="39" t="n">
        <v>10000</v>
      </c>
      <c r="P30" s="333"/>
    </row>
    <row r="31" customFormat="false" ht="17.9" hidden="false" customHeight="false" outlineLevel="0" collapsed="false">
      <c r="A31" s="221"/>
      <c r="B31" s="331"/>
      <c r="C31" s="331"/>
      <c r="D31" s="331"/>
      <c r="E31" s="331"/>
      <c r="F31" s="331"/>
      <c r="G31" s="331"/>
      <c r="H31" s="11" t="n">
        <v>27500</v>
      </c>
      <c r="I31" s="331"/>
      <c r="J31" s="30" t="s">
        <v>43</v>
      </c>
      <c r="K31" s="365" t="n">
        <v>27500</v>
      </c>
      <c r="P31" s="333"/>
    </row>
    <row r="32" customFormat="false" ht="34.8" hidden="false" customHeight="false" outlineLevel="0" collapsed="false">
      <c r="A32" s="221" t="s">
        <v>81</v>
      </c>
      <c r="B32" s="331" t="s">
        <v>82</v>
      </c>
      <c r="C32" s="331"/>
      <c r="D32" s="331"/>
      <c r="E32" s="331" t="s">
        <v>279</v>
      </c>
      <c r="F32" s="331"/>
      <c r="G32" s="331"/>
      <c r="H32" s="11"/>
      <c r="I32" s="50" t="n">
        <v>0</v>
      </c>
      <c r="J32" s="30" t="s">
        <v>46</v>
      </c>
      <c r="K32" s="365" t="n">
        <v>0</v>
      </c>
      <c r="P32" s="333"/>
    </row>
    <row r="33" customFormat="false" ht="34.8" hidden="false" customHeight="false" outlineLevel="0" collapsed="false">
      <c r="A33" s="324" t="n">
        <f aca="false">A52</f>
        <v>36</v>
      </c>
      <c r="B33" s="49" t="n">
        <f aca="false">B51</f>
        <v>10000</v>
      </c>
      <c r="C33" s="331"/>
      <c r="D33" s="331"/>
      <c r="E33" s="49" t="n">
        <f aca="false">K48</f>
        <v>922.920864561026</v>
      </c>
      <c r="F33" s="49"/>
      <c r="G33" s="49"/>
      <c r="H33" s="246"/>
      <c r="I33" s="50"/>
      <c r="J33" s="32" t="s">
        <v>280</v>
      </c>
      <c r="K33" s="47" t="n">
        <f aca="false">H21-H11+(H16*20%)</f>
        <v>48877.5</v>
      </c>
      <c r="L33" s="216" t="n">
        <f aca="false">H21-H11+(H16*20%)</f>
        <v>48877.5</v>
      </c>
      <c r="P33" s="333"/>
    </row>
    <row r="34" customFormat="false" ht="17.35" hidden="false" customHeight="false" outlineLevel="0" collapsed="false">
      <c r="A34" s="221"/>
      <c r="B34" s="331"/>
      <c r="C34" s="331"/>
      <c r="D34" s="331"/>
      <c r="E34" s="363"/>
      <c r="F34" s="363"/>
      <c r="G34" s="363"/>
      <c r="H34" s="246"/>
      <c r="I34" s="50"/>
      <c r="J34" s="50"/>
      <c r="K34" s="50"/>
      <c r="P34" s="333"/>
    </row>
    <row r="35" customFormat="false" ht="21.6" hidden="false" customHeight="false" outlineLevel="0" collapsed="false">
      <c r="A35" s="221" t="s">
        <v>281</v>
      </c>
      <c r="B35" s="331" t="s">
        <v>282</v>
      </c>
      <c r="C35" s="331"/>
      <c r="D35" s="333"/>
      <c r="E35" s="331" t="s">
        <v>283</v>
      </c>
      <c r="F35" s="363"/>
      <c r="G35" s="363"/>
      <c r="H35" s="246"/>
      <c r="I35" s="50"/>
      <c r="J35" s="53" t="s">
        <v>50</v>
      </c>
      <c r="K35" s="0" t="n">
        <f aca="false">6.5/100</f>
        <v>0.065</v>
      </c>
      <c r="P35" s="333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6"/>
      <c r="I36" s="50"/>
      <c r="J36" s="50" t="s">
        <v>51</v>
      </c>
      <c r="K36" s="50" t="n">
        <f aca="false">K29</f>
        <v>36</v>
      </c>
      <c r="P36" s="333"/>
    </row>
    <row r="37" customFormat="false" ht="17.35" hidden="false" customHeight="false" outlineLevel="0" collapsed="false">
      <c r="A37" s="129"/>
      <c r="B37" s="215"/>
      <c r="C37" s="363"/>
      <c r="D37" s="363"/>
      <c r="E37" s="363"/>
      <c r="F37" s="363"/>
      <c r="G37" s="363"/>
      <c r="H37" s="246"/>
      <c r="I37" s="50"/>
      <c r="J37" s="50"/>
      <c r="K37" s="50"/>
      <c r="P37" s="333"/>
    </row>
    <row r="38" customFormat="false" ht="17.35" hidden="false" customHeight="false" outlineLevel="0" collapsed="false">
      <c r="A38" s="221"/>
      <c r="B38" s="331"/>
      <c r="C38" s="363"/>
      <c r="D38" s="363"/>
      <c r="E38" s="363"/>
      <c r="F38" s="363"/>
      <c r="G38" s="363"/>
      <c r="H38" s="246"/>
      <c r="J38" s="56" t="s">
        <v>56</v>
      </c>
      <c r="K38" s="56"/>
      <c r="L38" s="50" t="n">
        <v>42030.76</v>
      </c>
      <c r="N38" s="216" t="n">
        <f aca="false">80.88*36</f>
        <v>2911.68</v>
      </c>
      <c r="P38" s="333"/>
    </row>
    <row r="39" customFormat="false" ht="17.35" hidden="false" customHeight="false" outlineLevel="0" collapsed="false">
      <c r="A39" s="221" t="s">
        <v>284</v>
      </c>
      <c r="B39" s="331" t="s">
        <v>285</v>
      </c>
      <c r="C39" s="331"/>
      <c r="D39" s="333"/>
      <c r="E39" s="331" t="s">
        <v>286</v>
      </c>
      <c r="F39" s="363"/>
      <c r="G39" s="363"/>
      <c r="H39" s="246"/>
      <c r="J39" s="50" t="s">
        <v>83</v>
      </c>
      <c r="K39" s="50" t="n">
        <f aca="false">K33</f>
        <v>48877.5</v>
      </c>
      <c r="L39" s="50" t="n">
        <f aca="false">(L47*K46)+K44</f>
        <v>44866.9008605665</v>
      </c>
      <c r="N39" s="216" t="n">
        <f aca="false">K39-L39</f>
        <v>4010.59913943349</v>
      </c>
      <c r="P39" s="333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3"/>
      <c r="G40" s="363"/>
      <c r="H40" s="246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6" t="n">
        <f aca="false">N38-N39</f>
        <v>-1098.91913943349</v>
      </c>
      <c r="P40" s="333"/>
    </row>
    <row r="41" customFormat="false" ht="17.35" hidden="false" customHeight="false" outlineLevel="0" collapsed="false">
      <c r="A41" s="221"/>
      <c r="B41" s="331"/>
      <c r="C41" s="331"/>
      <c r="D41" s="331"/>
      <c r="E41" s="331"/>
      <c r="F41" s="363"/>
      <c r="G41" s="363"/>
      <c r="H41" s="246"/>
      <c r="J41" s="50" t="s">
        <v>287</v>
      </c>
      <c r="K41" s="50" t="n">
        <f aca="false">K35/12</f>
        <v>0.00541666666666667</v>
      </c>
      <c r="L41" s="50"/>
      <c r="P41" s="333"/>
    </row>
    <row r="42" customFormat="false" ht="17.35" hidden="false" customHeight="false" outlineLevel="0" collapsed="false">
      <c r="A42" s="249"/>
      <c r="B42" s="250"/>
      <c r="C42" s="250"/>
      <c r="D42" s="250"/>
      <c r="E42" s="250"/>
      <c r="F42" s="250"/>
      <c r="G42" s="251"/>
      <c r="H42" s="101"/>
      <c r="J42" s="50" t="s">
        <v>288</v>
      </c>
      <c r="K42" s="50" t="n">
        <f aca="false">(K32/K36/100)*C45</f>
        <v>0</v>
      </c>
      <c r="L42" s="50"/>
      <c r="P42" s="333"/>
    </row>
    <row r="43" customFormat="false" ht="17.35" hidden="false" customHeight="false" outlineLevel="0" collapsed="false">
      <c r="A43" s="238"/>
      <c r="B43" s="239"/>
      <c r="C43" s="239"/>
      <c r="D43" s="239"/>
      <c r="E43" s="239"/>
      <c r="F43" s="239"/>
      <c r="G43" s="239"/>
      <c r="H43" s="102"/>
      <c r="J43" s="50" t="s">
        <v>289</v>
      </c>
      <c r="K43" s="50"/>
      <c r="L43" s="50"/>
      <c r="P43" s="333"/>
    </row>
    <row r="44" customFormat="false" ht="17.35" hidden="false" customHeight="false" outlineLevel="0" collapsed="false">
      <c r="A44" s="131" t="s">
        <v>203</v>
      </c>
      <c r="B44" s="331"/>
      <c r="C44" s="144" t="s">
        <v>204</v>
      </c>
      <c r="D44" s="144"/>
      <c r="E44" s="331"/>
      <c r="F44" s="331"/>
      <c r="G44" s="331"/>
      <c r="H44" s="11"/>
      <c r="J44" s="50" t="s">
        <v>290</v>
      </c>
      <c r="K44" s="50" t="n">
        <f aca="false">(K40/(1+K41)^(K36+1))</f>
        <v>18764.9097705681</v>
      </c>
      <c r="L44" s="50"/>
      <c r="P44" s="333"/>
    </row>
    <row r="45" customFormat="false" ht="17.35" hidden="false" customHeight="false" outlineLevel="0" collapsed="false">
      <c r="A45" s="371" t="s">
        <v>291</v>
      </c>
      <c r="B45" s="331"/>
      <c r="C45" s="372" t="s">
        <v>291</v>
      </c>
      <c r="D45" s="372"/>
      <c r="E45" s="372"/>
      <c r="F45" s="331"/>
      <c r="G45" s="331"/>
      <c r="H45" s="11"/>
      <c r="J45" s="50" t="s">
        <v>292</v>
      </c>
      <c r="K45" s="50" t="n">
        <f aca="false">(K39-K44)</f>
        <v>30112.5902294319</v>
      </c>
      <c r="L45" s="50"/>
      <c r="P45" s="333"/>
    </row>
    <row r="46" customFormat="false" ht="17.35" hidden="false" customHeight="false" outlineLevel="0" collapsed="false">
      <c r="A46" s="249"/>
      <c r="B46" s="250"/>
      <c r="C46" s="250"/>
      <c r="D46" s="250"/>
      <c r="E46" s="250"/>
      <c r="F46" s="250"/>
      <c r="G46" s="250"/>
      <c r="H46" s="84"/>
      <c r="J46" s="50" t="s">
        <v>293</v>
      </c>
      <c r="K46" s="50" t="n">
        <f aca="false">((1-(1/((1+K41)^K36)))/K41)</f>
        <v>32.627488862498</v>
      </c>
      <c r="L46" s="50"/>
      <c r="P46" s="333"/>
    </row>
    <row r="47" customFormat="false" ht="17.35" hidden="false" customHeight="false" outlineLevel="0" collapsed="false">
      <c r="A47" s="238"/>
      <c r="B47" s="239"/>
      <c r="C47" s="239"/>
      <c r="D47" s="239"/>
      <c r="E47" s="239"/>
      <c r="F47" s="239"/>
      <c r="G47" s="239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6" t="n">
        <f aca="false">K47-L47</f>
        <v>122.920864561025</v>
      </c>
      <c r="P47" s="333"/>
    </row>
    <row r="48" customFormat="false" ht="31.8" hidden="false" customHeight="false" outlineLevel="0" collapsed="false">
      <c r="A48" s="254" t="s">
        <v>205</v>
      </c>
      <c r="B48" s="331"/>
      <c r="C48" s="331"/>
      <c r="D48" s="255"/>
      <c r="E48" s="255"/>
      <c r="F48" s="255"/>
      <c r="G48" s="255"/>
      <c r="H48" s="256"/>
      <c r="J48" s="63" t="s">
        <v>295</v>
      </c>
      <c r="K48" s="50" t="n">
        <f aca="false">IF(B26="YES", K47+K42, K47)</f>
        <v>922.920864561026</v>
      </c>
      <c r="L48" s="50"/>
      <c r="P48" s="333"/>
    </row>
    <row r="49" customFormat="false" ht="17.35" hidden="false" customHeight="false" outlineLevel="0" collapsed="false">
      <c r="A49" s="221"/>
      <c r="B49" s="257"/>
      <c r="C49" s="257"/>
      <c r="D49" s="331"/>
      <c r="E49" s="331"/>
      <c r="F49" s="331"/>
      <c r="G49" s="331"/>
      <c r="H49" s="11"/>
      <c r="J49" s="50" t="s">
        <v>296</v>
      </c>
      <c r="K49" s="50"/>
      <c r="L49" s="50" t="n">
        <v>800</v>
      </c>
      <c r="P49" s="333"/>
    </row>
    <row r="50" customFormat="false" ht="19.7" hidden="false" customHeight="false" outlineLevel="0" collapsed="false">
      <c r="A50" s="326" t="s">
        <v>81</v>
      </c>
      <c r="B50" s="259" t="s">
        <v>82</v>
      </c>
      <c r="C50" s="259"/>
      <c r="D50" s="259"/>
      <c r="E50" s="331"/>
      <c r="F50" s="331"/>
      <c r="G50" s="331"/>
      <c r="H50" s="11"/>
      <c r="I50" s="50"/>
      <c r="J50" s="50"/>
      <c r="K50" s="50"/>
      <c r="P50" s="333"/>
    </row>
    <row r="51" customFormat="false" ht="19.5" hidden="false" customHeight="true" outlineLevel="0" collapsed="false">
      <c r="A51" s="326"/>
      <c r="B51" s="260" t="n">
        <f aca="false">K30</f>
        <v>10000</v>
      </c>
      <c r="C51" s="260"/>
      <c r="D51" s="260"/>
      <c r="E51" s="331"/>
      <c r="F51" s="331"/>
      <c r="G51" s="331"/>
      <c r="H51" s="11"/>
      <c r="I51" s="50"/>
      <c r="J51" s="50"/>
      <c r="K51" s="50"/>
      <c r="P51" s="333"/>
    </row>
    <row r="52" customFormat="false" ht="17.35" hidden="false" customHeight="false" outlineLevel="0" collapsed="false">
      <c r="A52" s="261" t="n">
        <f aca="false">K29</f>
        <v>36</v>
      </c>
      <c r="B52" s="75" t="n">
        <f aca="false">K48</f>
        <v>922.920864561026</v>
      </c>
      <c r="C52" s="75"/>
      <c r="D52" s="75"/>
      <c r="E52" s="331"/>
      <c r="F52" s="331"/>
      <c r="G52" s="331"/>
      <c r="H52" s="11"/>
      <c r="I52" s="50"/>
      <c r="J52" s="50"/>
      <c r="K52" s="50"/>
      <c r="P52" s="333"/>
    </row>
    <row r="53" customFormat="false" ht="17.35" hidden="false" customHeight="false" outlineLevel="0" collapsed="false">
      <c r="A53" s="221"/>
      <c r="B53" s="331"/>
      <c r="C53" s="331"/>
      <c r="D53" s="331"/>
      <c r="E53" s="331"/>
      <c r="F53" s="331"/>
      <c r="G53" s="331"/>
      <c r="H53" s="11"/>
      <c r="I53" s="50"/>
      <c r="J53" s="50"/>
      <c r="K53" s="50"/>
      <c r="P53" s="333"/>
    </row>
    <row r="54" customFormat="false" ht="17.35" hidden="false" customHeight="false" outlineLevel="0" collapsed="false">
      <c r="A54" s="249"/>
      <c r="B54" s="250"/>
      <c r="C54" s="250"/>
      <c r="D54" s="250"/>
      <c r="E54" s="250"/>
      <c r="F54" s="250"/>
      <c r="G54" s="250"/>
      <c r="H54" s="84"/>
      <c r="I54" s="50"/>
      <c r="J54" s="50"/>
      <c r="K54" s="50"/>
      <c r="P54" s="333"/>
    </row>
    <row r="55" customFormat="false" ht="17.35" hidden="false" customHeight="false" outlineLevel="0" collapsed="false">
      <c r="A55" s="236"/>
      <c r="B55" s="236"/>
      <c r="C55" s="236"/>
      <c r="D55" s="236"/>
      <c r="E55" s="236"/>
      <c r="F55" s="236"/>
      <c r="G55" s="236"/>
      <c r="H55" s="236"/>
      <c r="J55" s="50"/>
      <c r="K55" s="50"/>
      <c r="P55" s="333"/>
    </row>
    <row r="56" customFormat="false" ht="17.35" hidden="false" customHeight="false" outlineLevel="0" collapsed="false">
      <c r="A56" s="236"/>
      <c r="B56" s="236"/>
      <c r="C56" s="236"/>
      <c r="D56" s="236"/>
      <c r="E56" s="236"/>
      <c r="F56" s="236"/>
      <c r="G56" s="236"/>
      <c r="H56" s="236"/>
      <c r="J56" s="50"/>
      <c r="K56" s="50"/>
      <c r="P56" s="333"/>
    </row>
    <row r="57" customFormat="false" ht="17.35" hidden="false" customHeight="false" outlineLevel="0" collapsed="false">
      <c r="A57" s="238"/>
      <c r="B57" s="239"/>
      <c r="C57" s="239"/>
      <c r="D57" s="239"/>
      <c r="E57" s="262"/>
      <c r="F57" s="262"/>
      <c r="G57" s="262"/>
      <c r="H57" s="102"/>
      <c r="J57" s="238"/>
      <c r="K57" s="239"/>
      <c r="L57" s="239"/>
      <c r="M57" s="239"/>
      <c r="N57" s="262"/>
      <c r="O57" s="262"/>
      <c r="P57" s="262"/>
      <c r="Q57" s="102"/>
      <c r="S57" s="238"/>
      <c r="T57" s="239"/>
      <c r="U57" s="239"/>
      <c r="V57" s="239"/>
      <c r="W57" s="262"/>
      <c r="X57" s="262"/>
      <c r="Y57" s="262"/>
      <c r="Z57" s="102"/>
      <c r="AB57" s="238"/>
      <c r="AC57" s="239"/>
      <c r="AD57" s="239"/>
      <c r="AE57" s="239"/>
      <c r="AF57" s="262"/>
      <c r="AG57" s="262"/>
      <c r="AH57" s="262"/>
      <c r="AI57" s="102"/>
    </row>
    <row r="58" customFormat="false" ht="17.35" hidden="false" customHeight="false" outlineLevel="0" collapsed="false">
      <c r="A58" s="221" t="s">
        <v>83</v>
      </c>
      <c r="B58" s="331" t="n">
        <v>1</v>
      </c>
      <c r="C58" s="331"/>
      <c r="D58" s="331"/>
      <c r="E58" s="342"/>
      <c r="F58" s="342"/>
      <c r="G58" s="342"/>
      <c r="H58" s="11"/>
      <c r="J58" s="221" t="s">
        <v>83</v>
      </c>
      <c r="K58" s="331" t="n">
        <v>1</v>
      </c>
      <c r="L58" s="331"/>
      <c r="M58" s="331"/>
      <c r="N58" s="342"/>
      <c r="O58" s="342"/>
      <c r="P58" s="342"/>
      <c r="Q58" s="11"/>
      <c r="S58" s="221" t="s">
        <v>83</v>
      </c>
      <c r="T58" s="331" t="n">
        <v>1</v>
      </c>
      <c r="U58" s="331"/>
      <c r="V58" s="331"/>
      <c r="W58" s="342"/>
      <c r="X58" s="342"/>
      <c r="Y58" s="342"/>
      <c r="Z58" s="11"/>
      <c r="AB58" s="221" t="s">
        <v>83</v>
      </c>
      <c r="AC58" s="331" t="n">
        <v>1</v>
      </c>
      <c r="AD58" s="331"/>
      <c r="AE58" s="331"/>
      <c r="AF58" s="342"/>
      <c r="AG58" s="342"/>
      <c r="AH58" s="342"/>
      <c r="AI58" s="11"/>
    </row>
    <row r="59" customFormat="false" ht="17.35" hidden="false" customHeight="false" outlineLevel="0" collapsed="false">
      <c r="A59" s="221" t="s">
        <v>84</v>
      </c>
      <c r="B59" s="331" t="n">
        <f aca="false">K29-B58</f>
        <v>35</v>
      </c>
      <c r="C59" s="331"/>
      <c r="D59" s="331"/>
      <c r="E59" s="342"/>
      <c r="F59" s="342"/>
      <c r="G59" s="342"/>
      <c r="H59" s="11"/>
      <c r="J59" s="221" t="s">
        <v>84</v>
      </c>
      <c r="K59" s="331" t="n">
        <f aca="false">K29-K58</f>
        <v>35</v>
      </c>
      <c r="L59" s="331"/>
      <c r="M59" s="331"/>
      <c r="N59" s="342"/>
      <c r="O59" s="342"/>
      <c r="P59" s="342"/>
      <c r="Q59" s="11"/>
      <c r="S59" s="221" t="s">
        <v>84</v>
      </c>
      <c r="T59" s="331" t="n">
        <f aca="false">K29-T58</f>
        <v>35</v>
      </c>
      <c r="U59" s="331"/>
      <c r="V59" s="331"/>
      <c r="W59" s="342"/>
      <c r="X59" s="342"/>
      <c r="Y59" s="342"/>
      <c r="Z59" s="11"/>
      <c r="AB59" s="221" t="s">
        <v>84</v>
      </c>
      <c r="AC59" s="331" t="n">
        <f aca="false">K29-AC58</f>
        <v>35</v>
      </c>
      <c r="AD59" s="331"/>
      <c r="AE59" s="331"/>
      <c r="AF59" s="342"/>
      <c r="AG59" s="342"/>
      <c r="AH59" s="342"/>
      <c r="AI59" s="11"/>
    </row>
    <row r="60" customFormat="false" ht="17.35" hidden="false" customHeight="false" outlineLevel="0" collapsed="false">
      <c r="A60" s="263" t="s">
        <v>206</v>
      </c>
      <c r="B60" s="88" t="n">
        <v>10</v>
      </c>
      <c r="C60" s="331"/>
      <c r="D60" s="331"/>
      <c r="E60" s="342"/>
      <c r="F60" s="342"/>
      <c r="G60" s="342"/>
      <c r="H60" s="11"/>
      <c r="J60" s="263" t="s">
        <v>206</v>
      </c>
      <c r="K60" s="88" t="n">
        <v>20</v>
      </c>
      <c r="L60" s="331"/>
      <c r="M60" s="331"/>
      <c r="N60" s="342"/>
      <c r="O60" s="342"/>
      <c r="P60" s="342"/>
      <c r="Q60" s="11"/>
      <c r="S60" s="263" t="s">
        <v>206</v>
      </c>
      <c r="T60" s="88" t="n">
        <v>10</v>
      </c>
      <c r="U60" s="331"/>
      <c r="V60" s="331"/>
      <c r="W60" s="342"/>
      <c r="X60" s="342"/>
      <c r="Y60" s="342"/>
      <c r="Z60" s="11"/>
      <c r="AB60" s="263" t="s">
        <v>206</v>
      </c>
      <c r="AC60" s="88" t="n">
        <v>10</v>
      </c>
      <c r="AD60" s="331"/>
      <c r="AE60" s="331"/>
      <c r="AF60" s="342"/>
      <c r="AG60" s="342"/>
      <c r="AH60" s="342"/>
      <c r="AI60" s="11"/>
    </row>
    <row r="61" customFormat="false" ht="17.35" hidden="false" customHeight="false" outlineLevel="0" collapsed="false">
      <c r="A61" s="221" t="s">
        <v>21</v>
      </c>
      <c r="B61" s="331" t="n">
        <f aca="false">J18</f>
        <v>57225</v>
      </c>
      <c r="C61" s="331"/>
      <c r="D61" s="331"/>
      <c r="E61" s="342"/>
      <c r="F61" s="342"/>
      <c r="G61" s="342"/>
      <c r="H61" s="11"/>
      <c r="J61" s="221" t="s">
        <v>21</v>
      </c>
      <c r="K61" s="331" t="n">
        <f aca="false">J18</f>
        <v>57225</v>
      </c>
      <c r="L61" s="331"/>
      <c r="M61" s="331"/>
      <c r="N61" s="342"/>
      <c r="O61" s="342"/>
      <c r="P61" s="342"/>
      <c r="Q61" s="11"/>
      <c r="S61" s="221" t="s">
        <v>21</v>
      </c>
      <c r="T61" s="331" t="n">
        <f aca="false">J18</f>
        <v>57225</v>
      </c>
      <c r="U61" s="331"/>
      <c r="V61" s="331"/>
      <c r="W61" s="342"/>
      <c r="X61" s="342"/>
      <c r="Y61" s="342"/>
      <c r="Z61" s="11"/>
      <c r="AB61" s="221" t="s">
        <v>21</v>
      </c>
      <c r="AC61" s="331" t="n">
        <f aca="false">J18</f>
        <v>57225</v>
      </c>
      <c r="AD61" s="331"/>
      <c r="AE61" s="331"/>
      <c r="AF61" s="342"/>
      <c r="AG61" s="342"/>
      <c r="AH61" s="342"/>
      <c r="AI61" s="11"/>
    </row>
    <row r="62" customFormat="false" ht="17.35" hidden="false" customHeight="false" outlineLevel="0" collapsed="false">
      <c r="A62" s="264" t="s">
        <v>207</v>
      </c>
      <c r="B62" s="343" t="n">
        <v>0</v>
      </c>
      <c r="C62" s="331"/>
      <c r="D62" s="331"/>
      <c r="E62" s="342"/>
      <c r="F62" s="342"/>
      <c r="G62" s="342"/>
      <c r="H62" s="11"/>
      <c r="J62" s="264" t="s">
        <v>207</v>
      </c>
      <c r="K62" s="343" t="n">
        <v>0.06</v>
      </c>
      <c r="L62" s="331"/>
      <c r="M62" s="331"/>
      <c r="N62" s="342"/>
      <c r="O62" s="342"/>
      <c r="P62" s="342"/>
      <c r="Q62" s="11"/>
      <c r="S62" s="264" t="s">
        <v>207</v>
      </c>
      <c r="T62" s="343" t="n">
        <f aca="false">IF(AND(K29&gt;= 12, K29&lt;=24), 0.0105, IF(AND(K29&gt;=48), -0.0075, 0))</f>
        <v>0</v>
      </c>
      <c r="U62" s="331"/>
      <c r="V62" s="331"/>
      <c r="W62" s="342"/>
      <c r="X62" s="342"/>
      <c r="Y62" s="342"/>
      <c r="Z62" s="11"/>
      <c r="AB62" s="264" t="s">
        <v>207</v>
      </c>
      <c r="AC62" s="343" t="n">
        <f aca="false">IF(AND(K29&gt;= 12, K29&lt;=24), 0.0105, IF(AND(K29&gt;=48), -0.0075, 0))</f>
        <v>0</v>
      </c>
      <c r="AD62" s="331"/>
      <c r="AE62" s="331"/>
      <c r="AF62" s="342"/>
      <c r="AG62" s="342"/>
      <c r="AH62" s="342"/>
      <c r="AI62" s="11"/>
    </row>
    <row r="63" customFormat="false" ht="17.35" hidden="false" customHeight="false" outlineLevel="0" collapsed="false">
      <c r="A63" s="218" t="s">
        <v>208</v>
      </c>
      <c r="B63" s="345" t="n">
        <v>0.065</v>
      </c>
      <c r="C63" s="331"/>
      <c r="D63" s="331"/>
      <c r="E63" s="342"/>
      <c r="F63" s="342"/>
      <c r="G63" s="342"/>
      <c r="H63" s="11"/>
      <c r="J63" s="218" t="s">
        <v>208</v>
      </c>
      <c r="K63" s="345" t="n">
        <v>0.08</v>
      </c>
      <c r="L63" s="331"/>
      <c r="M63" s="331"/>
      <c r="N63" s="342"/>
      <c r="O63" s="342"/>
      <c r="P63" s="342"/>
      <c r="Q63" s="11"/>
      <c r="S63" s="218" t="s">
        <v>208</v>
      </c>
      <c r="T63" s="345" t="n">
        <v>0.059</v>
      </c>
      <c r="U63" s="331"/>
      <c r="V63" s="331"/>
      <c r="W63" s="342"/>
      <c r="X63" s="342"/>
      <c r="Y63" s="342"/>
      <c r="Z63" s="11"/>
      <c r="AB63" s="218" t="s">
        <v>208</v>
      </c>
      <c r="AC63" s="345" t="n">
        <v>0.059</v>
      </c>
      <c r="AD63" s="331"/>
      <c r="AE63" s="331"/>
      <c r="AF63" s="342"/>
      <c r="AG63" s="342"/>
      <c r="AH63" s="342"/>
      <c r="AI63" s="11"/>
    </row>
    <row r="64" customFormat="false" ht="17.35" hidden="false" customHeight="false" outlineLevel="0" collapsed="false">
      <c r="A64" s="267" t="s">
        <v>209</v>
      </c>
      <c r="B64" s="346" t="n">
        <v>0.072</v>
      </c>
      <c r="C64" s="331"/>
      <c r="D64" s="331"/>
      <c r="E64" s="342"/>
      <c r="F64" s="342"/>
      <c r="G64" s="342"/>
      <c r="H64" s="11"/>
      <c r="J64" s="267" t="s">
        <v>209</v>
      </c>
      <c r="K64" s="346" t="n">
        <v>0.1</v>
      </c>
      <c r="L64" s="331"/>
      <c r="M64" s="331"/>
      <c r="N64" s="342"/>
      <c r="O64" s="342"/>
      <c r="P64" s="342"/>
      <c r="Q64" s="11"/>
      <c r="S64" s="267" t="s">
        <v>209</v>
      </c>
      <c r="T64" s="346" t="n">
        <f aca="false">IF(T108=AP108, 2.4%, 7.2%)</f>
        <v>0.072</v>
      </c>
      <c r="U64" s="331"/>
      <c r="V64" s="331"/>
      <c r="W64" s="342"/>
      <c r="X64" s="342"/>
      <c r="Y64" s="342"/>
      <c r="Z64" s="11"/>
      <c r="AB64" s="267" t="s">
        <v>209</v>
      </c>
      <c r="AC64" s="346" t="n">
        <f aca="false">IF(AC108=AP108, 2.4%, 7.2%)</f>
        <v>0.072</v>
      </c>
      <c r="AD64" s="331"/>
      <c r="AE64" s="331"/>
      <c r="AF64" s="342"/>
      <c r="AG64" s="342"/>
      <c r="AH64" s="342"/>
      <c r="AI64" s="11"/>
    </row>
    <row r="65" customFormat="false" ht="17.35" hidden="false" customHeight="false" outlineLevel="0" collapsed="false">
      <c r="A65" s="249" t="s">
        <v>87</v>
      </c>
      <c r="B65" s="84" t="n">
        <f aca="false">(B89*B59)-(K47*K29)</f>
        <v>15827.3446084403</v>
      </c>
      <c r="C65" s="331"/>
      <c r="D65" s="331"/>
      <c r="E65" s="342"/>
      <c r="F65" s="342"/>
      <c r="G65" s="342"/>
      <c r="H65" s="11"/>
      <c r="J65" s="249" t="s">
        <v>87</v>
      </c>
      <c r="K65" s="84" t="n">
        <f aca="false">(K89*K59)-(K47*K29)</f>
        <v>18480.8061357562</v>
      </c>
      <c r="L65" s="331"/>
      <c r="M65" s="331"/>
      <c r="N65" s="342"/>
      <c r="O65" s="342"/>
      <c r="P65" s="342"/>
      <c r="Q65" s="11"/>
      <c r="S65" s="249" t="s">
        <v>87</v>
      </c>
      <c r="T65" s="84" t="n">
        <f aca="false">(T89*T59)-(K47*K29)</f>
        <v>16061.8583918841</v>
      </c>
      <c r="U65" s="331"/>
      <c r="V65" s="331"/>
      <c r="W65" s="342"/>
      <c r="X65" s="342"/>
      <c r="Y65" s="342"/>
      <c r="Z65" s="11"/>
      <c r="AB65" s="249" t="s">
        <v>87</v>
      </c>
      <c r="AC65" s="84" t="n">
        <f aca="false">(AC89*AC59)-(K47*K29)</f>
        <v>-756.0974340266</v>
      </c>
      <c r="AD65" s="331"/>
      <c r="AE65" s="331"/>
      <c r="AF65" s="342"/>
      <c r="AG65" s="342"/>
      <c r="AH65" s="342"/>
      <c r="AI65" s="11"/>
    </row>
    <row r="66" customFormat="false" ht="17.35" hidden="false" customHeight="false" outlineLevel="0" collapsed="false">
      <c r="A66" s="264" t="s">
        <v>88</v>
      </c>
      <c r="B66" s="343" t="n">
        <v>0.005</v>
      </c>
      <c r="C66" s="331"/>
      <c r="D66" s="331"/>
      <c r="E66" s="342"/>
      <c r="F66" s="342"/>
      <c r="G66" s="342"/>
      <c r="H66" s="11"/>
      <c r="J66" s="264" t="s">
        <v>88</v>
      </c>
      <c r="K66" s="343" t="n">
        <v>0.05</v>
      </c>
      <c r="L66" s="331"/>
      <c r="M66" s="331"/>
      <c r="N66" s="342"/>
      <c r="O66" s="342"/>
      <c r="P66" s="342"/>
      <c r="Q66" s="11"/>
      <c r="S66" s="264" t="s">
        <v>88</v>
      </c>
      <c r="T66" s="343" t="n">
        <v>0.005</v>
      </c>
      <c r="U66" s="331"/>
      <c r="V66" s="331"/>
      <c r="W66" s="342"/>
      <c r="X66" s="342"/>
      <c r="Y66" s="342"/>
      <c r="Z66" s="11"/>
      <c r="AB66" s="264" t="s">
        <v>88</v>
      </c>
      <c r="AC66" s="343" t="n">
        <v>0.005</v>
      </c>
      <c r="AD66" s="331"/>
      <c r="AE66" s="331"/>
      <c r="AF66" s="342"/>
      <c r="AG66" s="342"/>
      <c r="AH66" s="342"/>
      <c r="AI66" s="11"/>
    </row>
    <row r="67" customFormat="false" ht="17.35" hidden="false" customHeight="false" outlineLevel="0" collapsed="false">
      <c r="A67" s="221" t="s">
        <v>89</v>
      </c>
      <c r="B67" s="347" t="n">
        <f aca="false">B66+(B66*0.25*(B29/12-1))</f>
        <v>0.00375</v>
      </c>
      <c r="C67" s="331"/>
      <c r="D67" s="331"/>
      <c r="E67" s="342"/>
      <c r="F67" s="342"/>
      <c r="G67" s="342"/>
      <c r="H67" s="11"/>
      <c r="J67" s="221" t="s">
        <v>89</v>
      </c>
      <c r="K67" s="347" t="n">
        <f aca="false">K66+(K66*0.25*(K29/12-1))</f>
        <v>0.075</v>
      </c>
      <c r="L67" s="331"/>
      <c r="M67" s="331"/>
      <c r="N67" s="342"/>
      <c r="O67" s="342"/>
      <c r="P67" s="342"/>
      <c r="Q67" s="11"/>
      <c r="S67" s="221" t="s">
        <v>89</v>
      </c>
      <c r="T67" s="347" t="n">
        <f aca="false">T66+(T66*0.5*(K29/12-1))</f>
        <v>0.01</v>
      </c>
      <c r="U67" s="331"/>
      <c r="V67" s="331"/>
      <c r="W67" s="342"/>
      <c r="X67" s="342"/>
      <c r="Y67" s="342"/>
      <c r="Z67" s="11"/>
      <c r="AB67" s="221" t="s">
        <v>89</v>
      </c>
      <c r="AC67" s="347" t="n">
        <f aca="false">AC66+(AC66*0.5*(K29/12-1))</f>
        <v>0.01</v>
      </c>
      <c r="AD67" s="331"/>
      <c r="AE67" s="331"/>
      <c r="AF67" s="342"/>
      <c r="AG67" s="342"/>
      <c r="AH67" s="342"/>
      <c r="AI67" s="11"/>
    </row>
    <row r="68" customFormat="false" ht="17.35" hidden="false" customHeight="false" outlineLevel="0" collapsed="false">
      <c r="A68" s="249" t="s">
        <v>90</v>
      </c>
      <c r="B68" s="84" t="n">
        <f aca="false">B61*B67</f>
        <v>214.59375</v>
      </c>
      <c r="C68" s="331"/>
      <c r="D68" s="331"/>
      <c r="E68" s="342"/>
      <c r="F68" s="342"/>
      <c r="G68" s="342"/>
      <c r="H68" s="11"/>
      <c r="J68" s="249" t="s">
        <v>90</v>
      </c>
      <c r="K68" s="84" t="n">
        <f aca="false">K61*K67</f>
        <v>4291.875</v>
      </c>
      <c r="L68" s="331"/>
      <c r="M68" s="331"/>
      <c r="N68" s="342"/>
      <c r="O68" s="342"/>
      <c r="P68" s="342"/>
      <c r="Q68" s="11"/>
      <c r="S68" s="249" t="s">
        <v>90</v>
      </c>
      <c r="T68" s="84" t="n">
        <f aca="false">T61*T67</f>
        <v>572.25</v>
      </c>
      <c r="U68" s="331"/>
      <c r="V68" s="331"/>
      <c r="W68" s="342"/>
      <c r="X68" s="342"/>
      <c r="Y68" s="342"/>
      <c r="Z68" s="11"/>
      <c r="AB68" s="249" t="s">
        <v>90</v>
      </c>
      <c r="AC68" s="84" t="n">
        <f aca="false">AH158*AC67</f>
        <v>454.68749</v>
      </c>
      <c r="AD68" s="331"/>
      <c r="AE68" s="331"/>
      <c r="AF68" s="342"/>
      <c r="AG68" s="342"/>
      <c r="AH68" s="342"/>
      <c r="AI68" s="11"/>
    </row>
    <row r="69" customFormat="false" ht="17.35" hidden="false" customHeight="false" outlineLevel="0" collapsed="false">
      <c r="A69" s="264" t="s">
        <v>91</v>
      </c>
      <c r="B69" s="343" t="n">
        <v>0</v>
      </c>
      <c r="C69" s="331"/>
      <c r="D69" s="331"/>
      <c r="E69" s="342"/>
      <c r="F69" s="342"/>
      <c r="G69" s="342"/>
      <c r="H69" s="11"/>
      <c r="J69" s="264" t="s">
        <v>91</v>
      </c>
      <c r="K69" s="343" t="n">
        <v>0</v>
      </c>
      <c r="L69" s="331"/>
      <c r="M69" s="331"/>
      <c r="N69" s="342"/>
      <c r="O69" s="342"/>
      <c r="P69" s="342"/>
      <c r="Q69" s="11"/>
      <c r="S69" s="264" t="s">
        <v>91</v>
      </c>
      <c r="T69" s="343" t="n">
        <v>0</v>
      </c>
      <c r="U69" s="331"/>
      <c r="V69" s="331"/>
      <c r="W69" s="342"/>
      <c r="X69" s="342"/>
      <c r="Y69" s="342"/>
      <c r="Z69" s="11"/>
      <c r="AB69" s="264" t="s">
        <v>91</v>
      </c>
      <c r="AC69" s="343" t="n">
        <v>0</v>
      </c>
      <c r="AD69" s="331"/>
      <c r="AE69" s="331"/>
      <c r="AF69" s="342"/>
      <c r="AG69" s="342"/>
      <c r="AH69" s="342"/>
      <c r="AI69" s="11"/>
    </row>
    <row r="70" customFormat="false" ht="17.35" hidden="false" customHeight="false" outlineLevel="0" collapsed="false">
      <c r="A70" s="218" t="s">
        <v>92</v>
      </c>
      <c r="B70" s="345" t="n">
        <v>0</v>
      </c>
      <c r="C70" s="331"/>
      <c r="D70" s="331"/>
      <c r="E70" s="342"/>
      <c r="F70" s="342"/>
      <c r="G70" s="342"/>
      <c r="H70" s="11"/>
      <c r="J70" s="218" t="s">
        <v>92</v>
      </c>
      <c r="K70" s="345" t="n">
        <v>0</v>
      </c>
      <c r="L70" s="331"/>
      <c r="M70" s="331"/>
      <c r="N70" s="342"/>
      <c r="O70" s="342"/>
      <c r="P70" s="342"/>
      <c r="Q70" s="11"/>
      <c r="S70" s="218" t="s">
        <v>92</v>
      </c>
      <c r="T70" s="345" t="n">
        <v>0</v>
      </c>
      <c r="U70" s="331"/>
      <c r="V70" s="331"/>
      <c r="W70" s="342"/>
      <c r="X70" s="342"/>
      <c r="Y70" s="342"/>
      <c r="Z70" s="11"/>
      <c r="AB70" s="218" t="s">
        <v>92</v>
      </c>
      <c r="AC70" s="345" t="n">
        <v>0</v>
      </c>
      <c r="AD70" s="331"/>
      <c r="AE70" s="331"/>
      <c r="AF70" s="342"/>
      <c r="AG70" s="342"/>
      <c r="AH70" s="342"/>
      <c r="AI70" s="11"/>
    </row>
    <row r="71" customFormat="false" ht="17.35" hidden="false" customHeight="false" outlineLevel="0" collapsed="false">
      <c r="A71" s="249" t="s">
        <v>93</v>
      </c>
      <c r="B71" s="349" t="n">
        <f aca="false">B69*(1+B70)</f>
        <v>0</v>
      </c>
      <c r="C71" s="331"/>
      <c r="D71" s="331"/>
      <c r="E71" s="342"/>
      <c r="F71" s="342"/>
      <c r="G71" s="342"/>
      <c r="H71" s="11"/>
      <c r="J71" s="249" t="s">
        <v>93</v>
      </c>
      <c r="K71" s="349" t="n">
        <f aca="false">K69*(1+K70)</f>
        <v>0</v>
      </c>
      <c r="L71" s="331"/>
      <c r="M71" s="331"/>
      <c r="N71" s="342"/>
      <c r="O71" s="342"/>
      <c r="P71" s="342"/>
      <c r="Q71" s="11"/>
      <c r="S71" s="249" t="s">
        <v>93</v>
      </c>
      <c r="T71" s="349" t="n">
        <f aca="false">T69*(1+T70)</f>
        <v>0</v>
      </c>
      <c r="U71" s="331"/>
      <c r="V71" s="331"/>
      <c r="W71" s="342"/>
      <c r="X71" s="342"/>
      <c r="Y71" s="342"/>
      <c r="Z71" s="11"/>
      <c r="AB71" s="249" t="s">
        <v>93</v>
      </c>
      <c r="AC71" s="349" t="n">
        <f aca="false">AC69*(1+AC70)</f>
        <v>0</v>
      </c>
      <c r="AD71" s="331"/>
      <c r="AE71" s="331"/>
      <c r="AF71" s="342"/>
      <c r="AG71" s="342"/>
      <c r="AH71" s="342"/>
      <c r="AI71" s="11"/>
    </row>
    <row r="72" customFormat="false" ht="17.35" hidden="false" customHeight="false" outlineLevel="0" collapsed="false">
      <c r="A72" s="264" t="s">
        <v>94</v>
      </c>
      <c r="B72" s="87" t="n">
        <v>0</v>
      </c>
      <c r="C72" s="331"/>
      <c r="D72" s="331"/>
      <c r="E72" s="342"/>
      <c r="F72" s="342"/>
      <c r="G72" s="342"/>
      <c r="H72" s="11"/>
      <c r="J72" s="264" t="s">
        <v>94</v>
      </c>
      <c r="K72" s="87" t="n">
        <v>0</v>
      </c>
      <c r="L72" s="331"/>
      <c r="M72" s="331"/>
      <c r="N72" s="342"/>
      <c r="O72" s="342"/>
      <c r="P72" s="342"/>
      <c r="Q72" s="11"/>
      <c r="S72" s="264" t="s">
        <v>94</v>
      </c>
      <c r="T72" s="87" t="n">
        <v>0</v>
      </c>
      <c r="U72" s="331"/>
      <c r="V72" s="331"/>
      <c r="W72" s="342"/>
      <c r="X72" s="342"/>
      <c r="Y72" s="342"/>
      <c r="Z72" s="11"/>
      <c r="AB72" s="264" t="s">
        <v>94</v>
      </c>
      <c r="AC72" s="87" t="n">
        <v>0</v>
      </c>
      <c r="AD72" s="331"/>
      <c r="AE72" s="331"/>
      <c r="AF72" s="342"/>
      <c r="AG72" s="342"/>
      <c r="AH72" s="342"/>
      <c r="AI72" s="11"/>
    </row>
    <row r="73" customFormat="false" ht="17.35" hidden="false" customHeight="false" outlineLevel="0" collapsed="false">
      <c r="A73" s="218" t="s">
        <v>95</v>
      </c>
      <c r="B73" s="88" t="n">
        <v>0</v>
      </c>
      <c r="C73" s="331"/>
      <c r="D73" s="331"/>
      <c r="E73" s="342"/>
      <c r="F73" s="342"/>
      <c r="G73" s="342"/>
      <c r="H73" s="11"/>
      <c r="J73" s="218" t="s">
        <v>95</v>
      </c>
      <c r="K73" s="88" t="n">
        <v>0</v>
      </c>
      <c r="L73" s="331"/>
      <c r="M73" s="331"/>
      <c r="N73" s="342"/>
      <c r="O73" s="342"/>
      <c r="P73" s="342"/>
      <c r="Q73" s="11"/>
      <c r="S73" s="218" t="s">
        <v>95</v>
      </c>
      <c r="T73" s="88" t="n">
        <v>0</v>
      </c>
      <c r="U73" s="331"/>
      <c r="V73" s="331"/>
      <c r="W73" s="342"/>
      <c r="X73" s="342"/>
      <c r="Y73" s="342"/>
      <c r="Z73" s="11"/>
      <c r="AB73" s="218" t="s">
        <v>95</v>
      </c>
      <c r="AC73" s="88" t="n">
        <v>0</v>
      </c>
      <c r="AD73" s="331"/>
      <c r="AE73" s="331"/>
      <c r="AF73" s="342"/>
      <c r="AG73" s="342"/>
      <c r="AH73" s="342"/>
      <c r="AI73" s="11"/>
    </row>
    <row r="74" customFormat="false" ht="17.35" hidden="false" customHeight="false" outlineLevel="0" collapsed="false">
      <c r="A74" s="249" t="s">
        <v>96</v>
      </c>
      <c r="B74" s="84" t="n">
        <f aca="false">B73*B29</f>
        <v>0</v>
      </c>
      <c r="C74" s="331"/>
      <c r="D74" s="331" t="n">
        <f aca="false">B74+B72</f>
        <v>0</v>
      </c>
      <c r="E74" s="342"/>
      <c r="F74" s="342"/>
      <c r="G74" s="342"/>
      <c r="H74" s="11"/>
      <c r="J74" s="249" t="s">
        <v>96</v>
      </c>
      <c r="K74" s="84" t="n">
        <f aca="false">K73*K29</f>
        <v>0</v>
      </c>
      <c r="L74" s="331"/>
      <c r="M74" s="331" t="n">
        <f aca="false">K74+K72</f>
        <v>0</v>
      </c>
      <c r="N74" s="342"/>
      <c r="O74" s="342"/>
      <c r="P74" s="342"/>
      <c r="Q74" s="11"/>
      <c r="S74" s="249" t="s">
        <v>96</v>
      </c>
      <c r="T74" s="84" t="n">
        <f aca="false">T73*K29</f>
        <v>0</v>
      </c>
      <c r="U74" s="331"/>
      <c r="V74" s="331" t="n">
        <f aca="false">T74+T72</f>
        <v>0</v>
      </c>
      <c r="W74" s="342"/>
      <c r="X74" s="342"/>
      <c r="Y74" s="342"/>
      <c r="Z74" s="11"/>
      <c r="AB74" s="249" t="s">
        <v>96</v>
      </c>
      <c r="AC74" s="84" t="n">
        <f aca="false">AC73*K29</f>
        <v>0</v>
      </c>
      <c r="AD74" s="331"/>
      <c r="AE74" s="331" t="n">
        <f aca="false">AC74+AC72</f>
        <v>0</v>
      </c>
      <c r="AF74" s="342"/>
      <c r="AG74" s="342"/>
      <c r="AH74" s="342"/>
      <c r="AI74" s="11"/>
    </row>
    <row r="75" customFormat="false" ht="17.35" hidden="false" customHeight="false" outlineLevel="0" collapsed="false">
      <c r="A75" s="218" t="s">
        <v>103</v>
      </c>
      <c r="B75" s="88" t="n">
        <v>0</v>
      </c>
      <c r="C75" s="331"/>
      <c r="D75" s="331" t="n">
        <f aca="false">B75</f>
        <v>0</v>
      </c>
      <c r="E75" s="342"/>
      <c r="F75" s="342"/>
      <c r="G75" s="342"/>
      <c r="H75" s="11"/>
      <c r="J75" s="218" t="s">
        <v>103</v>
      </c>
      <c r="K75" s="88" t="n">
        <v>0</v>
      </c>
      <c r="L75" s="331"/>
      <c r="M75" s="331" t="n">
        <f aca="false">K75</f>
        <v>0</v>
      </c>
      <c r="N75" s="342"/>
      <c r="O75" s="342"/>
      <c r="P75" s="342"/>
      <c r="Q75" s="11"/>
      <c r="S75" s="218" t="s">
        <v>103</v>
      </c>
      <c r="T75" s="88" t="n">
        <v>0</v>
      </c>
      <c r="U75" s="331"/>
      <c r="V75" s="331" t="n">
        <f aca="false">T75</f>
        <v>0</v>
      </c>
      <c r="W75" s="342"/>
      <c r="X75" s="342"/>
      <c r="Y75" s="342"/>
      <c r="Z75" s="11"/>
      <c r="AB75" s="218" t="s">
        <v>103</v>
      </c>
      <c r="AC75" s="88" t="n">
        <v>0</v>
      </c>
      <c r="AD75" s="331"/>
      <c r="AE75" s="331" t="n">
        <f aca="false">AC75</f>
        <v>0</v>
      </c>
      <c r="AF75" s="342"/>
      <c r="AG75" s="342"/>
      <c r="AH75" s="342"/>
      <c r="AI75" s="11"/>
    </row>
    <row r="76" customFormat="false" ht="17.35" hidden="false" customHeight="false" outlineLevel="0" collapsed="false">
      <c r="A76" s="267" t="s">
        <v>104</v>
      </c>
      <c r="B76" s="97" t="n">
        <v>0</v>
      </c>
      <c r="C76" s="331"/>
      <c r="D76" s="331" t="n">
        <f aca="false">B76</f>
        <v>0</v>
      </c>
      <c r="E76" s="342"/>
      <c r="F76" s="342"/>
      <c r="G76" s="342"/>
      <c r="H76" s="11"/>
      <c r="J76" s="267" t="s">
        <v>104</v>
      </c>
      <c r="K76" s="97" t="n">
        <v>0</v>
      </c>
      <c r="L76" s="331"/>
      <c r="M76" s="331" t="n">
        <f aca="false">K76</f>
        <v>0</v>
      </c>
      <c r="N76" s="342"/>
      <c r="O76" s="342"/>
      <c r="P76" s="342"/>
      <c r="Q76" s="11"/>
      <c r="S76" s="267" t="s">
        <v>104</v>
      </c>
      <c r="T76" s="97" t="n">
        <v>0</v>
      </c>
      <c r="U76" s="331"/>
      <c r="V76" s="331" t="n">
        <f aca="false">T76</f>
        <v>0</v>
      </c>
      <c r="W76" s="342"/>
      <c r="X76" s="342"/>
      <c r="Y76" s="342"/>
      <c r="Z76" s="11"/>
      <c r="AB76" s="267" t="s">
        <v>104</v>
      </c>
      <c r="AC76" s="97" t="n">
        <v>0</v>
      </c>
      <c r="AD76" s="331"/>
      <c r="AE76" s="331" t="n">
        <f aca="false">AC76</f>
        <v>0</v>
      </c>
      <c r="AF76" s="342"/>
      <c r="AG76" s="342"/>
      <c r="AH76" s="342"/>
      <c r="AI76" s="11"/>
    </row>
    <row r="77" customFormat="false" ht="17.35" hidden="false" customHeight="false" outlineLevel="0" collapsed="false">
      <c r="A77" s="271" t="s">
        <v>105</v>
      </c>
      <c r="B77" s="272" t="n">
        <f aca="false">SUM(D65:D76)</f>
        <v>0</v>
      </c>
      <c r="C77" s="331"/>
      <c r="D77" s="331"/>
      <c r="E77" s="342"/>
      <c r="F77" s="342"/>
      <c r="G77" s="342"/>
      <c r="H77" s="11"/>
      <c r="J77" s="271" t="s">
        <v>105</v>
      </c>
      <c r="K77" s="272" t="n">
        <f aca="false">SUM(M65:M76)</f>
        <v>0</v>
      </c>
      <c r="L77" s="331"/>
      <c r="M77" s="331"/>
      <c r="N77" s="342"/>
      <c r="O77" s="342"/>
      <c r="P77" s="342"/>
      <c r="Q77" s="11"/>
      <c r="S77" s="271" t="s">
        <v>105</v>
      </c>
      <c r="T77" s="272" t="n">
        <f aca="false">SUM(V65:V76)</f>
        <v>0</v>
      </c>
      <c r="U77" s="331"/>
      <c r="V77" s="331"/>
      <c r="W77" s="342"/>
      <c r="X77" s="342"/>
      <c r="Y77" s="342"/>
      <c r="Z77" s="11"/>
      <c r="AB77" s="271" t="s">
        <v>105</v>
      </c>
      <c r="AC77" s="272" t="n">
        <f aca="false">SUM(AE65:AE76)</f>
        <v>0</v>
      </c>
      <c r="AD77" s="331"/>
      <c r="AE77" s="331"/>
      <c r="AF77" s="342"/>
      <c r="AG77" s="342"/>
      <c r="AH77" s="342"/>
      <c r="AI77" s="11"/>
    </row>
    <row r="78" customFormat="false" ht="17.35" hidden="false" customHeight="false" outlineLevel="0" collapsed="false">
      <c r="A78" s="221" t="s">
        <v>106</v>
      </c>
      <c r="B78" s="11" t="n">
        <f aca="false">B77/H29</f>
        <v>0</v>
      </c>
      <c r="C78" s="331"/>
      <c r="D78" s="331"/>
      <c r="E78" s="342"/>
      <c r="F78" s="342"/>
      <c r="G78" s="342"/>
      <c r="H78" s="11"/>
      <c r="J78" s="221" t="s">
        <v>106</v>
      </c>
      <c r="K78" s="11" t="n">
        <f aca="false">K77/K29</f>
        <v>0</v>
      </c>
      <c r="L78" s="331"/>
      <c r="M78" s="331"/>
      <c r="N78" s="342"/>
      <c r="O78" s="342"/>
      <c r="P78" s="342"/>
      <c r="Q78" s="11"/>
      <c r="S78" s="221" t="s">
        <v>106</v>
      </c>
      <c r="T78" s="11" t="n">
        <f aca="false">T77/K29</f>
        <v>0</v>
      </c>
      <c r="U78" s="331"/>
      <c r="V78" s="331"/>
      <c r="W78" s="342"/>
      <c r="X78" s="342"/>
      <c r="Y78" s="342"/>
      <c r="Z78" s="11"/>
      <c r="AB78" s="221" t="s">
        <v>106</v>
      </c>
      <c r="AC78" s="11" t="n">
        <f aca="false">AC77/K29</f>
        <v>0</v>
      </c>
      <c r="AD78" s="331"/>
      <c r="AE78" s="331"/>
      <c r="AF78" s="342"/>
      <c r="AG78" s="342"/>
      <c r="AH78" s="342"/>
      <c r="AI78" s="11"/>
    </row>
    <row r="79" customFormat="false" ht="17.35" hidden="false" customHeight="false" outlineLevel="0" collapsed="false">
      <c r="A79" s="273" t="s">
        <v>107</v>
      </c>
      <c r="B79" s="101" t="n">
        <f aca="false">K47</f>
        <v>922.920864561026</v>
      </c>
      <c r="C79" s="331"/>
      <c r="D79" s="331"/>
      <c r="E79" s="342"/>
      <c r="F79" s="342"/>
      <c r="G79" s="342"/>
      <c r="H79" s="11"/>
      <c r="J79" s="273" t="s">
        <v>107</v>
      </c>
      <c r="K79" s="101" t="n">
        <f aca="false">K47</f>
        <v>922.920864561026</v>
      </c>
      <c r="L79" s="331"/>
      <c r="M79" s="331"/>
      <c r="N79" s="342"/>
      <c r="O79" s="342"/>
      <c r="P79" s="342"/>
      <c r="Q79" s="11"/>
      <c r="S79" s="273" t="s">
        <v>107</v>
      </c>
      <c r="T79" s="101" t="n">
        <f aca="false">B52</f>
        <v>922.920864561026</v>
      </c>
      <c r="U79" s="331"/>
      <c r="V79" s="331"/>
      <c r="W79" s="342"/>
      <c r="X79" s="342"/>
      <c r="Y79" s="342"/>
      <c r="Z79" s="11"/>
      <c r="AB79" s="273" t="s">
        <v>107</v>
      </c>
      <c r="AC79" s="101" t="n">
        <f aca="false">B52</f>
        <v>922.920864561026</v>
      </c>
      <c r="AD79" s="331"/>
      <c r="AE79" s="331"/>
      <c r="AF79" s="342"/>
      <c r="AG79" s="342"/>
      <c r="AH79" s="342"/>
      <c r="AI79" s="11"/>
    </row>
    <row r="80" customFormat="false" ht="17.35" hidden="false" customHeight="false" outlineLevel="0" collapsed="false">
      <c r="A80" s="221"/>
      <c r="B80" s="331"/>
      <c r="C80" s="331"/>
      <c r="D80" s="331"/>
      <c r="E80" s="342"/>
      <c r="F80" s="342"/>
      <c r="G80" s="342"/>
      <c r="H80" s="11"/>
      <c r="J80" s="221"/>
      <c r="K80" s="331"/>
      <c r="L80" s="331"/>
      <c r="M80" s="331"/>
      <c r="N80" s="342"/>
      <c r="O80" s="342"/>
      <c r="P80" s="342"/>
      <c r="Q80" s="11"/>
      <c r="S80" s="221"/>
      <c r="T80" s="331"/>
      <c r="U80" s="331"/>
      <c r="V80" s="331"/>
      <c r="W80" s="342"/>
      <c r="X80" s="342"/>
      <c r="Y80" s="342"/>
      <c r="Z80" s="11"/>
      <c r="AB80" s="221"/>
      <c r="AC80" s="331"/>
      <c r="AD80" s="331"/>
      <c r="AE80" s="331"/>
      <c r="AF80" s="342"/>
      <c r="AG80" s="342"/>
      <c r="AH80" s="342"/>
      <c r="AI80" s="11"/>
    </row>
    <row r="81" customFormat="false" ht="17.35" hidden="false" customHeight="false" outlineLevel="0" collapsed="false">
      <c r="A81" s="238" t="s">
        <v>210</v>
      </c>
      <c r="B81" s="102" t="n">
        <f aca="false">G158</f>
        <v>58525</v>
      </c>
      <c r="C81" s="331"/>
      <c r="D81" s="331"/>
      <c r="E81" s="342"/>
      <c r="F81" s="342"/>
      <c r="G81" s="342"/>
      <c r="H81" s="11"/>
      <c r="J81" s="238" t="s">
        <v>210</v>
      </c>
      <c r="K81" s="102" t="n">
        <f aca="false">P158</f>
        <v>37655</v>
      </c>
      <c r="L81" s="331"/>
      <c r="M81" s="331"/>
      <c r="N81" s="342"/>
      <c r="O81" s="342"/>
      <c r="P81" s="342"/>
      <c r="Q81" s="11"/>
      <c r="S81" s="238" t="s">
        <v>210</v>
      </c>
      <c r="T81" s="102" t="n">
        <f aca="false">Y158</f>
        <v>59384.43749</v>
      </c>
      <c r="U81" s="331"/>
      <c r="V81" s="331"/>
      <c r="W81" s="342"/>
      <c r="X81" s="342"/>
      <c r="Y81" s="342"/>
      <c r="Z81" s="11"/>
      <c r="AB81" s="238" t="s">
        <v>210</v>
      </c>
      <c r="AC81" s="102" t="n">
        <f aca="false">AH158</f>
        <v>45468.749</v>
      </c>
      <c r="AD81" s="331"/>
      <c r="AE81" s="331"/>
      <c r="AF81" s="342"/>
      <c r="AG81" s="342"/>
      <c r="AH81" s="342"/>
      <c r="AI81" s="11"/>
    </row>
    <row r="82" customFormat="false" ht="17.35" hidden="false" customHeight="false" outlineLevel="0" collapsed="false">
      <c r="A82" s="221" t="s">
        <v>211</v>
      </c>
      <c r="B82" s="11" t="n">
        <f aca="false">A40</f>
        <v>27500</v>
      </c>
      <c r="C82" s="331"/>
      <c r="D82" s="331"/>
      <c r="E82" s="342"/>
      <c r="F82" s="342"/>
      <c r="G82" s="342"/>
      <c r="H82" s="11"/>
      <c r="J82" s="221" t="s">
        <v>211</v>
      </c>
      <c r="K82" s="11" t="n">
        <f aca="false">IF(J111 = "YES", A40, 0)</f>
        <v>0</v>
      </c>
      <c r="L82" s="331"/>
      <c r="M82" s="331"/>
      <c r="N82" s="342"/>
      <c r="O82" s="342"/>
      <c r="P82" s="342"/>
      <c r="Q82" s="11"/>
      <c r="S82" s="221" t="s">
        <v>211</v>
      </c>
      <c r="T82" s="11" t="n">
        <f aca="false">A40</f>
        <v>27500</v>
      </c>
      <c r="U82" s="331"/>
      <c r="V82" s="331"/>
      <c r="W82" s="342"/>
      <c r="X82" s="342"/>
      <c r="Y82" s="342"/>
      <c r="Z82" s="11"/>
      <c r="AB82" s="221" t="s">
        <v>211</v>
      </c>
      <c r="AC82" s="11" t="n">
        <f aca="false">A40</f>
        <v>27500</v>
      </c>
      <c r="AD82" s="331"/>
      <c r="AE82" s="331"/>
      <c r="AF82" s="342"/>
      <c r="AG82" s="342"/>
      <c r="AH82" s="342"/>
      <c r="AI82" s="11"/>
    </row>
    <row r="83" customFormat="false" ht="17.35" hidden="false" customHeight="false" outlineLevel="0" collapsed="false">
      <c r="A83" s="221" t="s">
        <v>212</v>
      </c>
      <c r="B83" s="347" t="n">
        <f aca="false">B62+B63+B64</f>
        <v>0.137</v>
      </c>
      <c r="C83" s="331"/>
      <c r="D83" s="331"/>
      <c r="E83" s="342"/>
      <c r="F83" s="342"/>
      <c r="G83" s="342"/>
      <c r="H83" s="11"/>
      <c r="J83" s="221" t="s">
        <v>212</v>
      </c>
      <c r="K83" s="347" t="n">
        <f aca="false">K62+K63+K64</f>
        <v>0.24</v>
      </c>
      <c r="L83" s="331"/>
      <c r="M83" s="331"/>
      <c r="N83" s="342"/>
      <c r="O83" s="342"/>
      <c r="P83" s="342"/>
      <c r="Q83" s="11"/>
      <c r="S83" s="221" t="s">
        <v>212</v>
      </c>
      <c r="T83" s="347" t="n">
        <f aca="false">T62+T63+T64</f>
        <v>0.131</v>
      </c>
      <c r="U83" s="331"/>
      <c r="V83" s="331"/>
      <c r="W83" s="342"/>
      <c r="X83" s="342"/>
      <c r="Y83" s="342"/>
      <c r="Z83" s="11"/>
      <c r="AB83" s="221" t="s">
        <v>212</v>
      </c>
      <c r="AC83" s="347" t="n">
        <f aca="false">AC62+AC63+AC64</f>
        <v>0.131</v>
      </c>
      <c r="AD83" s="331"/>
      <c r="AE83" s="331"/>
      <c r="AF83" s="342"/>
      <c r="AG83" s="342"/>
      <c r="AH83" s="342"/>
      <c r="AI83" s="11"/>
    </row>
    <row r="84" customFormat="false" ht="17.35" hidden="false" customHeight="false" outlineLevel="0" collapsed="false">
      <c r="A84" s="221" t="s">
        <v>213</v>
      </c>
      <c r="B84" s="347" t="n">
        <f aca="false">B83/12</f>
        <v>0.0114166666666667</v>
      </c>
      <c r="C84" s="331"/>
      <c r="D84" s="331"/>
      <c r="E84" s="342"/>
      <c r="F84" s="342"/>
      <c r="G84" s="342"/>
      <c r="H84" s="11"/>
      <c r="J84" s="221" t="s">
        <v>213</v>
      </c>
      <c r="K84" s="347" t="n">
        <f aca="false">K83/12</f>
        <v>0.02</v>
      </c>
      <c r="L84" s="331"/>
      <c r="M84" s="331"/>
      <c r="N84" s="342"/>
      <c r="O84" s="342"/>
      <c r="P84" s="342"/>
      <c r="Q84" s="11"/>
      <c r="S84" s="221" t="s">
        <v>213</v>
      </c>
      <c r="T84" s="347" t="n">
        <f aca="false">T83/12</f>
        <v>0.0109166666666667</v>
      </c>
      <c r="U84" s="331"/>
      <c r="V84" s="331"/>
      <c r="W84" s="342"/>
      <c r="X84" s="342"/>
      <c r="Y84" s="342"/>
      <c r="Z84" s="11"/>
      <c r="AB84" s="221" t="s">
        <v>213</v>
      </c>
      <c r="AC84" s="347" t="n">
        <f aca="false">AC83/12</f>
        <v>0.0109166666666667</v>
      </c>
      <c r="AD84" s="331"/>
      <c r="AE84" s="331"/>
      <c r="AF84" s="342"/>
      <c r="AG84" s="342"/>
      <c r="AH84" s="342"/>
      <c r="AI84" s="11"/>
    </row>
    <row r="85" customFormat="false" ht="17.35" hidden="false" customHeight="false" outlineLevel="0" collapsed="false">
      <c r="A85" s="221" t="s">
        <v>214</v>
      </c>
      <c r="B85" s="11" t="n">
        <f aca="false">IF(B82=0, (B59+B58), (B59))</f>
        <v>35</v>
      </c>
      <c r="C85" s="331"/>
      <c r="D85" s="331"/>
      <c r="E85" s="342"/>
      <c r="F85" s="342"/>
      <c r="G85" s="342"/>
      <c r="H85" s="11"/>
      <c r="J85" s="221" t="s">
        <v>214</v>
      </c>
      <c r="K85" s="11" t="n">
        <f aca="false">IF(K82=0, (K59+K58), (K59))</f>
        <v>36</v>
      </c>
      <c r="L85" s="331"/>
      <c r="M85" s="331"/>
      <c r="N85" s="342"/>
      <c r="O85" s="342"/>
      <c r="P85" s="342"/>
      <c r="Q85" s="11"/>
      <c r="S85" s="221" t="s">
        <v>214</v>
      </c>
      <c r="T85" s="11" t="n">
        <f aca="false">T59</f>
        <v>35</v>
      </c>
      <c r="U85" s="331"/>
      <c r="V85" s="331"/>
      <c r="W85" s="342"/>
      <c r="X85" s="342"/>
      <c r="Y85" s="342"/>
      <c r="Z85" s="11"/>
      <c r="AB85" s="221" t="s">
        <v>214</v>
      </c>
      <c r="AC85" s="11" t="n">
        <f aca="false">AC59</f>
        <v>35</v>
      </c>
      <c r="AD85" s="331"/>
      <c r="AE85" s="331"/>
      <c r="AF85" s="342"/>
      <c r="AG85" s="342"/>
      <c r="AH85" s="342"/>
      <c r="AI85" s="11"/>
    </row>
    <row r="86" customFormat="false" ht="17.35" hidden="false" customHeight="false" outlineLevel="0" collapsed="false">
      <c r="A86" s="221" t="s">
        <v>215</v>
      </c>
      <c r="B86" s="11" t="n">
        <f aca="false">(B82/((1+B84)^(B85+1)))</f>
        <v>18274.642159497</v>
      </c>
      <c r="C86" s="331"/>
      <c r="D86" s="331"/>
      <c r="E86" s="342"/>
      <c r="F86" s="342"/>
      <c r="G86" s="342"/>
      <c r="H86" s="11"/>
      <c r="J86" s="221" t="s">
        <v>215</v>
      </c>
      <c r="K86" s="11" t="n">
        <f aca="false">(K82/((1+K84)^(K85+1)))</f>
        <v>0</v>
      </c>
      <c r="L86" s="331"/>
      <c r="M86" s="331"/>
      <c r="N86" s="342"/>
      <c r="O86" s="342"/>
      <c r="P86" s="342"/>
      <c r="Q86" s="11"/>
      <c r="S86" s="221" t="s">
        <v>215</v>
      </c>
      <c r="T86" s="11" t="n">
        <f aca="false">(T82/((1+T84)^(T85+1)))</f>
        <v>18602.8658097623</v>
      </c>
      <c r="U86" s="331"/>
      <c r="V86" s="331"/>
      <c r="W86" s="342"/>
      <c r="X86" s="342"/>
      <c r="Y86" s="342"/>
      <c r="Z86" s="11"/>
      <c r="AB86" s="221" t="s">
        <v>215</v>
      </c>
      <c r="AC86" s="11" t="n">
        <f aca="false">(AC82/((1+AC84)^(AC85+1)))</f>
        <v>18602.8658097623</v>
      </c>
      <c r="AD86" s="331"/>
      <c r="AE86" s="331"/>
      <c r="AF86" s="342"/>
      <c r="AG86" s="342"/>
      <c r="AH86" s="342"/>
      <c r="AI86" s="11"/>
    </row>
    <row r="87" customFormat="false" ht="17.35" hidden="false" customHeight="false" outlineLevel="0" collapsed="false">
      <c r="A87" s="221" t="s">
        <v>216</v>
      </c>
      <c r="B87" s="11" t="n">
        <f aca="false">((1-(1/((1+B84)^B85)))/B84)</f>
        <v>28.719487222345</v>
      </c>
      <c r="C87" s="331"/>
      <c r="D87" s="331"/>
      <c r="E87" s="342"/>
      <c r="F87" s="342"/>
      <c r="G87" s="342"/>
      <c r="H87" s="11"/>
      <c r="J87" s="221" t="s">
        <v>216</v>
      </c>
      <c r="K87" s="11" t="n">
        <f aca="false">((1-(1/((1+K84)^K85)))/K84)</f>
        <v>25.4888424823874</v>
      </c>
      <c r="L87" s="331"/>
      <c r="M87" s="331"/>
      <c r="N87" s="342"/>
      <c r="O87" s="342"/>
      <c r="P87" s="342"/>
      <c r="Q87" s="11"/>
      <c r="S87" s="221" t="s">
        <v>216</v>
      </c>
      <c r="T87" s="11" t="n">
        <f aca="false">((1-(1/((1+T84)^T85)))/T84)</f>
        <v>28.9600651941078</v>
      </c>
      <c r="U87" s="331"/>
      <c r="V87" s="331"/>
      <c r="W87" s="342"/>
      <c r="X87" s="342"/>
      <c r="Y87" s="342"/>
      <c r="Z87" s="11"/>
      <c r="AB87" s="221" t="s">
        <v>216</v>
      </c>
      <c r="AC87" s="11" t="n">
        <f aca="false">((1-(1/((1+AC84)^AC85)))/AC84)</f>
        <v>28.9600651941078</v>
      </c>
      <c r="AD87" s="331"/>
      <c r="AE87" s="331"/>
      <c r="AF87" s="342"/>
      <c r="AG87" s="342"/>
      <c r="AH87" s="342"/>
      <c r="AI87" s="11"/>
    </row>
    <row r="88" customFormat="false" ht="17.35" hidden="false" customHeight="false" outlineLevel="0" collapsed="false">
      <c r="A88" s="221" t="s">
        <v>217</v>
      </c>
      <c r="B88" s="11" t="n">
        <f aca="false">B81-B86</f>
        <v>40250.357840503</v>
      </c>
      <c r="C88" s="331"/>
      <c r="D88" s="331"/>
      <c r="E88" s="342"/>
      <c r="F88" s="342"/>
      <c r="G88" s="342"/>
      <c r="H88" s="11"/>
      <c r="J88" s="221" t="s">
        <v>217</v>
      </c>
      <c r="K88" s="11" t="n">
        <f aca="false">K81-K86</f>
        <v>37655</v>
      </c>
      <c r="L88" s="331"/>
      <c r="M88" s="331"/>
      <c r="N88" s="342"/>
      <c r="O88" s="342"/>
      <c r="P88" s="342"/>
      <c r="Q88" s="11"/>
      <c r="S88" s="221" t="s">
        <v>217</v>
      </c>
      <c r="T88" s="11" t="n">
        <f aca="false">T81-T86</f>
        <v>40781.5716802377</v>
      </c>
      <c r="U88" s="331"/>
      <c r="V88" s="331"/>
      <c r="W88" s="342"/>
      <c r="X88" s="342"/>
      <c r="Y88" s="342"/>
      <c r="Z88" s="11"/>
      <c r="AB88" s="221" t="s">
        <v>217</v>
      </c>
      <c r="AC88" s="11" t="n">
        <f aca="false">AC81-AC86</f>
        <v>26865.8831902377</v>
      </c>
      <c r="AD88" s="331"/>
      <c r="AE88" s="331"/>
      <c r="AF88" s="342"/>
      <c r="AG88" s="342"/>
      <c r="AH88" s="342"/>
      <c r="AI88" s="11"/>
    </row>
    <row r="89" customFormat="false" ht="17.35" hidden="false" customHeight="false" outlineLevel="0" collapsed="false">
      <c r="A89" s="221" t="s">
        <v>218</v>
      </c>
      <c r="B89" s="11" t="n">
        <f aca="false">(B88/B87)</f>
        <v>1401.49987807535</v>
      </c>
      <c r="C89" s="331"/>
      <c r="D89" s="331"/>
      <c r="E89" s="342"/>
      <c r="F89" s="342"/>
      <c r="G89" s="342"/>
      <c r="H89" s="11"/>
      <c r="J89" s="221" t="s">
        <v>218</v>
      </c>
      <c r="K89" s="11" t="n">
        <f aca="false">(K88/K87)</f>
        <v>1477.31306457009</v>
      </c>
      <c r="L89" s="331"/>
      <c r="M89" s="331"/>
      <c r="N89" s="342"/>
      <c r="O89" s="342"/>
      <c r="P89" s="342"/>
      <c r="Q89" s="11"/>
      <c r="S89" s="221" t="s">
        <v>218</v>
      </c>
      <c r="T89" s="11" t="n">
        <f aca="false">(T88/T87)</f>
        <v>1408.20027188803</v>
      </c>
      <c r="U89" s="331"/>
      <c r="V89" s="331"/>
      <c r="W89" s="342"/>
      <c r="X89" s="342"/>
      <c r="Y89" s="342"/>
      <c r="Z89" s="11"/>
      <c r="AB89" s="221" t="s">
        <v>218</v>
      </c>
      <c r="AC89" s="11" t="n">
        <f aca="false">(AC88/AC87)</f>
        <v>927.687248290581</v>
      </c>
      <c r="AD89" s="331"/>
      <c r="AE89" s="331"/>
      <c r="AF89" s="342"/>
      <c r="AG89" s="342"/>
      <c r="AH89" s="342"/>
      <c r="AI89" s="11"/>
    </row>
    <row r="90" customFormat="false" ht="17.35" hidden="false" customHeight="false" outlineLevel="0" collapsed="false">
      <c r="A90" s="221" t="s">
        <v>108</v>
      </c>
      <c r="B90" s="11" t="n">
        <f aca="false">((B89*(B85))+B77)</f>
        <v>49052.4957326372</v>
      </c>
      <c r="C90" s="331"/>
      <c r="D90" s="331"/>
      <c r="E90" s="342"/>
      <c r="F90" s="342"/>
      <c r="G90" s="342"/>
      <c r="H90" s="11"/>
      <c r="J90" s="221" t="s">
        <v>108</v>
      </c>
      <c r="K90" s="11" t="n">
        <f aca="false">((K89*(K85))+K77)</f>
        <v>53183.2703245232</v>
      </c>
      <c r="L90" s="331"/>
      <c r="M90" s="331"/>
      <c r="N90" s="342"/>
      <c r="O90" s="342"/>
      <c r="P90" s="342"/>
      <c r="Q90" s="11"/>
      <c r="S90" s="221" t="s">
        <v>108</v>
      </c>
      <c r="T90" s="11" t="n">
        <f aca="false">(T89*(T85))+T77</f>
        <v>49287.009516081</v>
      </c>
      <c r="U90" s="331"/>
      <c r="V90" s="331"/>
      <c r="W90" s="342"/>
      <c r="X90" s="342"/>
      <c r="Y90" s="342"/>
      <c r="Z90" s="11"/>
      <c r="AB90" s="221" t="s">
        <v>108</v>
      </c>
      <c r="AC90" s="11" t="n">
        <f aca="false">(AC89*(AC59))+AC77</f>
        <v>32469.0536901703</v>
      </c>
      <c r="AD90" s="331"/>
      <c r="AE90" s="331"/>
      <c r="AF90" s="342"/>
      <c r="AG90" s="342"/>
      <c r="AH90" s="342"/>
      <c r="AI90" s="11"/>
    </row>
    <row r="91" customFormat="false" ht="17.35" hidden="false" customHeight="false" outlineLevel="0" collapsed="false">
      <c r="A91" s="221" t="s">
        <v>109</v>
      </c>
      <c r="B91" s="11" t="n">
        <f aca="false">(B90/(1-B71))*B71</f>
        <v>0</v>
      </c>
      <c r="C91" s="331"/>
      <c r="D91" s="331"/>
      <c r="E91" s="342"/>
      <c r="F91" s="342"/>
      <c r="G91" s="342"/>
      <c r="H91" s="11"/>
      <c r="J91" s="221" t="s">
        <v>109</v>
      </c>
      <c r="K91" s="11" t="n">
        <f aca="false">(K90/(1-K71))*K71</f>
        <v>0</v>
      </c>
      <c r="L91" s="331"/>
      <c r="M91" s="331"/>
      <c r="N91" s="342"/>
      <c r="O91" s="342"/>
      <c r="P91" s="342"/>
      <c r="Q91" s="11"/>
      <c r="S91" s="221" t="s">
        <v>109</v>
      </c>
      <c r="T91" s="11" t="n">
        <f aca="false">(T90/(1-T71))*T71</f>
        <v>0</v>
      </c>
      <c r="U91" s="331"/>
      <c r="V91" s="331"/>
      <c r="W91" s="342"/>
      <c r="X91" s="342"/>
      <c r="Y91" s="342"/>
      <c r="Z91" s="11"/>
      <c r="AB91" s="221" t="s">
        <v>109</v>
      </c>
      <c r="AC91" s="11" t="n">
        <f aca="false">(AC90/(1-AC71))*AC71</f>
        <v>0</v>
      </c>
      <c r="AD91" s="331"/>
      <c r="AE91" s="331"/>
      <c r="AF91" s="342"/>
      <c r="AG91" s="342"/>
      <c r="AH91" s="342"/>
      <c r="AI91" s="11"/>
    </row>
    <row r="92" customFormat="false" ht="17.35" hidden="false" customHeight="false" outlineLevel="0" collapsed="false">
      <c r="A92" s="249" t="s">
        <v>110</v>
      </c>
      <c r="B92" s="84" t="n">
        <f aca="false">(B90+B91)</f>
        <v>49052.4957326372</v>
      </c>
      <c r="C92" s="331"/>
      <c r="D92" s="331"/>
      <c r="E92" s="342"/>
      <c r="F92" s="342"/>
      <c r="G92" s="342"/>
      <c r="H92" s="11"/>
      <c r="J92" s="249" t="s">
        <v>110</v>
      </c>
      <c r="K92" s="84" t="n">
        <f aca="false">(K90+K91)</f>
        <v>53183.2703245232</v>
      </c>
      <c r="L92" s="331"/>
      <c r="M92" s="331"/>
      <c r="N92" s="342"/>
      <c r="O92" s="342"/>
      <c r="P92" s="342"/>
      <c r="Q92" s="11"/>
      <c r="S92" s="249" t="s">
        <v>110</v>
      </c>
      <c r="T92" s="84" t="n">
        <f aca="false">(T90+T91)</f>
        <v>49287.009516081</v>
      </c>
      <c r="U92" s="331"/>
      <c r="V92" s="331"/>
      <c r="W92" s="342"/>
      <c r="X92" s="342"/>
      <c r="Y92" s="342"/>
      <c r="Z92" s="11"/>
      <c r="AB92" s="249" t="s">
        <v>110</v>
      </c>
      <c r="AC92" s="84" t="n">
        <f aca="false">(AC90+AC91)</f>
        <v>32469.0536901703</v>
      </c>
      <c r="AD92" s="331"/>
      <c r="AE92" s="331"/>
      <c r="AF92" s="342"/>
      <c r="AG92" s="342"/>
      <c r="AH92" s="342"/>
      <c r="AI92" s="11"/>
    </row>
    <row r="93" customFormat="false" ht="17.35" hidden="false" customHeight="false" outlineLevel="0" collapsed="false">
      <c r="A93" s="221"/>
      <c r="B93" s="331"/>
      <c r="C93" s="331"/>
      <c r="D93" s="331"/>
      <c r="E93" s="342"/>
      <c r="F93" s="342"/>
      <c r="G93" s="342"/>
      <c r="H93" s="11"/>
      <c r="J93" s="221"/>
      <c r="K93" s="331"/>
      <c r="L93" s="331"/>
      <c r="M93" s="331"/>
      <c r="N93" s="342"/>
      <c r="O93" s="342"/>
      <c r="P93" s="342"/>
      <c r="Q93" s="11"/>
      <c r="S93" s="221"/>
      <c r="T93" s="331"/>
      <c r="U93" s="331"/>
      <c r="V93" s="331"/>
      <c r="W93" s="342"/>
      <c r="X93" s="342"/>
      <c r="Y93" s="342"/>
      <c r="Z93" s="11"/>
      <c r="AB93" s="221"/>
      <c r="AC93" s="331"/>
      <c r="AD93" s="331"/>
      <c r="AE93" s="331"/>
      <c r="AF93" s="342"/>
      <c r="AG93" s="342"/>
      <c r="AH93" s="342"/>
      <c r="AI93" s="11"/>
    </row>
    <row r="94" customFormat="false" ht="17.35" hidden="false" customHeight="false" outlineLevel="0" collapsed="false">
      <c r="A94" s="271" t="s">
        <v>65</v>
      </c>
      <c r="B94" s="272" t="str">
        <f aca="false">IF(B26="YES",((E40/B85)*(1+A108)),"0")</f>
        <v>0</v>
      </c>
      <c r="C94" s="331"/>
      <c r="D94" s="331"/>
      <c r="E94" s="342"/>
      <c r="F94" s="342"/>
      <c r="G94" s="342"/>
      <c r="H94" s="11"/>
      <c r="J94" s="271" t="s">
        <v>65</v>
      </c>
      <c r="K94" s="272" t="n">
        <f aca="false">((E40/K85)*(1+J108))*1.2</f>
        <v>0</v>
      </c>
      <c r="L94" s="331"/>
      <c r="M94" s="331"/>
      <c r="N94" s="342"/>
      <c r="O94" s="342"/>
      <c r="P94" s="342"/>
      <c r="Q94" s="11"/>
      <c r="S94" s="271" t="s">
        <v>65</v>
      </c>
      <c r="T94" s="272" t="n">
        <f aca="false">((E40/T85)*(1+S108))</f>
        <v>0</v>
      </c>
      <c r="U94" s="331"/>
      <c r="V94" s="331"/>
      <c r="W94" s="342"/>
      <c r="X94" s="342"/>
      <c r="Y94" s="342"/>
      <c r="Z94" s="11"/>
      <c r="AB94" s="271" t="s">
        <v>65</v>
      </c>
      <c r="AC94" s="272" t="n">
        <f aca="false">((E40/AC85)*(1+AB108))*1.2</f>
        <v>0</v>
      </c>
      <c r="AD94" s="331"/>
      <c r="AE94" s="331"/>
      <c r="AF94" s="342"/>
      <c r="AG94" s="342"/>
      <c r="AH94" s="342"/>
      <c r="AI94" s="11"/>
    </row>
    <row r="95" customFormat="false" ht="17.35" hidden="false" customHeight="false" outlineLevel="0" collapsed="false">
      <c r="A95" s="274" t="s">
        <v>111</v>
      </c>
      <c r="B95" s="275" t="n">
        <f aca="false">B92/(B85)</f>
        <v>1401.49987807535</v>
      </c>
      <c r="C95" s="331"/>
      <c r="D95" s="331"/>
      <c r="E95" s="342"/>
      <c r="F95" s="342"/>
      <c r="G95" s="342"/>
      <c r="H95" s="11"/>
      <c r="J95" s="274" t="s">
        <v>111</v>
      </c>
      <c r="K95" s="275" t="n">
        <f aca="false">K92/(K85)</f>
        <v>1477.31306457009</v>
      </c>
      <c r="L95" s="331"/>
      <c r="M95" s="331"/>
      <c r="N95" s="342"/>
      <c r="O95" s="342"/>
      <c r="P95" s="342"/>
      <c r="Q95" s="11"/>
      <c r="S95" s="274" t="s">
        <v>111</v>
      </c>
      <c r="T95" s="275" t="n">
        <f aca="false">T92/(T85)</f>
        <v>1408.20027188803</v>
      </c>
      <c r="U95" s="331"/>
      <c r="V95" s="331"/>
      <c r="W95" s="342"/>
      <c r="X95" s="342"/>
      <c r="Y95" s="342"/>
      <c r="Z95" s="11"/>
      <c r="AB95" s="274" t="s">
        <v>111</v>
      </c>
      <c r="AC95" s="275" t="n">
        <f aca="false">AC92/(AC59)</f>
        <v>927.687248290581</v>
      </c>
      <c r="AD95" s="331"/>
      <c r="AE95" s="331"/>
      <c r="AF95" s="342"/>
      <c r="AG95" s="342"/>
      <c r="AH95" s="342"/>
      <c r="AI95" s="11"/>
    </row>
    <row r="96" customFormat="false" ht="17.35" hidden="false" customHeight="false" outlineLevel="0" collapsed="false">
      <c r="A96" s="276" t="s">
        <v>112</v>
      </c>
      <c r="B96" s="277" t="n">
        <f aca="false">(B94+B95)</f>
        <v>1401.49987807535</v>
      </c>
      <c r="C96" s="331"/>
      <c r="D96" s="331"/>
      <c r="E96" s="342"/>
      <c r="F96" s="342"/>
      <c r="G96" s="342"/>
      <c r="H96" s="11"/>
      <c r="J96" s="276" t="s">
        <v>112</v>
      </c>
      <c r="K96" s="277" t="n">
        <f aca="false">(K94+K95)</f>
        <v>1477.31306457009</v>
      </c>
      <c r="L96" s="331"/>
      <c r="M96" s="331"/>
      <c r="N96" s="342"/>
      <c r="O96" s="342"/>
      <c r="P96" s="342"/>
      <c r="Q96" s="11"/>
      <c r="S96" s="276" t="s">
        <v>112</v>
      </c>
      <c r="T96" s="277" t="n">
        <f aca="false">T94+T95</f>
        <v>1408.20027188803</v>
      </c>
      <c r="U96" s="331"/>
      <c r="V96" s="331"/>
      <c r="W96" s="342"/>
      <c r="X96" s="342"/>
      <c r="Y96" s="342"/>
      <c r="Z96" s="11"/>
      <c r="AB96" s="276" t="s">
        <v>112</v>
      </c>
      <c r="AC96" s="277" t="n">
        <f aca="false">AC94+AC95</f>
        <v>927.687248290581</v>
      </c>
      <c r="AD96" s="331"/>
      <c r="AE96" s="331"/>
      <c r="AF96" s="342"/>
      <c r="AG96" s="342"/>
      <c r="AH96" s="342"/>
      <c r="AI96" s="11"/>
    </row>
    <row r="97" customFormat="false" ht="17.35" hidden="false" customHeight="false" outlineLevel="0" collapsed="false">
      <c r="A97" s="249"/>
      <c r="B97" s="250"/>
      <c r="C97" s="250"/>
      <c r="D97" s="250"/>
      <c r="E97" s="278"/>
      <c r="F97" s="278"/>
      <c r="G97" s="278"/>
      <c r="H97" s="84"/>
      <c r="J97" s="249"/>
      <c r="K97" s="250"/>
      <c r="L97" s="250"/>
      <c r="M97" s="250"/>
      <c r="N97" s="278"/>
      <c r="O97" s="278"/>
      <c r="P97" s="278"/>
      <c r="Q97" s="84"/>
      <c r="S97" s="249"/>
      <c r="T97" s="250"/>
      <c r="U97" s="250"/>
      <c r="V97" s="250"/>
      <c r="W97" s="278"/>
      <c r="X97" s="278"/>
      <c r="Y97" s="278"/>
      <c r="Z97" s="84"/>
      <c r="AB97" s="249"/>
      <c r="AC97" s="250"/>
      <c r="AD97" s="250"/>
      <c r="AE97" s="250"/>
      <c r="AF97" s="278"/>
      <c r="AG97" s="278"/>
      <c r="AH97" s="278"/>
      <c r="AI97" s="84"/>
    </row>
    <row r="98" customFormat="false" ht="13.8" hidden="false" customHeight="false" outlineLevel="0" collapsed="false">
      <c r="A98" s="236"/>
      <c r="B98" s="236"/>
      <c r="C98" s="236"/>
      <c r="D98" s="236"/>
      <c r="E98" s="236"/>
      <c r="F98" s="236"/>
      <c r="G98" s="236"/>
      <c r="H98" s="236"/>
      <c r="J98" s="236"/>
      <c r="K98" s="236"/>
      <c r="L98" s="236"/>
      <c r="M98" s="236"/>
      <c r="N98" s="236"/>
      <c r="O98" s="236"/>
      <c r="P98" s="236"/>
      <c r="Q98" s="236"/>
      <c r="S98" s="236"/>
      <c r="T98" s="236"/>
      <c r="U98" s="236"/>
      <c r="V98" s="236"/>
      <c r="W98" s="236"/>
      <c r="X98" s="236"/>
      <c r="Y98" s="236"/>
      <c r="Z98" s="236"/>
      <c r="AB98" s="236"/>
      <c r="AC98" s="236"/>
      <c r="AD98" s="236"/>
      <c r="AE98" s="236"/>
      <c r="AF98" s="236"/>
      <c r="AG98" s="236"/>
      <c r="AH98" s="236"/>
      <c r="AI98" s="236"/>
    </row>
    <row r="99" customFormat="false" ht="13.8" hidden="false" customHeight="false" outlineLevel="0" collapsed="false">
      <c r="A99" s="236"/>
      <c r="B99" s="236"/>
      <c r="C99" s="236"/>
      <c r="D99" s="236"/>
      <c r="E99" s="236"/>
      <c r="F99" s="236"/>
      <c r="G99" s="236"/>
      <c r="H99" s="236"/>
      <c r="J99" s="236"/>
      <c r="K99" s="236"/>
      <c r="L99" s="236"/>
      <c r="M99" s="236"/>
      <c r="N99" s="236"/>
      <c r="O99" s="236"/>
      <c r="P99" s="236"/>
      <c r="Q99" s="236"/>
      <c r="S99" s="236"/>
      <c r="T99" s="236"/>
      <c r="U99" s="236"/>
      <c r="V99" s="236"/>
      <c r="W99" s="236"/>
      <c r="X99" s="236"/>
      <c r="Y99" s="236"/>
      <c r="Z99" s="236"/>
      <c r="AB99" s="236"/>
      <c r="AC99" s="236"/>
      <c r="AD99" s="236"/>
      <c r="AE99" s="236"/>
      <c r="AF99" s="236"/>
      <c r="AG99" s="236"/>
      <c r="AH99" s="236"/>
      <c r="AI99" s="236"/>
    </row>
    <row r="100" customFormat="false" ht="47.25" hidden="false" customHeight="true" outlineLevel="0" collapsed="false">
      <c r="A100" s="217" t="s">
        <v>222</v>
      </c>
      <c r="B100" s="217"/>
      <c r="C100" s="217"/>
      <c r="D100" s="217"/>
      <c r="E100" s="217"/>
      <c r="F100" s="217"/>
      <c r="G100" s="217"/>
      <c r="H100" s="217"/>
      <c r="J100" s="217" t="s">
        <v>221</v>
      </c>
      <c r="K100" s="217"/>
      <c r="L100" s="217"/>
      <c r="M100" s="217"/>
      <c r="N100" s="217"/>
      <c r="O100" s="217"/>
      <c r="P100" s="217"/>
      <c r="Q100" s="217"/>
      <c r="S100" s="217" t="s">
        <v>222</v>
      </c>
      <c r="T100" s="217"/>
      <c r="U100" s="217"/>
      <c r="V100" s="217"/>
      <c r="W100" s="217"/>
      <c r="X100" s="217"/>
      <c r="Y100" s="217"/>
      <c r="Z100" s="217"/>
      <c r="AB100" s="217" t="s">
        <v>223</v>
      </c>
      <c r="AC100" s="217"/>
      <c r="AD100" s="217"/>
      <c r="AE100" s="217"/>
      <c r="AF100" s="217"/>
      <c r="AG100" s="217"/>
      <c r="AH100" s="217"/>
      <c r="AI100" s="217"/>
    </row>
    <row r="101" customFormat="false" ht="17.35" hidden="false" customHeight="false" outlineLevel="0" collapsed="false">
      <c r="A101" s="238"/>
      <c r="B101" s="239"/>
      <c r="C101" s="239"/>
      <c r="D101" s="239"/>
      <c r="E101" s="262"/>
      <c r="F101" s="262"/>
      <c r="G101" s="262"/>
      <c r="H101" s="279"/>
      <c r="J101" s="238"/>
      <c r="K101" s="239"/>
      <c r="L101" s="239"/>
      <c r="M101" s="239"/>
      <c r="N101" s="262"/>
      <c r="O101" s="262"/>
      <c r="P101" s="262"/>
      <c r="Q101" s="279"/>
      <c r="S101" s="238"/>
      <c r="T101" s="239"/>
      <c r="U101" s="239"/>
      <c r="V101" s="239"/>
      <c r="W101" s="262"/>
      <c r="X101" s="262"/>
      <c r="Y101" s="262"/>
      <c r="Z101" s="279"/>
      <c r="AB101" s="238"/>
      <c r="AC101" s="239"/>
      <c r="AD101" s="239"/>
      <c r="AE101" s="239"/>
      <c r="AF101" s="262"/>
      <c r="AG101" s="262"/>
      <c r="AH101" s="262"/>
      <c r="AI101" s="279"/>
    </row>
    <row r="102" customFormat="false" ht="22.05" hidden="false" customHeight="false" outlineLevel="0" collapsed="false">
      <c r="A102" s="240" t="s">
        <v>116</v>
      </c>
      <c r="B102" s="240"/>
      <c r="C102" s="240"/>
      <c r="D102" s="240"/>
      <c r="E102" s="240"/>
      <c r="F102" s="240"/>
      <c r="G102" s="240"/>
      <c r="H102" s="240"/>
      <c r="J102" s="240" t="s">
        <v>116</v>
      </c>
      <c r="K102" s="240"/>
      <c r="L102" s="240"/>
      <c r="M102" s="240"/>
      <c r="N102" s="240"/>
      <c r="O102" s="240"/>
      <c r="P102" s="240"/>
      <c r="Q102" s="240"/>
      <c r="S102" s="240" t="s">
        <v>116</v>
      </c>
      <c r="T102" s="240"/>
      <c r="U102" s="240"/>
      <c r="V102" s="240"/>
      <c r="W102" s="240"/>
      <c r="X102" s="240"/>
      <c r="Y102" s="240"/>
      <c r="Z102" s="240"/>
      <c r="AB102" s="240" t="s">
        <v>116</v>
      </c>
      <c r="AC102" s="240"/>
      <c r="AD102" s="240"/>
      <c r="AE102" s="240"/>
      <c r="AF102" s="240"/>
      <c r="AG102" s="240"/>
      <c r="AH102" s="240"/>
      <c r="AI102" s="240"/>
    </row>
    <row r="103" customFormat="false" ht="17.35" hidden="false" customHeight="false" outlineLevel="0" collapsed="false">
      <c r="A103" s="221"/>
      <c r="B103" s="331"/>
      <c r="C103" s="331"/>
      <c r="D103" s="331"/>
      <c r="E103" s="342"/>
      <c r="F103" s="342"/>
      <c r="G103" s="342"/>
      <c r="H103" s="280"/>
      <c r="J103" s="221"/>
      <c r="K103" s="331"/>
      <c r="L103" s="331"/>
      <c r="M103" s="331"/>
      <c r="N103" s="342"/>
      <c r="O103" s="342"/>
      <c r="P103" s="342"/>
      <c r="Q103" s="280"/>
      <c r="S103" s="221"/>
      <c r="T103" s="331"/>
      <c r="U103" s="331"/>
      <c r="V103" s="331"/>
      <c r="W103" s="342"/>
      <c r="X103" s="342"/>
      <c r="Y103" s="342"/>
      <c r="Z103" s="280"/>
      <c r="AB103" s="221"/>
      <c r="AC103" s="331"/>
      <c r="AD103" s="331"/>
      <c r="AE103" s="331"/>
      <c r="AF103" s="342"/>
      <c r="AG103" s="342"/>
      <c r="AH103" s="342"/>
      <c r="AI103" s="280"/>
    </row>
    <row r="104" customFormat="false" ht="17.35" hidden="false" customHeight="false" outlineLevel="0" collapsed="false">
      <c r="A104" s="221" t="s">
        <v>118</v>
      </c>
      <c r="B104" s="331" t="s">
        <v>30</v>
      </c>
      <c r="C104" s="331"/>
      <c r="D104" s="331"/>
      <c r="E104" s="331" t="s">
        <v>130</v>
      </c>
      <c r="F104" s="331"/>
      <c r="G104" s="331"/>
      <c r="H104" s="11"/>
      <c r="J104" s="221" t="s">
        <v>118</v>
      </c>
      <c r="K104" s="331" t="s">
        <v>30</v>
      </c>
      <c r="L104" s="331"/>
      <c r="M104" s="331"/>
      <c r="N104" s="331" t="s">
        <v>130</v>
      </c>
      <c r="O104" s="331"/>
      <c r="P104" s="331"/>
      <c r="Q104" s="11"/>
      <c r="S104" s="221" t="s">
        <v>118</v>
      </c>
      <c r="T104" s="331" t="s">
        <v>30</v>
      </c>
      <c r="U104" s="331"/>
      <c r="V104" s="331"/>
      <c r="W104" s="331" t="s">
        <v>130</v>
      </c>
      <c r="X104" s="331"/>
      <c r="Y104" s="331"/>
      <c r="Z104" s="11"/>
      <c r="AB104" s="221" t="s">
        <v>118</v>
      </c>
      <c r="AC104" s="331" t="s">
        <v>30</v>
      </c>
      <c r="AD104" s="331"/>
      <c r="AE104" s="331"/>
      <c r="AF104" s="331" t="s">
        <v>130</v>
      </c>
      <c r="AG104" s="331"/>
      <c r="AH104" s="331"/>
      <c r="AI104" s="11"/>
    </row>
    <row r="105" customFormat="false" ht="17.35" hidden="false" customHeight="false" outlineLevel="0" collapsed="false">
      <c r="A105" s="241" t="s">
        <v>224</v>
      </c>
      <c r="B105" s="215" t="s">
        <v>117</v>
      </c>
      <c r="C105" s="215"/>
      <c r="D105" s="215"/>
      <c r="E105" s="42" t="s">
        <v>26</v>
      </c>
      <c r="F105" s="42"/>
      <c r="G105" s="42"/>
      <c r="H105" s="280"/>
      <c r="J105" s="241" t="s">
        <v>224</v>
      </c>
      <c r="K105" s="215" t="s">
        <v>117</v>
      </c>
      <c r="L105" s="215"/>
      <c r="M105" s="215"/>
      <c r="N105" s="42" t="s">
        <v>25</v>
      </c>
      <c r="O105" s="42"/>
      <c r="P105" s="42"/>
      <c r="Q105" s="280"/>
      <c r="S105" s="241" t="s">
        <v>224</v>
      </c>
      <c r="T105" s="215" t="s">
        <v>117</v>
      </c>
      <c r="U105" s="215"/>
      <c r="V105" s="215"/>
      <c r="W105" s="42" t="s">
        <v>25</v>
      </c>
      <c r="X105" s="42"/>
      <c r="Y105" s="42"/>
      <c r="Z105" s="280"/>
      <c r="AB105" s="241" t="s">
        <v>224</v>
      </c>
      <c r="AC105" s="215" t="s">
        <v>117</v>
      </c>
      <c r="AD105" s="215"/>
      <c r="AE105" s="215"/>
      <c r="AF105" s="42" t="s">
        <v>25</v>
      </c>
      <c r="AG105" s="42"/>
      <c r="AH105" s="42"/>
      <c r="AI105" s="280"/>
    </row>
    <row r="106" customFormat="false" ht="17.35" hidden="false" customHeight="false" outlineLevel="0" collapsed="false">
      <c r="A106" s="221"/>
      <c r="B106" s="331"/>
      <c r="C106" s="331"/>
      <c r="D106" s="342"/>
      <c r="E106" s="331"/>
      <c r="F106" s="331"/>
      <c r="G106" s="342"/>
      <c r="H106" s="11"/>
      <c r="J106" s="221"/>
      <c r="K106" s="331"/>
      <c r="L106" s="331"/>
      <c r="M106" s="342"/>
      <c r="N106" s="331"/>
      <c r="O106" s="331"/>
      <c r="P106" s="342"/>
      <c r="Q106" s="11"/>
      <c r="S106" s="221"/>
      <c r="T106" s="331"/>
      <c r="U106" s="331"/>
      <c r="V106" s="342"/>
      <c r="W106" s="331"/>
      <c r="X106" s="331"/>
      <c r="Y106" s="342"/>
      <c r="Z106" s="11"/>
      <c r="AB106" s="221"/>
      <c r="AC106" s="331"/>
      <c r="AD106" s="331"/>
      <c r="AE106" s="342"/>
      <c r="AF106" s="331"/>
      <c r="AG106" s="331"/>
      <c r="AH106" s="342"/>
      <c r="AI106" s="11"/>
    </row>
    <row r="107" customFormat="false" ht="17.35" hidden="false" customHeight="false" outlineLevel="0" collapsed="false">
      <c r="A107" s="221" t="s">
        <v>131</v>
      </c>
      <c r="B107" s="331" t="s">
        <v>225</v>
      </c>
      <c r="C107" s="331"/>
      <c r="D107" s="342"/>
      <c r="E107" s="331" t="s">
        <v>226</v>
      </c>
      <c r="F107" s="331"/>
      <c r="G107" s="342"/>
      <c r="H107" s="280"/>
      <c r="J107" s="221" t="s">
        <v>131</v>
      </c>
      <c r="K107" s="331" t="s">
        <v>225</v>
      </c>
      <c r="L107" s="331"/>
      <c r="M107" s="342"/>
      <c r="N107" s="331" t="s">
        <v>226</v>
      </c>
      <c r="O107" s="331"/>
      <c r="P107" s="342"/>
      <c r="Q107" s="280"/>
      <c r="S107" s="221" t="s">
        <v>131</v>
      </c>
      <c r="T107" s="331" t="s">
        <v>225</v>
      </c>
      <c r="U107" s="331"/>
      <c r="V107" s="342"/>
      <c r="W107" s="331" t="s">
        <v>226</v>
      </c>
      <c r="X107" s="331"/>
      <c r="Y107" s="342"/>
      <c r="Z107" s="280"/>
      <c r="AB107" s="221" t="s">
        <v>131</v>
      </c>
      <c r="AC107" s="331" t="s">
        <v>225</v>
      </c>
      <c r="AD107" s="331"/>
      <c r="AE107" s="342"/>
      <c r="AF107" s="331" t="s">
        <v>226</v>
      </c>
      <c r="AG107" s="331"/>
      <c r="AH107" s="342"/>
      <c r="AI107" s="280"/>
    </row>
    <row r="108" customFormat="false" ht="17.35" hidden="false" customHeight="false" outlineLevel="0" collapsed="false">
      <c r="A108" s="281" t="n">
        <v>0.2</v>
      </c>
      <c r="B108" s="112" t="s">
        <v>219</v>
      </c>
      <c r="C108" s="112"/>
      <c r="D108" s="112"/>
      <c r="E108" s="282" t="n">
        <f aca="false">B83</f>
        <v>0.137</v>
      </c>
      <c r="F108" s="282"/>
      <c r="G108" s="282"/>
      <c r="H108" s="246"/>
      <c r="J108" s="281" t="n">
        <v>0.3</v>
      </c>
      <c r="K108" s="112" t="s">
        <v>227</v>
      </c>
      <c r="L108" s="112"/>
      <c r="M108" s="112"/>
      <c r="N108" s="282" t="n">
        <f aca="false">K83</f>
        <v>0.24</v>
      </c>
      <c r="O108" s="282"/>
      <c r="P108" s="282"/>
      <c r="Q108" s="246"/>
      <c r="S108" s="281" t="n">
        <v>0.2</v>
      </c>
      <c r="T108" s="112" t="s">
        <v>228</v>
      </c>
      <c r="U108" s="112"/>
      <c r="V108" s="112"/>
      <c r="W108" s="282" t="n">
        <f aca="false">T83</f>
        <v>0.131</v>
      </c>
      <c r="X108" s="282"/>
      <c r="Y108" s="282"/>
      <c r="Z108" s="246"/>
      <c r="AB108" s="281" t="n">
        <v>0.2</v>
      </c>
      <c r="AC108" s="112" t="s">
        <v>228</v>
      </c>
      <c r="AD108" s="112"/>
      <c r="AE108" s="112"/>
      <c r="AF108" s="283" t="n">
        <f aca="false">AC83</f>
        <v>0.131</v>
      </c>
      <c r="AG108" s="283"/>
      <c r="AH108" s="283"/>
      <c r="AI108" s="246"/>
      <c r="AP108" s="216" t="s">
        <v>229</v>
      </c>
    </row>
    <row r="109" customFormat="false" ht="17.35" hidden="false" customHeight="false" outlineLevel="0" collapsed="false">
      <c r="A109" s="221"/>
      <c r="B109" s="331"/>
      <c r="C109" s="331"/>
      <c r="D109" s="331"/>
      <c r="E109" s="331"/>
      <c r="F109" s="331"/>
      <c r="G109" s="331"/>
      <c r="H109" s="11"/>
      <c r="J109" s="221"/>
      <c r="K109" s="331"/>
      <c r="L109" s="331"/>
      <c r="M109" s="331"/>
      <c r="N109" s="331"/>
      <c r="O109" s="331"/>
      <c r="P109" s="331"/>
      <c r="Q109" s="11"/>
      <c r="S109" s="221"/>
      <c r="T109" s="331"/>
      <c r="U109" s="331"/>
      <c r="V109" s="331"/>
      <c r="W109" s="331"/>
      <c r="X109" s="331"/>
      <c r="Y109" s="331"/>
      <c r="Z109" s="11"/>
      <c r="AB109" s="221"/>
      <c r="AC109" s="331"/>
      <c r="AD109" s="331"/>
      <c r="AE109" s="331"/>
      <c r="AF109" s="331"/>
      <c r="AG109" s="331"/>
      <c r="AH109" s="331"/>
      <c r="AI109" s="11"/>
      <c r="AP109" s="216" t="s">
        <v>227</v>
      </c>
    </row>
    <row r="110" customFormat="false" ht="17.35" hidden="false" customHeight="false" outlineLevel="0" collapsed="false">
      <c r="A110" s="221" t="s">
        <v>230</v>
      </c>
      <c r="B110" s="331" t="s">
        <v>142</v>
      </c>
      <c r="C110" s="331"/>
      <c r="D110" s="331"/>
      <c r="E110" s="331" t="s">
        <v>231</v>
      </c>
      <c r="F110" s="331"/>
      <c r="G110" s="331"/>
      <c r="H110" s="11"/>
      <c r="J110" s="221" t="s">
        <v>230</v>
      </c>
      <c r="K110" s="331" t="s">
        <v>142</v>
      </c>
      <c r="L110" s="331"/>
      <c r="M110" s="331"/>
      <c r="N110" s="331" t="s">
        <v>231</v>
      </c>
      <c r="O110" s="331"/>
      <c r="P110" s="331"/>
      <c r="Q110" s="11"/>
      <c r="S110" s="221" t="s">
        <v>230</v>
      </c>
      <c r="T110" s="331" t="s">
        <v>142</v>
      </c>
      <c r="U110" s="331"/>
      <c r="V110" s="331"/>
      <c r="W110" s="331" t="s">
        <v>231</v>
      </c>
      <c r="X110" s="331"/>
      <c r="Y110" s="331"/>
      <c r="Z110" s="11"/>
      <c r="AB110" s="221" t="s">
        <v>230</v>
      </c>
      <c r="AC110" s="331" t="s">
        <v>142</v>
      </c>
      <c r="AD110" s="331"/>
      <c r="AE110" s="331"/>
      <c r="AF110" s="331" t="s">
        <v>231</v>
      </c>
      <c r="AG110" s="331"/>
      <c r="AH110" s="331"/>
      <c r="AI110" s="11"/>
    </row>
    <row r="111" customFormat="false" ht="17.35" hidden="false" customHeight="false" outlineLevel="0" collapsed="false">
      <c r="A111" s="242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80"/>
      <c r="J111" s="242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80"/>
      <c r="S111" s="242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80"/>
      <c r="AB111" s="242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80"/>
    </row>
    <row r="112" customFormat="false" ht="17.35" hidden="false" customHeight="false" outlineLevel="0" collapsed="false">
      <c r="A112" s="221"/>
      <c r="B112" s="331"/>
      <c r="C112" s="331"/>
      <c r="D112" s="331"/>
      <c r="E112" s="331"/>
      <c r="F112" s="331"/>
      <c r="G112" s="342"/>
      <c r="H112" s="280"/>
      <c r="J112" s="221"/>
      <c r="K112" s="331"/>
      <c r="L112" s="331"/>
      <c r="M112" s="331"/>
      <c r="N112" s="331"/>
      <c r="O112" s="331"/>
      <c r="P112" s="342"/>
      <c r="Q112" s="280"/>
      <c r="S112" s="221"/>
      <c r="T112" s="331"/>
      <c r="U112" s="331"/>
      <c r="V112" s="331"/>
      <c r="W112" s="331"/>
      <c r="X112" s="331"/>
      <c r="Y112" s="342"/>
      <c r="Z112" s="280"/>
      <c r="AB112" s="221"/>
      <c r="AC112" s="331"/>
      <c r="AD112" s="331"/>
      <c r="AE112" s="331"/>
      <c r="AF112" s="331"/>
      <c r="AG112" s="331"/>
      <c r="AH112" s="342"/>
      <c r="AI112" s="280"/>
    </row>
    <row r="113" customFormat="false" ht="17.35" hidden="false" customHeight="false" outlineLevel="0" collapsed="false">
      <c r="A113" s="51" t="s">
        <v>232</v>
      </c>
      <c r="B113" s="331" t="s">
        <v>163</v>
      </c>
      <c r="C113" s="331"/>
      <c r="D113" s="331"/>
      <c r="E113" s="331" t="s">
        <v>132</v>
      </c>
      <c r="F113" s="331"/>
      <c r="G113" s="342"/>
      <c r="H113" s="280"/>
      <c r="J113" s="51" t="s">
        <v>232</v>
      </c>
      <c r="K113" s="331" t="s">
        <v>163</v>
      </c>
      <c r="L113" s="331"/>
      <c r="M113" s="331"/>
      <c r="N113" s="331" t="s">
        <v>132</v>
      </c>
      <c r="O113" s="331"/>
      <c r="P113" s="342"/>
      <c r="Q113" s="280"/>
      <c r="S113" s="51" t="s">
        <v>232</v>
      </c>
      <c r="T113" s="331" t="s">
        <v>163</v>
      </c>
      <c r="U113" s="331"/>
      <c r="V113" s="331"/>
      <c r="W113" s="331" t="s">
        <v>132</v>
      </c>
      <c r="X113" s="331"/>
      <c r="Y113" s="342"/>
      <c r="Z113" s="280"/>
      <c r="AB113" s="51" t="s">
        <v>232</v>
      </c>
      <c r="AC113" s="331" t="s">
        <v>163</v>
      </c>
      <c r="AD113" s="331"/>
      <c r="AE113" s="331"/>
      <c r="AF113" s="331" t="s">
        <v>132</v>
      </c>
      <c r="AG113" s="331"/>
      <c r="AH113" s="342"/>
      <c r="AI113" s="28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80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80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80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80"/>
    </row>
    <row r="115" customFormat="false" ht="13.8" hidden="false" customHeight="false" outlineLevel="0" collapsed="false">
      <c r="A115" s="284"/>
      <c r="B115" s="342"/>
      <c r="C115" s="342"/>
      <c r="D115" s="342"/>
      <c r="E115" s="342"/>
      <c r="F115" s="342"/>
      <c r="G115" s="342"/>
      <c r="H115" s="280"/>
      <c r="J115" s="284"/>
      <c r="K115" s="342"/>
      <c r="L115" s="342"/>
      <c r="M115" s="342"/>
      <c r="N115" s="342"/>
      <c r="O115" s="342"/>
      <c r="P115" s="342"/>
      <c r="Q115" s="280"/>
      <c r="S115" s="284"/>
      <c r="T115" s="342"/>
      <c r="U115" s="342"/>
      <c r="V115" s="342"/>
      <c r="W115" s="342"/>
      <c r="X115" s="342"/>
      <c r="Y115" s="342"/>
      <c r="Z115" s="280"/>
      <c r="AB115" s="284"/>
      <c r="AC115" s="342"/>
      <c r="AD115" s="342"/>
      <c r="AE115" s="342"/>
      <c r="AF115" s="342"/>
      <c r="AG115" s="342"/>
      <c r="AH115" s="342"/>
      <c r="AI115" s="280"/>
    </row>
    <row r="116" customFormat="false" ht="13.8" hidden="false" customHeight="false" outlineLevel="0" collapsed="false">
      <c r="A116" s="284"/>
      <c r="B116" s="342"/>
      <c r="C116" s="342"/>
      <c r="D116" s="342"/>
      <c r="E116" s="342"/>
      <c r="F116" s="342"/>
      <c r="G116" s="342"/>
      <c r="H116" s="280"/>
      <c r="J116" s="284"/>
      <c r="K116" s="342"/>
      <c r="L116" s="342"/>
      <c r="M116" s="342"/>
      <c r="N116" s="342"/>
      <c r="O116" s="342"/>
      <c r="P116" s="342"/>
      <c r="Q116" s="280"/>
      <c r="S116" s="284"/>
      <c r="T116" s="342"/>
      <c r="U116" s="342"/>
      <c r="V116" s="342"/>
      <c r="W116" s="342"/>
      <c r="X116" s="342"/>
      <c r="Y116" s="342"/>
      <c r="Z116" s="280"/>
      <c r="AB116" s="284"/>
      <c r="AC116" s="342"/>
      <c r="AD116" s="342"/>
      <c r="AE116" s="342"/>
      <c r="AF116" s="342"/>
      <c r="AG116" s="342"/>
      <c r="AH116" s="342"/>
      <c r="AI116" s="280"/>
    </row>
    <row r="117" customFormat="false" ht="22.05" hidden="false" customHeight="false" outlineLevel="0" collapsed="false">
      <c r="A117" s="240" t="s">
        <v>233</v>
      </c>
      <c r="B117" s="240"/>
      <c r="C117" s="240"/>
      <c r="D117" s="240"/>
      <c r="E117" s="240"/>
      <c r="F117" s="240"/>
      <c r="G117" s="240"/>
      <c r="H117" s="240"/>
      <c r="J117" s="240" t="s">
        <v>233</v>
      </c>
      <c r="K117" s="240"/>
      <c r="L117" s="240"/>
      <c r="M117" s="240"/>
      <c r="N117" s="240"/>
      <c r="O117" s="240"/>
      <c r="P117" s="240"/>
      <c r="Q117" s="240"/>
      <c r="S117" s="240" t="s">
        <v>233</v>
      </c>
      <c r="T117" s="240"/>
      <c r="U117" s="240"/>
      <c r="V117" s="240"/>
      <c r="W117" s="240"/>
      <c r="X117" s="240"/>
      <c r="Y117" s="240"/>
      <c r="Z117" s="240"/>
      <c r="AB117" s="240" t="s">
        <v>233</v>
      </c>
      <c r="AC117" s="240"/>
      <c r="AD117" s="240"/>
      <c r="AE117" s="240"/>
      <c r="AF117" s="240"/>
      <c r="AG117" s="240"/>
      <c r="AH117" s="240"/>
      <c r="AI117" s="240"/>
    </row>
    <row r="118" customFormat="false" ht="13.8" hidden="false" customHeight="false" outlineLevel="0" collapsed="false">
      <c r="A118" s="284"/>
      <c r="B118" s="342"/>
      <c r="C118" s="342"/>
      <c r="D118" s="342"/>
      <c r="E118" s="342"/>
      <c r="F118" s="342"/>
      <c r="G118" s="342"/>
      <c r="H118" s="280"/>
      <c r="J118" s="284"/>
      <c r="K118" s="342"/>
      <c r="L118" s="342"/>
      <c r="M118" s="342"/>
      <c r="N118" s="342"/>
      <c r="O118" s="342"/>
      <c r="P118" s="342"/>
      <c r="Q118" s="280"/>
      <c r="S118" s="284"/>
      <c r="T118" s="342"/>
      <c r="U118" s="342"/>
      <c r="V118" s="342"/>
      <c r="W118" s="342"/>
      <c r="X118" s="342"/>
      <c r="Y118" s="342"/>
      <c r="Z118" s="280"/>
      <c r="AB118" s="284"/>
      <c r="AC118" s="342"/>
      <c r="AD118" s="342"/>
      <c r="AE118" s="342"/>
      <c r="AF118" s="342"/>
      <c r="AG118" s="342"/>
      <c r="AH118" s="342"/>
      <c r="AI118" s="280"/>
    </row>
    <row r="119" customFormat="false" ht="19.7" hidden="false" customHeight="false" outlineLevel="0" collapsed="false">
      <c r="A119" s="264"/>
      <c r="B119" s="285" t="s">
        <v>1</v>
      </c>
      <c r="C119" s="285"/>
      <c r="D119" s="285" t="s">
        <v>2</v>
      </c>
      <c r="E119" s="285"/>
      <c r="F119" s="285" t="s">
        <v>3</v>
      </c>
      <c r="G119" s="285"/>
      <c r="H119" s="286" t="s">
        <v>4</v>
      </c>
      <c r="J119" s="264"/>
      <c r="K119" s="285" t="s">
        <v>1</v>
      </c>
      <c r="L119" s="285"/>
      <c r="M119" s="285" t="s">
        <v>2</v>
      </c>
      <c r="N119" s="285"/>
      <c r="O119" s="285" t="s">
        <v>3</v>
      </c>
      <c r="P119" s="285"/>
      <c r="Q119" s="286" t="s">
        <v>4</v>
      </c>
      <c r="S119" s="264"/>
      <c r="T119" s="285" t="s">
        <v>1</v>
      </c>
      <c r="U119" s="285"/>
      <c r="V119" s="285" t="s">
        <v>2</v>
      </c>
      <c r="W119" s="285"/>
      <c r="X119" s="285" t="s">
        <v>3</v>
      </c>
      <c r="Y119" s="285"/>
      <c r="Z119" s="286" t="s">
        <v>4</v>
      </c>
      <c r="AB119" s="264"/>
      <c r="AC119" s="285" t="s">
        <v>1</v>
      </c>
      <c r="AD119" s="285"/>
      <c r="AE119" s="285" t="s">
        <v>2</v>
      </c>
      <c r="AF119" s="285"/>
      <c r="AG119" s="285" t="s">
        <v>3</v>
      </c>
      <c r="AH119" s="285"/>
      <c r="AI119" s="286" t="s">
        <v>4</v>
      </c>
    </row>
    <row r="120" customFormat="false" ht="19.7" hidden="false" customHeight="false" outlineLevel="0" collapsed="false">
      <c r="A120" s="218"/>
      <c r="B120" s="287" t="s">
        <v>234</v>
      </c>
      <c r="C120" s="288" t="s">
        <v>235</v>
      </c>
      <c r="D120" s="287" t="s">
        <v>234</v>
      </c>
      <c r="E120" s="289" t="s">
        <v>235</v>
      </c>
      <c r="F120" s="287" t="s">
        <v>234</v>
      </c>
      <c r="G120" s="289" t="s">
        <v>235</v>
      </c>
      <c r="H120" s="290"/>
      <c r="J120" s="218"/>
      <c r="K120" s="287" t="s">
        <v>234</v>
      </c>
      <c r="L120" s="288" t="s">
        <v>235</v>
      </c>
      <c r="M120" s="287" t="s">
        <v>234</v>
      </c>
      <c r="N120" s="289" t="s">
        <v>235</v>
      </c>
      <c r="O120" s="287" t="s">
        <v>234</v>
      </c>
      <c r="P120" s="289" t="s">
        <v>235</v>
      </c>
      <c r="Q120" s="290"/>
      <c r="S120" s="218"/>
      <c r="T120" s="287" t="s">
        <v>234</v>
      </c>
      <c r="U120" s="288" t="s">
        <v>235</v>
      </c>
      <c r="V120" s="287" t="s">
        <v>234</v>
      </c>
      <c r="W120" s="289" t="s">
        <v>235</v>
      </c>
      <c r="X120" s="287" t="s">
        <v>234</v>
      </c>
      <c r="Y120" s="289" t="s">
        <v>235</v>
      </c>
      <c r="Z120" s="290"/>
      <c r="AB120" s="218"/>
      <c r="AC120" s="287" t="s">
        <v>234</v>
      </c>
      <c r="AD120" s="288" t="s">
        <v>235</v>
      </c>
      <c r="AE120" s="287" t="s">
        <v>234</v>
      </c>
      <c r="AF120" s="289" t="s">
        <v>235</v>
      </c>
      <c r="AG120" s="287" t="s">
        <v>234</v>
      </c>
      <c r="AH120" s="289" t="s">
        <v>235</v>
      </c>
      <c r="AI120" s="290"/>
    </row>
    <row r="121" customFormat="false" ht="17.35" hidden="false" customHeight="false" outlineLevel="0" collapsed="false">
      <c r="A121" s="238" t="s">
        <v>5</v>
      </c>
      <c r="B121" s="353" t="n">
        <f aca="false">B3</f>
        <v>46854.17</v>
      </c>
      <c r="C121" s="354" t="n">
        <f aca="false">B121</f>
        <v>46854.17</v>
      </c>
      <c r="D121" s="353" t="n">
        <f aca="false">D3</f>
        <v>0</v>
      </c>
      <c r="E121" s="354" t="n">
        <f aca="false">D121</f>
        <v>0</v>
      </c>
      <c r="F121" s="353" t="n">
        <f aca="false">F3</f>
        <v>833.33</v>
      </c>
      <c r="G121" s="354" t="n">
        <f aca="false">F121</f>
        <v>833.33</v>
      </c>
      <c r="H121" s="291" t="n">
        <f aca="false">H3</f>
        <v>0</v>
      </c>
      <c r="J121" s="238" t="s">
        <v>5</v>
      </c>
      <c r="K121" s="353" t="n">
        <f aca="false">B3</f>
        <v>46854.17</v>
      </c>
      <c r="L121" s="354" t="n">
        <v>28629.17</v>
      </c>
      <c r="M121" s="353" t="n">
        <f aca="false">D3</f>
        <v>0</v>
      </c>
      <c r="N121" s="354" t="n">
        <f aca="false">M121</f>
        <v>0</v>
      </c>
      <c r="O121" s="353" t="n">
        <f aca="false">F3</f>
        <v>833.33</v>
      </c>
      <c r="P121" s="354" t="n">
        <f aca="false">O121</f>
        <v>833.33</v>
      </c>
      <c r="Q121" s="291" t="n">
        <f aca="false">H3</f>
        <v>0</v>
      </c>
      <c r="S121" s="238" t="s">
        <v>5</v>
      </c>
      <c r="T121" s="353" t="n">
        <f aca="false">B3</f>
        <v>46854.17</v>
      </c>
      <c r="U121" s="354" t="n">
        <f aca="false">T121</f>
        <v>46854.17</v>
      </c>
      <c r="V121" s="353" t="n">
        <f aca="false">D3</f>
        <v>0</v>
      </c>
      <c r="W121" s="354" t="n">
        <f aca="false">V121</f>
        <v>0</v>
      </c>
      <c r="X121" s="353" t="n">
        <f aca="false">F3</f>
        <v>833.33</v>
      </c>
      <c r="Y121" s="354" t="n">
        <f aca="false">X121</f>
        <v>833.33</v>
      </c>
      <c r="Z121" s="291" t="n">
        <f aca="false">H3</f>
        <v>0</v>
      </c>
      <c r="AB121" s="238" t="s">
        <v>5</v>
      </c>
      <c r="AC121" s="353" t="n">
        <f aca="false">B3</f>
        <v>46854.17</v>
      </c>
      <c r="AD121" s="354" t="n">
        <f aca="false">AC121</f>
        <v>46854.17</v>
      </c>
      <c r="AE121" s="353" t="n">
        <f aca="false">D3</f>
        <v>0</v>
      </c>
      <c r="AF121" s="354" t="n">
        <f aca="false">AE121</f>
        <v>0</v>
      </c>
      <c r="AG121" s="353" t="n">
        <f aca="false">F3</f>
        <v>833.33</v>
      </c>
      <c r="AH121" s="354" t="n">
        <f aca="false">AG121</f>
        <v>833.33</v>
      </c>
      <c r="AI121" s="291" t="n">
        <f aca="false">H3</f>
        <v>0</v>
      </c>
    </row>
    <row r="122" customFormat="false" ht="17.35" hidden="false" customHeight="false" outlineLevel="0" collapsed="false">
      <c r="A122" s="221" t="s">
        <v>6</v>
      </c>
      <c r="B122" s="355" t="n">
        <f aca="false">B4</f>
        <v>0</v>
      </c>
      <c r="C122" s="329" t="n">
        <v>0</v>
      </c>
      <c r="D122" s="355" t="n">
        <f aca="false">D4</f>
        <v>0</v>
      </c>
      <c r="E122" s="329" t="n">
        <f aca="false">D122</f>
        <v>0</v>
      </c>
      <c r="F122" s="355" t="n">
        <f aca="false">F4</f>
        <v>0</v>
      </c>
      <c r="G122" s="356" t="n">
        <f aca="false">F122</f>
        <v>0</v>
      </c>
      <c r="H122" s="330"/>
      <c r="J122" s="221" t="s">
        <v>6</v>
      </c>
      <c r="K122" s="355" t="n">
        <f aca="false">B4</f>
        <v>0</v>
      </c>
      <c r="L122" s="329" t="n">
        <v>0</v>
      </c>
      <c r="M122" s="355" t="n">
        <f aca="false">D4</f>
        <v>0</v>
      </c>
      <c r="N122" s="329" t="n">
        <f aca="false">M122</f>
        <v>0</v>
      </c>
      <c r="O122" s="355" t="n">
        <f aca="false">F4</f>
        <v>0</v>
      </c>
      <c r="P122" s="356" t="n">
        <f aca="false">O122</f>
        <v>0</v>
      </c>
      <c r="Q122" s="330"/>
      <c r="S122" s="221" t="s">
        <v>6</v>
      </c>
      <c r="T122" s="355" t="n">
        <f aca="false">B4</f>
        <v>0</v>
      </c>
      <c r="U122" s="329" t="n">
        <v>0.25</v>
      </c>
      <c r="V122" s="355" t="n">
        <f aca="false">D4</f>
        <v>0</v>
      </c>
      <c r="W122" s="329" t="n">
        <f aca="false">V122</f>
        <v>0</v>
      </c>
      <c r="X122" s="355" t="n">
        <f aca="false">F4</f>
        <v>0</v>
      </c>
      <c r="Y122" s="356" t="n">
        <f aca="false">X122</f>
        <v>0</v>
      </c>
      <c r="Z122" s="330"/>
      <c r="AB122" s="221" t="s">
        <v>6</v>
      </c>
      <c r="AC122" s="355" t="n">
        <f aca="false">B4</f>
        <v>0</v>
      </c>
      <c r="AD122" s="329" t="n">
        <v>0.25</v>
      </c>
      <c r="AE122" s="355" t="n">
        <f aca="false">D4</f>
        <v>0</v>
      </c>
      <c r="AF122" s="329" t="n">
        <f aca="false">AE122</f>
        <v>0</v>
      </c>
      <c r="AG122" s="355" t="n">
        <f aca="false">F4</f>
        <v>0</v>
      </c>
      <c r="AH122" s="356" t="n">
        <f aca="false">AG122</f>
        <v>0</v>
      </c>
      <c r="AI122" s="330"/>
    </row>
    <row r="123" customFormat="false" ht="17.35" hidden="false" customHeight="false" outlineLevel="0" collapsed="false">
      <c r="A123" s="221" t="s">
        <v>7</v>
      </c>
      <c r="B123" s="357" t="n">
        <f aca="false">B5</f>
        <v>0</v>
      </c>
      <c r="C123" s="354" t="n">
        <v>0</v>
      </c>
      <c r="D123" s="357" t="n">
        <f aca="false">D5</f>
        <v>0</v>
      </c>
      <c r="E123" s="354" t="n">
        <f aca="false">D123</f>
        <v>0</v>
      </c>
      <c r="F123" s="357" t="n">
        <f aca="false">F5</f>
        <v>0</v>
      </c>
      <c r="G123" s="354" t="n">
        <f aca="false">F123</f>
        <v>0</v>
      </c>
      <c r="H123" s="11"/>
      <c r="J123" s="221" t="s">
        <v>7</v>
      </c>
      <c r="K123" s="357" t="n">
        <f aca="false">B5</f>
        <v>0</v>
      </c>
      <c r="L123" s="354" t="n">
        <v>0</v>
      </c>
      <c r="M123" s="357" t="n">
        <f aca="false">D5</f>
        <v>0</v>
      </c>
      <c r="N123" s="354" t="n">
        <f aca="false">M123</f>
        <v>0</v>
      </c>
      <c r="O123" s="357" t="n">
        <f aca="false">F5</f>
        <v>0</v>
      </c>
      <c r="P123" s="354" t="n">
        <f aca="false">O123</f>
        <v>0</v>
      </c>
      <c r="Q123" s="11"/>
      <c r="S123" s="221" t="s">
        <v>7</v>
      </c>
      <c r="T123" s="357" t="n">
        <f aca="false">B5</f>
        <v>0</v>
      </c>
      <c r="U123" s="354" t="n">
        <v>0</v>
      </c>
      <c r="V123" s="357" t="n">
        <f aca="false">D5</f>
        <v>0</v>
      </c>
      <c r="W123" s="354" t="n">
        <f aca="false">V123</f>
        <v>0</v>
      </c>
      <c r="X123" s="357" t="n">
        <f aca="false">F5</f>
        <v>0</v>
      </c>
      <c r="Y123" s="354" t="n">
        <f aca="false">X123</f>
        <v>0</v>
      </c>
      <c r="Z123" s="11"/>
      <c r="AB123" s="221" t="s">
        <v>7</v>
      </c>
      <c r="AC123" s="357" t="n">
        <f aca="false">B5</f>
        <v>0</v>
      </c>
      <c r="AD123" s="354" t="n">
        <v>0</v>
      </c>
      <c r="AE123" s="357" t="n">
        <f aca="false">D5</f>
        <v>0</v>
      </c>
      <c r="AF123" s="354" t="n">
        <f aca="false">AE123</f>
        <v>0</v>
      </c>
      <c r="AG123" s="357" t="n">
        <f aca="false">F5</f>
        <v>0</v>
      </c>
      <c r="AH123" s="354" t="n">
        <f aca="false">AG123</f>
        <v>0</v>
      </c>
      <c r="AI123" s="11"/>
    </row>
    <row r="124" customFormat="false" ht="17.35" hidden="false" customHeight="false" outlineLevel="0" collapsed="false">
      <c r="A124" s="221" t="s">
        <v>8</v>
      </c>
      <c r="B124" s="357" t="n">
        <f aca="false">(B121*B122)+B123</f>
        <v>0</v>
      </c>
      <c r="C124" s="203" t="n">
        <f aca="false">(C121*C122/100)+C123</f>
        <v>0</v>
      </c>
      <c r="D124" s="357" t="n">
        <f aca="false">(D121*D122)+D123</f>
        <v>0</v>
      </c>
      <c r="E124" s="203" t="n">
        <f aca="false">(E121*E122/100)+E123</f>
        <v>0</v>
      </c>
      <c r="F124" s="357" t="n">
        <f aca="false">(F121*F122)+F123</f>
        <v>0</v>
      </c>
      <c r="G124" s="203" t="n">
        <f aca="false">(G121*G122/100)+G123</f>
        <v>0</v>
      </c>
      <c r="H124" s="11"/>
      <c r="J124" s="221" t="s">
        <v>8</v>
      </c>
      <c r="K124" s="357" t="n">
        <f aca="false">(K121*K122)+K123</f>
        <v>0</v>
      </c>
      <c r="L124" s="203" t="n">
        <f aca="false">(L121*L122)+L123</f>
        <v>0</v>
      </c>
      <c r="M124" s="357" t="n">
        <f aca="false">(M121*M122)+M123</f>
        <v>0</v>
      </c>
      <c r="N124" s="203" t="n">
        <f aca="false">(N121*N122)+N123</f>
        <v>0</v>
      </c>
      <c r="O124" s="357" t="n">
        <f aca="false">(O121*O122)+O123</f>
        <v>0</v>
      </c>
      <c r="P124" s="203" t="n">
        <f aca="false">(P121*P122)+P123</f>
        <v>0</v>
      </c>
      <c r="Q124" s="11"/>
      <c r="S124" s="221" t="s">
        <v>8</v>
      </c>
      <c r="T124" s="357" t="n">
        <f aca="false">(T121*T122)+T123</f>
        <v>0</v>
      </c>
      <c r="U124" s="203" t="n">
        <f aca="false">(U121*U122/100)+U123</f>
        <v>117.135425</v>
      </c>
      <c r="V124" s="357" t="n">
        <f aca="false">(V121*V122)+V123</f>
        <v>0</v>
      </c>
      <c r="W124" s="203" t="n">
        <f aca="false">(W121*W122/100)+W123</f>
        <v>0</v>
      </c>
      <c r="X124" s="357" t="n">
        <f aca="false">(X121*X122)+X123</f>
        <v>0</v>
      </c>
      <c r="Y124" s="203" t="n">
        <f aca="false">(Y121*Y122/100)+Y123</f>
        <v>0</v>
      </c>
      <c r="Z124" s="11"/>
      <c r="AB124" s="221" t="s">
        <v>8</v>
      </c>
      <c r="AC124" s="357" t="n">
        <f aca="false">(AC121*AC122)+AC123</f>
        <v>0</v>
      </c>
      <c r="AD124" s="203" t="n">
        <f aca="false">(AD121*AD122)+AD123</f>
        <v>11713.5425</v>
      </c>
      <c r="AE124" s="357" t="n">
        <f aca="false">(AE121*AE122)+AE123</f>
        <v>0</v>
      </c>
      <c r="AF124" s="203" t="n">
        <f aca="false">(AF121*AF122)+AF123</f>
        <v>0</v>
      </c>
      <c r="AG124" s="357" t="n">
        <f aca="false">(AG121*AG122)+AG123</f>
        <v>0</v>
      </c>
      <c r="AH124" s="203" t="n">
        <f aca="false">(AH121*AH122)+AH123</f>
        <v>0</v>
      </c>
      <c r="AI124" s="11"/>
    </row>
    <row r="125" customFormat="false" ht="17.35" hidden="false" customHeight="false" outlineLevel="0" collapsed="false">
      <c r="A125" s="249" t="s">
        <v>9</v>
      </c>
      <c r="B125" s="358" t="n">
        <f aca="false">B121-B124</f>
        <v>46854.17</v>
      </c>
      <c r="C125" s="185" t="n">
        <f aca="false">C121-C124</f>
        <v>46854.17</v>
      </c>
      <c r="D125" s="358" t="n">
        <f aca="false">D121-D124</f>
        <v>0</v>
      </c>
      <c r="E125" s="185" t="n">
        <f aca="false">E121-E124</f>
        <v>0</v>
      </c>
      <c r="F125" s="358" t="n">
        <f aca="false">F121-F124</f>
        <v>833.33</v>
      </c>
      <c r="G125" s="185" t="n">
        <f aca="false">G121-G124</f>
        <v>833.33</v>
      </c>
      <c r="H125" s="84"/>
      <c r="J125" s="249" t="s">
        <v>9</v>
      </c>
      <c r="K125" s="358" t="n">
        <f aca="false">K121-K124</f>
        <v>46854.17</v>
      </c>
      <c r="L125" s="185" t="n">
        <f aca="false">L121-L124</f>
        <v>28629.17</v>
      </c>
      <c r="M125" s="358" t="n">
        <f aca="false">M121-M124</f>
        <v>0</v>
      </c>
      <c r="N125" s="185" t="n">
        <f aca="false">N121-N124</f>
        <v>0</v>
      </c>
      <c r="O125" s="358" t="n">
        <f aca="false">O121-O124</f>
        <v>833.33</v>
      </c>
      <c r="P125" s="185" t="n">
        <f aca="false">P121-P124</f>
        <v>833.33</v>
      </c>
      <c r="Q125" s="84"/>
      <c r="S125" s="249" t="s">
        <v>9</v>
      </c>
      <c r="T125" s="358" t="n">
        <f aca="false">T121-T124</f>
        <v>46854.17</v>
      </c>
      <c r="U125" s="185" t="n">
        <f aca="false">U121-U124</f>
        <v>46737.034575</v>
      </c>
      <c r="V125" s="358" t="n">
        <f aca="false">V121-V124</f>
        <v>0</v>
      </c>
      <c r="W125" s="185" t="n">
        <f aca="false">W121-W124</f>
        <v>0</v>
      </c>
      <c r="X125" s="358" t="n">
        <f aca="false">X121-X124</f>
        <v>833.33</v>
      </c>
      <c r="Y125" s="185" t="n">
        <f aca="false">Y121-Y124</f>
        <v>833.33</v>
      </c>
      <c r="Z125" s="84"/>
      <c r="AB125" s="249" t="s">
        <v>9</v>
      </c>
      <c r="AC125" s="358" t="n">
        <f aca="false">AC121-AC124</f>
        <v>46854.17</v>
      </c>
      <c r="AD125" s="185" t="n">
        <f aca="false">AD121-AD124</f>
        <v>35140.6275</v>
      </c>
      <c r="AE125" s="358" t="n">
        <f aca="false">AE121-AE124</f>
        <v>0</v>
      </c>
      <c r="AF125" s="185" t="n">
        <f aca="false">AF121-AF124</f>
        <v>0</v>
      </c>
      <c r="AG125" s="358" t="n">
        <f aca="false">AG121-AG124</f>
        <v>833.33</v>
      </c>
      <c r="AH125" s="185" t="n">
        <f aca="false">AH121-AH124</f>
        <v>833.33</v>
      </c>
      <c r="AI125" s="84"/>
    </row>
    <row r="126" customFormat="false" ht="17.35" hidden="false" customHeight="false" outlineLevel="0" collapsed="false">
      <c r="A126" s="221"/>
      <c r="B126" s="331"/>
      <c r="C126" s="331"/>
      <c r="D126" s="331"/>
      <c r="E126" s="331"/>
      <c r="F126" s="331"/>
      <c r="G126" s="331"/>
      <c r="H126" s="11"/>
      <c r="J126" s="221"/>
      <c r="K126" s="331"/>
      <c r="L126" s="331"/>
      <c r="M126" s="331"/>
      <c r="N126" s="331"/>
      <c r="O126" s="331"/>
      <c r="P126" s="331"/>
      <c r="Q126" s="11"/>
      <c r="S126" s="221"/>
      <c r="T126" s="331"/>
      <c r="U126" s="331"/>
      <c r="V126" s="331"/>
      <c r="W126" s="331"/>
      <c r="X126" s="331"/>
      <c r="Y126" s="331"/>
      <c r="Z126" s="11"/>
      <c r="AB126" s="221"/>
      <c r="AC126" s="331"/>
      <c r="AD126" s="331"/>
      <c r="AE126" s="331"/>
      <c r="AF126" s="331"/>
      <c r="AG126" s="331"/>
      <c r="AH126" s="331"/>
      <c r="AI126" s="11"/>
    </row>
    <row r="127" customFormat="false" ht="19.7" hidden="false" customHeight="false" outlineLevel="0" collapsed="false">
      <c r="A127" s="294"/>
      <c r="B127" s="359"/>
      <c r="C127" s="359"/>
      <c r="D127" s="359"/>
      <c r="E127" s="359"/>
      <c r="F127" s="359"/>
      <c r="G127" s="332" t="s">
        <v>234</v>
      </c>
      <c r="H127" s="296" t="s">
        <v>235</v>
      </c>
      <c r="J127" s="294"/>
      <c r="K127" s="359"/>
      <c r="L127" s="359"/>
      <c r="M127" s="359"/>
      <c r="N127" s="359"/>
      <c r="O127" s="359"/>
      <c r="P127" s="332" t="s">
        <v>234</v>
      </c>
      <c r="Q127" s="296" t="s">
        <v>235</v>
      </c>
      <c r="S127" s="294"/>
      <c r="T127" s="359"/>
      <c r="U127" s="359"/>
      <c r="V127" s="359"/>
      <c r="W127" s="359"/>
      <c r="X127" s="359"/>
      <c r="Y127" s="332" t="s">
        <v>234</v>
      </c>
      <c r="Z127" s="296" t="s">
        <v>235</v>
      </c>
      <c r="AB127" s="294"/>
      <c r="AC127" s="359"/>
      <c r="AD127" s="359"/>
      <c r="AE127" s="359"/>
      <c r="AF127" s="359"/>
      <c r="AG127" s="359"/>
      <c r="AH127" s="332" t="s">
        <v>234</v>
      </c>
      <c r="AI127" s="296" t="s">
        <v>235</v>
      </c>
    </row>
    <row r="128" customFormat="false" ht="17.35" hidden="false" customHeight="false" outlineLevel="0" collapsed="false">
      <c r="A128" s="297" t="s">
        <v>236</v>
      </c>
      <c r="B128" s="298"/>
      <c r="C128" s="298"/>
      <c r="D128" s="298"/>
      <c r="E128" s="298"/>
      <c r="F128" s="298"/>
      <c r="G128" s="299" t="n">
        <f aca="false">H121</f>
        <v>0</v>
      </c>
      <c r="H128" s="300" t="n">
        <f aca="false">SUM(H131:H133)</f>
        <v>0</v>
      </c>
      <c r="J128" s="297" t="s">
        <v>236</v>
      </c>
      <c r="K128" s="298"/>
      <c r="L128" s="298"/>
      <c r="M128" s="298"/>
      <c r="N128" s="298"/>
      <c r="O128" s="298"/>
      <c r="P128" s="299" t="n">
        <f aca="false">Q121</f>
        <v>0</v>
      </c>
      <c r="Q128" s="300" t="n">
        <f aca="false">SUM(Q131:Q133)</f>
        <v>0</v>
      </c>
      <c r="S128" s="297" t="s">
        <v>236</v>
      </c>
      <c r="T128" s="298"/>
      <c r="U128" s="298"/>
      <c r="V128" s="298"/>
      <c r="W128" s="298"/>
      <c r="X128" s="298"/>
      <c r="Y128" s="299" t="n">
        <f aca="false">Z121</f>
        <v>0</v>
      </c>
      <c r="Z128" s="300" t="n">
        <f aca="false">SUM(Z131:Z133)</f>
        <v>0</v>
      </c>
      <c r="AB128" s="297" t="s">
        <v>236</v>
      </c>
      <c r="AC128" s="298"/>
      <c r="AD128" s="298"/>
      <c r="AE128" s="298"/>
      <c r="AF128" s="298"/>
      <c r="AG128" s="298"/>
      <c r="AH128" s="299" t="n">
        <f aca="false">AI121</f>
        <v>0</v>
      </c>
      <c r="AI128" s="300" t="n">
        <f aca="false">SUM(AI131:AI133)</f>
        <v>0</v>
      </c>
    </row>
    <row r="129" customFormat="false" ht="17.35" hidden="false" customHeight="false" outlineLevel="0" collapsed="false">
      <c r="A129" s="221"/>
      <c r="B129" s="331"/>
      <c r="C129" s="331"/>
      <c r="D129" s="331"/>
      <c r="E129" s="331"/>
      <c r="F129" s="331"/>
      <c r="G129" s="304"/>
      <c r="H129" s="302"/>
      <c r="J129" s="221"/>
      <c r="K129" s="331"/>
      <c r="L129" s="331"/>
      <c r="M129" s="331"/>
      <c r="N129" s="331"/>
      <c r="O129" s="331"/>
      <c r="P129" s="304"/>
      <c r="Q129" s="302"/>
      <c r="S129" s="221"/>
      <c r="T129" s="331"/>
      <c r="U129" s="331"/>
      <c r="V129" s="331"/>
      <c r="W129" s="331"/>
      <c r="X129" s="331"/>
      <c r="Y129" s="304"/>
      <c r="Z129" s="302"/>
      <c r="AB129" s="221"/>
      <c r="AC129" s="331"/>
      <c r="AD129" s="331"/>
      <c r="AE129" s="331"/>
      <c r="AF129" s="331"/>
      <c r="AG129" s="331"/>
      <c r="AH129" s="304"/>
      <c r="AI129" s="302"/>
    </row>
    <row r="130" customFormat="false" ht="17.35" hidden="false" customHeight="false" outlineLevel="0" collapsed="false">
      <c r="A130" s="303" t="s">
        <v>237</v>
      </c>
      <c r="B130" s="304" t="s">
        <v>238</v>
      </c>
      <c r="C130" s="304"/>
      <c r="D130" s="304" t="s">
        <v>239</v>
      </c>
      <c r="E130" s="304"/>
      <c r="F130" s="304" t="s">
        <v>7</v>
      </c>
      <c r="G130" s="304"/>
      <c r="H130" s="302" t="s">
        <v>235</v>
      </c>
      <c r="J130" s="303" t="s">
        <v>237</v>
      </c>
      <c r="K130" s="304" t="s">
        <v>238</v>
      </c>
      <c r="L130" s="304"/>
      <c r="M130" s="304" t="s">
        <v>239</v>
      </c>
      <c r="N130" s="304"/>
      <c r="O130" s="304" t="s">
        <v>7</v>
      </c>
      <c r="P130" s="304"/>
      <c r="Q130" s="302" t="s">
        <v>235</v>
      </c>
      <c r="S130" s="303" t="s">
        <v>237</v>
      </c>
      <c r="T130" s="304" t="s">
        <v>238</v>
      </c>
      <c r="U130" s="304"/>
      <c r="V130" s="304" t="s">
        <v>239</v>
      </c>
      <c r="W130" s="304"/>
      <c r="X130" s="304" t="s">
        <v>7</v>
      </c>
      <c r="Y130" s="304"/>
      <c r="Z130" s="302" t="s">
        <v>235</v>
      </c>
      <c r="AB130" s="303" t="s">
        <v>237</v>
      </c>
      <c r="AC130" s="304" t="s">
        <v>238</v>
      </c>
      <c r="AD130" s="304"/>
      <c r="AE130" s="304" t="s">
        <v>239</v>
      </c>
      <c r="AF130" s="304"/>
      <c r="AG130" s="304" t="s">
        <v>7</v>
      </c>
      <c r="AH130" s="304"/>
      <c r="AI130" s="302" t="s">
        <v>235</v>
      </c>
    </row>
    <row r="131" customFormat="false" ht="17.35" hidden="false" customHeight="false" outlineLevel="0" collapsed="false">
      <c r="A131" s="221" t="s">
        <v>240</v>
      </c>
      <c r="B131" s="306" t="n">
        <f aca="false">G128</f>
        <v>0</v>
      </c>
      <c r="C131" s="306"/>
      <c r="D131" s="307" t="n">
        <v>0</v>
      </c>
      <c r="E131" s="307"/>
      <c r="F131" s="306" t="n">
        <v>0</v>
      </c>
      <c r="G131" s="306"/>
      <c r="H131" s="308" t="n">
        <f aca="false">(B131-(B131*D131))-F131</f>
        <v>0</v>
      </c>
      <c r="J131" s="221" t="s">
        <v>240</v>
      </c>
      <c r="K131" s="306" t="n">
        <f aca="false">P128</f>
        <v>0</v>
      </c>
      <c r="L131" s="306"/>
      <c r="M131" s="307" t="n">
        <v>0</v>
      </c>
      <c r="N131" s="307"/>
      <c r="O131" s="306" t="n">
        <v>0</v>
      </c>
      <c r="P131" s="306"/>
      <c r="Q131" s="308" t="n">
        <f aca="false">(K131-(K131*M131))-O131</f>
        <v>0</v>
      </c>
      <c r="S131" s="221" t="s">
        <v>240</v>
      </c>
      <c r="T131" s="306" t="n">
        <f aca="false">Y128</f>
        <v>0</v>
      </c>
      <c r="U131" s="306"/>
      <c r="V131" s="307" t="n">
        <v>0</v>
      </c>
      <c r="W131" s="307"/>
      <c r="X131" s="306" t="n">
        <v>0</v>
      </c>
      <c r="Y131" s="306"/>
      <c r="Z131" s="308" t="n">
        <f aca="false">(T131-(T131*V131))-X131</f>
        <v>0</v>
      </c>
      <c r="AB131" s="221" t="s">
        <v>240</v>
      </c>
      <c r="AC131" s="306" t="n">
        <f aca="false">AH128</f>
        <v>0</v>
      </c>
      <c r="AD131" s="306"/>
      <c r="AE131" s="307" t="n">
        <v>0</v>
      </c>
      <c r="AF131" s="307"/>
      <c r="AG131" s="306" t="n">
        <v>0</v>
      </c>
      <c r="AH131" s="306"/>
      <c r="AI131" s="308" t="n">
        <f aca="false">(AC131-(AC131*AE131))-AG131</f>
        <v>0</v>
      </c>
    </row>
    <row r="132" customFormat="false" ht="17.35" hidden="false" customHeight="false" outlineLevel="0" collapsed="false">
      <c r="A132" s="221" t="s">
        <v>241</v>
      </c>
      <c r="B132" s="306" t="n">
        <v>0</v>
      </c>
      <c r="C132" s="306"/>
      <c r="D132" s="307" t="n">
        <v>0</v>
      </c>
      <c r="E132" s="307"/>
      <c r="F132" s="306" t="n">
        <v>0</v>
      </c>
      <c r="G132" s="306"/>
      <c r="H132" s="308" t="n">
        <f aca="false">(B132-(B132*D132))-F132</f>
        <v>0</v>
      </c>
      <c r="J132" s="221" t="s">
        <v>241</v>
      </c>
      <c r="K132" s="306" t="n">
        <v>0</v>
      </c>
      <c r="L132" s="306"/>
      <c r="M132" s="307" t="n">
        <v>0</v>
      </c>
      <c r="N132" s="307"/>
      <c r="O132" s="306" t="n">
        <v>0</v>
      </c>
      <c r="P132" s="306"/>
      <c r="Q132" s="308" t="n">
        <f aca="false">(K132-(K132*M132))-O132</f>
        <v>0</v>
      </c>
      <c r="S132" s="221" t="s">
        <v>241</v>
      </c>
      <c r="T132" s="306" t="n">
        <v>0</v>
      </c>
      <c r="U132" s="306"/>
      <c r="V132" s="307" t="n">
        <v>0</v>
      </c>
      <c r="W132" s="307"/>
      <c r="X132" s="306" t="n">
        <v>0</v>
      </c>
      <c r="Y132" s="306"/>
      <c r="Z132" s="308" t="n">
        <f aca="false">(T132-(T132*V132))-X132</f>
        <v>0</v>
      </c>
      <c r="AB132" s="221" t="s">
        <v>241</v>
      </c>
      <c r="AC132" s="306" t="n">
        <v>0</v>
      </c>
      <c r="AD132" s="306"/>
      <c r="AE132" s="307" t="n">
        <v>0</v>
      </c>
      <c r="AF132" s="307"/>
      <c r="AG132" s="306" t="n">
        <v>0</v>
      </c>
      <c r="AH132" s="306"/>
      <c r="AI132" s="308" t="n">
        <f aca="false">(AC132-(AC132*AE132))-AG132</f>
        <v>0</v>
      </c>
    </row>
    <row r="133" customFormat="false" ht="17.35" hidden="false" customHeight="false" outlineLevel="0" collapsed="false">
      <c r="A133" s="221" t="s">
        <v>242</v>
      </c>
      <c r="B133" s="306" t="n">
        <v>0</v>
      </c>
      <c r="C133" s="306"/>
      <c r="D133" s="307" t="n">
        <v>0</v>
      </c>
      <c r="E133" s="307"/>
      <c r="F133" s="306" t="n">
        <v>0</v>
      </c>
      <c r="G133" s="306"/>
      <c r="H133" s="308" t="n">
        <f aca="false">(B133-(B133*D133))-F133</f>
        <v>0</v>
      </c>
      <c r="J133" s="221" t="s">
        <v>242</v>
      </c>
      <c r="K133" s="306" t="n">
        <v>0</v>
      </c>
      <c r="L133" s="306"/>
      <c r="M133" s="307" t="n">
        <v>0</v>
      </c>
      <c r="N133" s="307"/>
      <c r="O133" s="306" t="n">
        <v>0</v>
      </c>
      <c r="P133" s="306"/>
      <c r="Q133" s="308" t="n">
        <f aca="false">(K133-(K133*M133))-O133</f>
        <v>0</v>
      </c>
      <c r="S133" s="221" t="s">
        <v>242</v>
      </c>
      <c r="T133" s="306" t="n">
        <v>0</v>
      </c>
      <c r="U133" s="306"/>
      <c r="V133" s="307" t="n">
        <v>0</v>
      </c>
      <c r="W133" s="307"/>
      <c r="X133" s="306" t="n">
        <v>0</v>
      </c>
      <c r="Y133" s="306"/>
      <c r="Z133" s="308" t="n">
        <f aca="false">(T133-(T133*V133))-X133</f>
        <v>0</v>
      </c>
      <c r="AB133" s="221" t="s">
        <v>242</v>
      </c>
      <c r="AC133" s="306" t="n">
        <v>0</v>
      </c>
      <c r="AD133" s="306"/>
      <c r="AE133" s="307" t="n">
        <v>0</v>
      </c>
      <c r="AF133" s="307"/>
      <c r="AG133" s="306" t="n">
        <v>0</v>
      </c>
      <c r="AH133" s="306"/>
      <c r="AI133" s="308" t="n">
        <f aca="false">(AC133-(AC133*AE133))-AG133</f>
        <v>0</v>
      </c>
    </row>
    <row r="134" customFormat="false" ht="17.35" hidden="false" customHeight="false" outlineLevel="0" collapsed="false">
      <c r="A134" s="221"/>
      <c r="B134" s="331"/>
      <c r="C134" s="331"/>
      <c r="D134" s="331"/>
      <c r="E134" s="331"/>
      <c r="F134" s="331"/>
      <c r="G134" s="304"/>
      <c r="H134" s="302"/>
      <c r="J134" s="221"/>
      <c r="K134" s="331"/>
      <c r="L134" s="331"/>
      <c r="M134" s="331"/>
      <c r="N134" s="331"/>
      <c r="O134" s="331"/>
      <c r="P134" s="304"/>
      <c r="Q134" s="302"/>
      <c r="S134" s="221"/>
      <c r="T134" s="331"/>
      <c r="U134" s="331"/>
      <c r="V134" s="331"/>
      <c r="W134" s="331"/>
      <c r="X134" s="331"/>
      <c r="Y134" s="304"/>
      <c r="Z134" s="302"/>
      <c r="AB134" s="221"/>
      <c r="AC134" s="331"/>
      <c r="AD134" s="331"/>
      <c r="AE134" s="331"/>
      <c r="AF134" s="331"/>
      <c r="AG134" s="331"/>
      <c r="AH134" s="304"/>
      <c r="AI134" s="302"/>
    </row>
    <row r="135" customFormat="false" ht="19.7" hidden="false" customHeight="false" outlineLevel="0" collapsed="false">
      <c r="A135" s="226" t="s">
        <v>10</v>
      </c>
      <c r="B135" s="226"/>
      <c r="C135" s="226"/>
      <c r="D135" s="226"/>
      <c r="E135" s="226"/>
      <c r="F135" s="226"/>
      <c r="G135" s="332" t="n">
        <f aca="false">H9</f>
        <v>47687.5</v>
      </c>
      <c r="H135" s="309" t="n">
        <f aca="false">C125+E125+G125+H128</f>
        <v>47687.5</v>
      </c>
      <c r="J135" s="226" t="s">
        <v>10</v>
      </c>
      <c r="K135" s="226"/>
      <c r="L135" s="226"/>
      <c r="M135" s="226"/>
      <c r="N135" s="226"/>
      <c r="O135" s="226"/>
      <c r="P135" s="332" t="n">
        <f aca="false">H9</f>
        <v>47687.5</v>
      </c>
      <c r="Q135" s="309" t="n">
        <f aca="false">L125+N125+P125+Q128</f>
        <v>29462.5</v>
      </c>
      <c r="S135" s="226" t="s">
        <v>10</v>
      </c>
      <c r="T135" s="226"/>
      <c r="U135" s="226"/>
      <c r="V135" s="226"/>
      <c r="W135" s="226"/>
      <c r="X135" s="226"/>
      <c r="Y135" s="332" t="n">
        <f aca="false">H9</f>
        <v>47687.5</v>
      </c>
      <c r="Z135" s="309" t="n">
        <f aca="false">U125+W125+Y125+Z128</f>
        <v>47570.364575</v>
      </c>
      <c r="AB135" s="226" t="s">
        <v>10</v>
      </c>
      <c r="AC135" s="226"/>
      <c r="AD135" s="226"/>
      <c r="AE135" s="226"/>
      <c r="AF135" s="226"/>
      <c r="AG135" s="226"/>
      <c r="AH135" s="332" t="n">
        <f aca="false">H9</f>
        <v>47687.5</v>
      </c>
      <c r="AI135" s="309" t="n">
        <f aca="false">AD125+AF125+AH125+AI128</f>
        <v>35973.9575</v>
      </c>
    </row>
    <row r="136" customFormat="false" ht="17.35" hidden="false" customHeight="false" outlineLevel="0" collapsed="false">
      <c r="A136" s="229" t="s">
        <v>11</v>
      </c>
      <c r="B136" s="229"/>
      <c r="C136" s="229"/>
      <c r="D136" s="229"/>
      <c r="E136" s="229"/>
      <c r="F136" s="229"/>
      <c r="G136" s="40" t="n">
        <f aca="false">H10</f>
        <v>550</v>
      </c>
      <c r="H136" s="11" t="n">
        <f aca="false">G136</f>
        <v>550</v>
      </c>
      <c r="J136" s="229" t="s">
        <v>11</v>
      </c>
      <c r="K136" s="229"/>
      <c r="L136" s="229"/>
      <c r="M136" s="229"/>
      <c r="N136" s="229"/>
      <c r="O136" s="229"/>
      <c r="P136" s="40" t="n">
        <f aca="false">H10</f>
        <v>550</v>
      </c>
      <c r="Q136" s="11" t="n">
        <f aca="false">P136</f>
        <v>550</v>
      </c>
      <c r="S136" s="229" t="s">
        <v>11</v>
      </c>
      <c r="T136" s="229"/>
      <c r="U136" s="229"/>
      <c r="V136" s="229"/>
      <c r="W136" s="229"/>
      <c r="X136" s="229"/>
      <c r="Y136" s="40" t="n">
        <f aca="false">H10</f>
        <v>550</v>
      </c>
      <c r="Z136" s="11" t="n">
        <f aca="false">Y136</f>
        <v>550</v>
      </c>
      <c r="AB136" s="229" t="s">
        <v>11</v>
      </c>
      <c r="AC136" s="229"/>
      <c r="AD136" s="229"/>
      <c r="AE136" s="229"/>
      <c r="AF136" s="229"/>
      <c r="AG136" s="229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9" t="s">
        <v>12</v>
      </c>
      <c r="B137" s="229"/>
      <c r="C137" s="229"/>
      <c r="D137" s="229"/>
      <c r="E137" s="229"/>
      <c r="F137" s="229"/>
      <c r="G137" s="40" t="n">
        <f aca="false">H11</f>
        <v>9647.5</v>
      </c>
      <c r="H137" s="11" t="n">
        <f aca="false">(H135+H136)*20%</f>
        <v>9647.5</v>
      </c>
      <c r="J137" s="229" t="s">
        <v>12</v>
      </c>
      <c r="K137" s="229"/>
      <c r="L137" s="229"/>
      <c r="M137" s="229"/>
      <c r="N137" s="229"/>
      <c r="O137" s="229"/>
      <c r="P137" s="40" t="n">
        <f aca="false">H11</f>
        <v>9647.5</v>
      </c>
      <c r="Q137" s="11" t="n">
        <f aca="false">(Q135+Q136)*20%</f>
        <v>6002.5</v>
      </c>
      <c r="S137" s="229" t="s">
        <v>12</v>
      </c>
      <c r="T137" s="229"/>
      <c r="U137" s="229"/>
      <c r="V137" s="229"/>
      <c r="W137" s="229"/>
      <c r="X137" s="229"/>
      <c r="Y137" s="40" t="n">
        <f aca="false">H11</f>
        <v>9647.5</v>
      </c>
      <c r="Z137" s="11" t="n">
        <f aca="false">(Z135+Z136)*20%</f>
        <v>9624.072915</v>
      </c>
      <c r="AB137" s="229" t="s">
        <v>12</v>
      </c>
      <c r="AC137" s="229"/>
      <c r="AD137" s="229"/>
      <c r="AE137" s="229"/>
      <c r="AF137" s="229"/>
      <c r="AG137" s="229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9" t="s">
        <v>13</v>
      </c>
      <c r="B138" s="229"/>
      <c r="C138" s="229"/>
      <c r="D138" s="229"/>
      <c r="E138" s="229"/>
      <c r="F138" s="229"/>
      <c r="G138" s="40" t="n">
        <f aca="false">H12</f>
        <v>0</v>
      </c>
      <c r="H138" s="11" t="n">
        <f aca="false">G138</f>
        <v>0</v>
      </c>
      <c r="J138" s="229" t="s">
        <v>13</v>
      </c>
      <c r="K138" s="229"/>
      <c r="L138" s="229"/>
      <c r="M138" s="229"/>
      <c r="N138" s="229"/>
      <c r="O138" s="229"/>
      <c r="P138" s="40" t="n">
        <f aca="false">H12</f>
        <v>0</v>
      </c>
      <c r="Q138" s="11" t="n">
        <f aca="false">P138</f>
        <v>0</v>
      </c>
      <c r="S138" s="229" t="s">
        <v>13</v>
      </c>
      <c r="T138" s="229"/>
      <c r="U138" s="229"/>
      <c r="V138" s="229"/>
      <c r="W138" s="229"/>
      <c r="X138" s="229"/>
      <c r="Y138" s="40" t="n">
        <f aca="false">H12</f>
        <v>0</v>
      </c>
      <c r="Z138" s="11" t="n">
        <f aca="false">Y138</f>
        <v>0</v>
      </c>
      <c r="AB138" s="229" t="s">
        <v>13</v>
      </c>
      <c r="AC138" s="229"/>
      <c r="AD138" s="229"/>
      <c r="AE138" s="229"/>
      <c r="AF138" s="229"/>
      <c r="AG138" s="229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9" t="s">
        <v>14</v>
      </c>
      <c r="B139" s="229"/>
      <c r="C139" s="229"/>
      <c r="D139" s="229"/>
      <c r="E139" s="229"/>
      <c r="F139" s="229"/>
      <c r="G139" s="40" t="n">
        <f aca="false">H13</f>
        <v>585</v>
      </c>
      <c r="H139" s="11" t="n">
        <f aca="false">G139</f>
        <v>585</v>
      </c>
      <c r="J139" s="229" t="s">
        <v>14</v>
      </c>
      <c r="K139" s="229"/>
      <c r="L139" s="229"/>
      <c r="M139" s="229"/>
      <c r="N139" s="229"/>
      <c r="O139" s="229"/>
      <c r="P139" s="40" t="n">
        <f aca="false">H13</f>
        <v>585</v>
      </c>
      <c r="Q139" s="11" t="n">
        <f aca="false">P139</f>
        <v>585</v>
      </c>
      <c r="S139" s="229" t="s">
        <v>14</v>
      </c>
      <c r="T139" s="229"/>
      <c r="U139" s="229"/>
      <c r="V139" s="229"/>
      <c r="W139" s="229"/>
      <c r="X139" s="229"/>
      <c r="Y139" s="40" t="n">
        <f aca="false">H13</f>
        <v>585</v>
      </c>
      <c r="Z139" s="11" t="n">
        <f aca="false">Y139</f>
        <v>585</v>
      </c>
      <c r="AB139" s="229" t="s">
        <v>14</v>
      </c>
      <c r="AC139" s="229"/>
      <c r="AD139" s="229"/>
      <c r="AE139" s="229"/>
      <c r="AF139" s="229"/>
      <c r="AG139" s="229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9" t="s">
        <v>15</v>
      </c>
      <c r="B140" s="229"/>
      <c r="C140" s="229"/>
      <c r="D140" s="229"/>
      <c r="E140" s="229"/>
      <c r="F140" s="229"/>
      <c r="G140" s="40" t="n">
        <f aca="false">H14</f>
        <v>55</v>
      </c>
      <c r="H140" s="11" t="n">
        <v>55</v>
      </c>
      <c r="J140" s="229" t="s">
        <v>15</v>
      </c>
      <c r="K140" s="229"/>
      <c r="L140" s="229"/>
      <c r="M140" s="229"/>
      <c r="N140" s="229"/>
      <c r="O140" s="229"/>
      <c r="P140" s="40" t="n">
        <f aca="false">H14</f>
        <v>55</v>
      </c>
      <c r="Q140" s="11" t="n">
        <v>55</v>
      </c>
      <c r="S140" s="229" t="s">
        <v>15</v>
      </c>
      <c r="T140" s="229"/>
      <c r="U140" s="229"/>
      <c r="V140" s="229"/>
      <c r="W140" s="229"/>
      <c r="X140" s="229"/>
      <c r="Y140" s="40" t="n">
        <f aca="false">H14</f>
        <v>55</v>
      </c>
      <c r="Z140" s="11" t="n">
        <v>55</v>
      </c>
      <c r="AB140" s="229" t="s">
        <v>15</v>
      </c>
      <c r="AC140" s="229"/>
      <c r="AD140" s="229"/>
      <c r="AE140" s="229"/>
      <c r="AF140" s="229"/>
      <c r="AG140" s="229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9" t="s">
        <v>17</v>
      </c>
      <c r="B141" s="229"/>
      <c r="C141" s="229"/>
      <c r="D141" s="229"/>
      <c r="E141" s="229"/>
      <c r="F141" s="229"/>
      <c r="G141" s="360" t="n">
        <f aca="false">H15</f>
        <v>58525</v>
      </c>
      <c r="H141" s="311" t="n">
        <f aca="false">(H135+H136+H139+H140+H137)-H138</f>
        <v>58525</v>
      </c>
      <c r="J141" s="229" t="s">
        <v>17</v>
      </c>
      <c r="K141" s="229"/>
      <c r="L141" s="229"/>
      <c r="M141" s="229"/>
      <c r="N141" s="229"/>
      <c r="O141" s="229"/>
      <c r="P141" s="360" t="n">
        <f aca="false">H15</f>
        <v>58525</v>
      </c>
      <c r="Q141" s="311" t="n">
        <f aca="false">(Q135+Q136+Q139+Q140+Q137)-Q138</f>
        <v>36655</v>
      </c>
      <c r="S141" s="229" t="s">
        <v>17</v>
      </c>
      <c r="T141" s="229"/>
      <c r="U141" s="229"/>
      <c r="V141" s="229"/>
      <c r="W141" s="229"/>
      <c r="X141" s="229"/>
      <c r="Y141" s="360" t="n">
        <f aca="false">H15</f>
        <v>58525</v>
      </c>
      <c r="Z141" s="311" t="n">
        <f aca="false">(Z135+Z136+Z139+Z140+Z137)-Z138</f>
        <v>58384.43749</v>
      </c>
      <c r="AB141" s="229" t="s">
        <v>17</v>
      </c>
      <c r="AC141" s="229"/>
      <c r="AD141" s="229"/>
      <c r="AE141" s="229"/>
      <c r="AF141" s="229"/>
      <c r="AG141" s="229"/>
      <c r="AH141" s="360" t="n">
        <f aca="false">H15</f>
        <v>58525</v>
      </c>
      <c r="AI141" s="311" t="n">
        <f aca="false">(AI135+AI136+AI139+AI140+AI137)-AI138</f>
        <v>44468.749</v>
      </c>
    </row>
    <row r="142" customFormat="false" ht="17.35" hidden="false" customHeight="false" outlineLevel="0" collapsed="false">
      <c r="A142" s="229" t="s">
        <v>18</v>
      </c>
      <c r="B142" s="229"/>
      <c r="C142" s="229"/>
      <c r="D142" s="229"/>
      <c r="E142" s="229"/>
      <c r="F142" s="229"/>
      <c r="G142" s="40" t="n">
        <f aca="false">H16</f>
        <v>0</v>
      </c>
      <c r="H142" s="242" t="n">
        <f aca="false">G142</f>
        <v>0</v>
      </c>
      <c r="J142" s="229" t="s">
        <v>18</v>
      </c>
      <c r="K142" s="229"/>
      <c r="L142" s="229"/>
      <c r="M142" s="229"/>
      <c r="N142" s="229"/>
      <c r="O142" s="229"/>
      <c r="P142" s="40" t="n">
        <f aca="false">H16</f>
        <v>0</v>
      </c>
      <c r="Q142" s="242" t="n">
        <f aca="false">P142</f>
        <v>0</v>
      </c>
      <c r="S142" s="229" t="s">
        <v>18</v>
      </c>
      <c r="T142" s="229"/>
      <c r="U142" s="229"/>
      <c r="V142" s="229"/>
      <c r="W142" s="229"/>
      <c r="X142" s="229"/>
      <c r="Y142" s="40" t="n">
        <f aca="false">H16</f>
        <v>0</v>
      </c>
      <c r="Z142" s="242" t="n">
        <f aca="false">Y142</f>
        <v>0</v>
      </c>
      <c r="AB142" s="229" t="s">
        <v>18</v>
      </c>
      <c r="AC142" s="229"/>
      <c r="AD142" s="229"/>
      <c r="AE142" s="229"/>
      <c r="AF142" s="229"/>
      <c r="AG142" s="229"/>
      <c r="AH142" s="40" t="n">
        <f aca="false">H16</f>
        <v>0</v>
      </c>
      <c r="AI142" s="242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5"/>
      <c r="H143" s="11"/>
      <c r="J143" s="129" t="s">
        <v>20</v>
      </c>
      <c r="K143" s="129"/>
      <c r="L143" s="129"/>
      <c r="M143" s="129"/>
      <c r="N143" s="129"/>
      <c r="O143" s="129"/>
      <c r="P143" s="215"/>
      <c r="Q143" s="11"/>
      <c r="S143" s="129" t="s">
        <v>20</v>
      </c>
      <c r="T143" s="129"/>
      <c r="U143" s="129"/>
      <c r="V143" s="129"/>
      <c r="W143" s="129"/>
      <c r="X143" s="129"/>
      <c r="Y143" s="215"/>
      <c r="Z143" s="11"/>
      <c r="AB143" s="129" t="s">
        <v>20</v>
      </c>
      <c r="AC143" s="129"/>
      <c r="AD143" s="129"/>
      <c r="AE143" s="129"/>
      <c r="AF143" s="129"/>
      <c r="AG143" s="129"/>
      <c r="AH143" s="215"/>
      <c r="AI143" s="11"/>
    </row>
    <row r="144" customFormat="false" ht="17.35" hidden="false" customHeight="false" outlineLevel="0" collapsed="false">
      <c r="A144" s="232" t="s">
        <v>19</v>
      </c>
      <c r="B144" s="233" t="s">
        <v>23</v>
      </c>
      <c r="C144" s="233"/>
      <c r="D144" s="233"/>
      <c r="E144" s="233"/>
      <c r="F144" s="233"/>
      <c r="G144" s="40" t="n">
        <f aca="false">H18</f>
        <v>0</v>
      </c>
      <c r="H144" s="242" t="n">
        <f aca="false">G144</f>
        <v>0</v>
      </c>
      <c r="J144" s="232" t="s">
        <v>19</v>
      </c>
      <c r="K144" s="233" t="s">
        <v>23</v>
      </c>
      <c r="L144" s="233"/>
      <c r="M144" s="233"/>
      <c r="N144" s="233"/>
      <c r="O144" s="233"/>
      <c r="P144" s="40" t="n">
        <f aca="false">H18</f>
        <v>0</v>
      </c>
      <c r="Q144" s="242" t="n">
        <f aca="false">P144</f>
        <v>0</v>
      </c>
      <c r="S144" s="232" t="s">
        <v>19</v>
      </c>
      <c r="T144" s="233" t="s">
        <v>23</v>
      </c>
      <c r="U144" s="233"/>
      <c r="V144" s="233"/>
      <c r="W144" s="233"/>
      <c r="X144" s="233"/>
      <c r="Y144" s="40" t="n">
        <f aca="false">H18</f>
        <v>0</v>
      </c>
      <c r="Z144" s="242" t="n">
        <f aca="false">Y144</f>
        <v>0</v>
      </c>
      <c r="AB144" s="232" t="s">
        <v>19</v>
      </c>
      <c r="AC144" s="233" t="s">
        <v>23</v>
      </c>
      <c r="AD144" s="233"/>
      <c r="AE144" s="233"/>
      <c r="AF144" s="233"/>
      <c r="AG144" s="233"/>
      <c r="AH144" s="40" t="n">
        <f aca="false">H18</f>
        <v>0</v>
      </c>
      <c r="AI144" s="242" t="n">
        <f aca="false">AH144</f>
        <v>0</v>
      </c>
    </row>
    <row r="145" customFormat="false" ht="17.35" hidden="false" customHeight="false" outlineLevel="0" collapsed="false">
      <c r="A145" s="232" t="s">
        <v>22</v>
      </c>
      <c r="B145" s="233" t="s">
        <v>23</v>
      </c>
      <c r="C145" s="233"/>
      <c r="D145" s="233"/>
      <c r="E145" s="233"/>
      <c r="F145" s="233"/>
      <c r="G145" s="40" t="n">
        <f aca="false">H19</f>
        <v>0</v>
      </c>
      <c r="H145" s="242" t="n">
        <f aca="false">G145</f>
        <v>0</v>
      </c>
      <c r="I145" s="216" t="n">
        <f aca="false">(G142+G145+G146+G144)</f>
        <v>0</v>
      </c>
      <c r="J145" s="232" t="s">
        <v>22</v>
      </c>
      <c r="K145" s="233" t="s">
        <v>23</v>
      </c>
      <c r="L145" s="233"/>
      <c r="M145" s="233"/>
      <c r="N145" s="233"/>
      <c r="O145" s="233"/>
      <c r="P145" s="40" t="n">
        <f aca="false">H19</f>
        <v>0</v>
      </c>
      <c r="Q145" s="242" t="n">
        <f aca="false">P145</f>
        <v>0</v>
      </c>
      <c r="S145" s="232" t="s">
        <v>22</v>
      </c>
      <c r="T145" s="233" t="s">
        <v>23</v>
      </c>
      <c r="U145" s="233"/>
      <c r="V145" s="233"/>
      <c r="W145" s="233"/>
      <c r="X145" s="233"/>
      <c r="Y145" s="40" t="n">
        <f aca="false">H19</f>
        <v>0</v>
      </c>
      <c r="Z145" s="242" t="n">
        <f aca="false">Y145</f>
        <v>0</v>
      </c>
      <c r="AB145" s="232" t="s">
        <v>22</v>
      </c>
      <c r="AC145" s="233" t="s">
        <v>23</v>
      </c>
      <c r="AD145" s="233"/>
      <c r="AE145" s="233"/>
      <c r="AF145" s="233"/>
      <c r="AG145" s="233"/>
      <c r="AH145" s="40" t="n">
        <f aca="false">H19</f>
        <v>0</v>
      </c>
      <c r="AI145" s="242" t="n">
        <f aca="false">AH145</f>
        <v>0</v>
      </c>
    </row>
    <row r="146" customFormat="false" ht="17.35" hidden="false" customHeight="false" outlineLevel="0" collapsed="false">
      <c r="A146" s="313" t="s">
        <v>24</v>
      </c>
      <c r="B146" s="314" t="s">
        <v>23</v>
      </c>
      <c r="C146" s="314"/>
      <c r="D146" s="314"/>
      <c r="E146" s="314"/>
      <c r="F146" s="314"/>
      <c r="G146" s="40" t="n">
        <f aca="false">H20</f>
        <v>0</v>
      </c>
      <c r="H146" s="242" t="n">
        <f aca="false">G146</f>
        <v>0</v>
      </c>
      <c r="I146" s="216" t="n">
        <f aca="false">(H142+H144+H145+H146)</f>
        <v>0</v>
      </c>
      <c r="J146" s="313" t="s">
        <v>24</v>
      </c>
      <c r="K146" s="314" t="s">
        <v>23</v>
      </c>
      <c r="L146" s="314"/>
      <c r="M146" s="314"/>
      <c r="N146" s="314"/>
      <c r="O146" s="314"/>
      <c r="P146" s="40" t="n">
        <f aca="false">H20</f>
        <v>0</v>
      </c>
      <c r="Q146" s="242" t="n">
        <f aca="false">P146</f>
        <v>0</v>
      </c>
      <c r="S146" s="313" t="s">
        <v>24</v>
      </c>
      <c r="T146" s="314" t="s">
        <v>23</v>
      </c>
      <c r="U146" s="314"/>
      <c r="V146" s="314"/>
      <c r="W146" s="314"/>
      <c r="X146" s="314"/>
      <c r="Y146" s="40" t="n">
        <f aca="false">H20</f>
        <v>0</v>
      </c>
      <c r="Z146" s="242" t="n">
        <f aca="false">Y146</f>
        <v>0</v>
      </c>
      <c r="AB146" s="313" t="s">
        <v>24</v>
      </c>
      <c r="AC146" s="314" t="s">
        <v>23</v>
      </c>
      <c r="AD146" s="314"/>
      <c r="AE146" s="314"/>
      <c r="AF146" s="314"/>
      <c r="AG146" s="314"/>
      <c r="AH146" s="40" t="n">
        <f aca="false">H20</f>
        <v>0</v>
      </c>
      <c r="AI146" s="242" t="n">
        <f aca="false">AH146</f>
        <v>0</v>
      </c>
    </row>
    <row r="147" customFormat="false" ht="19.7" hidden="false" customHeight="false" outlineLevel="0" collapsed="false">
      <c r="A147" s="229" t="s">
        <v>27</v>
      </c>
      <c r="B147" s="229"/>
      <c r="C147" s="229"/>
      <c r="D147" s="229"/>
      <c r="E147" s="229"/>
      <c r="F147" s="229"/>
      <c r="G147" s="360" t="n">
        <f aca="false">G141-((G144*1.2)+(G145*1.2)+(G146*1.2)+(G142*1.2))</f>
        <v>58525</v>
      </c>
      <c r="H147" s="315" t="n">
        <f aca="false">H141-((H144*1.2)+(H145*1.2)+(H146*1.2)+(H142*1.2))</f>
        <v>58525</v>
      </c>
      <c r="J147" s="229" t="s">
        <v>27</v>
      </c>
      <c r="K147" s="229"/>
      <c r="L147" s="229"/>
      <c r="M147" s="229"/>
      <c r="N147" s="229"/>
      <c r="O147" s="229"/>
      <c r="P147" s="360" t="n">
        <f aca="false">P141-((P144*1.2)+(P145*1.2)+(P146*1.2)+(P142*1.2))</f>
        <v>58525</v>
      </c>
      <c r="Q147" s="315" t="n">
        <f aca="false">Q141-((Q144*1.2)+(Q145*1.2)+(Q146*1.2)+(Q142*1.2))</f>
        <v>36655</v>
      </c>
      <c r="S147" s="229" t="s">
        <v>27</v>
      </c>
      <c r="T147" s="229"/>
      <c r="U147" s="229"/>
      <c r="V147" s="229"/>
      <c r="W147" s="229"/>
      <c r="X147" s="229"/>
      <c r="Y147" s="360" t="n">
        <f aca="false">Y141-((Y144*1.2)+(Y145*1.2)+(Y146*1.2)+(Y142*1.2))</f>
        <v>58525</v>
      </c>
      <c r="Z147" s="315" t="n">
        <f aca="false">Z141-((Z144*1.2)+(Z145*1.2)+(Z146*1.2)+(Z142*1.2))</f>
        <v>58384.43749</v>
      </c>
      <c r="AB147" s="229" t="s">
        <v>27</v>
      </c>
      <c r="AC147" s="229"/>
      <c r="AD147" s="229"/>
      <c r="AE147" s="229"/>
      <c r="AF147" s="229"/>
      <c r="AG147" s="229"/>
      <c r="AH147" s="360" t="n">
        <f aca="false">AH141-((AH144*1.2)+(AH145*1.2)+(AH146*1.2)+(AH142*1.2))</f>
        <v>58525</v>
      </c>
      <c r="AI147" s="31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9" t="s">
        <v>243</v>
      </c>
      <c r="B148" s="229"/>
      <c r="C148" s="229"/>
      <c r="D148" s="229"/>
      <c r="E148" s="229"/>
      <c r="F148" s="229"/>
      <c r="G148" s="40"/>
      <c r="H148" s="242" t="n">
        <f aca="false">Q147-P147</f>
        <v>-21870</v>
      </c>
      <c r="I148" s="216" t="n">
        <f aca="false">(H148-G81)/1.2</f>
        <v>-18225</v>
      </c>
      <c r="J148" s="229" t="s">
        <v>243</v>
      </c>
      <c r="K148" s="229"/>
      <c r="L148" s="229"/>
      <c r="M148" s="229"/>
      <c r="N148" s="229"/>
      <c r="O148" s="229"/>
      <c r="P148" s="40"/>
      <c r="Q148" s="242" t="n">
        <f aca="false">Q147-P147</f>
        <v>-21870</v>
      </c>
      <c r="S148" s="229" t="s">
        <v>243</v>
      </c>
      <c r="T148" s="229"/>
      <c r="U148" s="229"/>
      <c r="V148" s="229"/>
      <c r="W148" s="229"/>
      <c r="X148" s="229"/>
      <c r="Y148" s="40"/>
      <c r="Z148" s="242" t="n">
        <f aca="false">Z147-Y147</f>
        <v>-140.562510000003</v>
      </c>
      <c r="AB148" s="229" t="s">
        <v>243</v>
      </c>
      <c r="AC148" s="229"/>
      <c r="AD148" s="229"/>
      <c r="AE148" s="229"/>
      <c r="AF148" s="229"/>
      <c r="AG148" s="229"/>
      <c r="AH148" s="40"/>
      <c r="AI148" s="242" t="n">
        <f aca="false">AI147-AH147</f>
        <v>-14056.251</v>
      </c>
    </row>
    <row r="149" customFormat="false" ht="17.35" hidden="false" customHeight="false" outlineLevel="0" collapsed="false">
      <c r="A149" s="221"/>
      <c r="B149" s="331"/>
      <c r="C149" s="331"/>
      <c r="D149" s="331"/>
      <c r="E149" s="236"/>
      <c r="F149" s="236"/>
      <c r="G149" s="236"/>
      <c r="H149" s="11"/>
      <c r="J149" s="221"/>
      <c r="K149" s="331"/>
      <c r="L149" s="331"/>
      <c r="M149" s="331"/>
      <c r="N149" s="236"/>
      <c r="O149" s="236"/>
      <c r="P149" s="236"/>
      <c r="Q149" s="11"/>
      <c r="S149" s="221"/>
      <c r="T149" s="331"/>
      <c r="U149" s="331"/>
      <c r="V149" s="331"/>
      <c r="W149" s="236"/>
      <c r="X149" s="236"/>
      <c r="Y149" s="236"/>
      <c r="Z149" s="11"/>
      <c r="AB149" s="221"/>
      <c r="AC149" s="331"/>
      <c r="AD149" s="331"/>
      <c r="AE149" s="331"/>
      <c r="AF149" s="236"/>
      <c r="AG149" s="236"/>
      <c r="AH149" s="236"/>
      <c r="AI149" s="11"/>
    </row>
    <row r="150" customFormat="false" ht="22.05" hidden="false" customHeight="false" outlineLevel="0" collapsed="false">
      <c r="A150" s="240" t="s">
        <v>244</v>
      </c>
      <c r="B150" s="240"/>
      <c r="C150" s="240"/>
      <c r="D150" s="240"/>
      <c r="E150" s="240"/>
      <c r="F150" s="240"/>
      <c r="G150" s="240"/>
      <c r="H150" s="240"/>
      <c r="J150" s="240" t="s">
        <v>244</v>
      </c>
      <c r="K150" s="240"/>
      <c r="L150" s="240"/>
      <c r="M150" s="240"/>
      <c r="N150" s="240"/>
      <c r="O150" s="240"/>
      <c r="P150" s="240"/>
      <c r="Q150" s="240"/>
      <c r="S150" s="240" t="s">
        <v>244</v>
      </c>
      <c r="T150" s="240"/>
      <c r="U150" s="240"/>
      <c r="V150" s="240"/>
      <c r="W150" s="240"/>
      <c r="X150" s="240"/>
      <c r="Y150" s="240"/>
      <c r="Z150" s="240"/>
      <c r="AB150" s="240" t="s">
        <v>244</v>
      </c>
      <c r="AC150" s="240"/>
      <c r="AD150" s="240"/>
      <c r="AE150" s="240"/>
      <c r="AF150" s="240"/>
      <c r="AG150" s="240"/>
      <c r="AH150" s="240"/>
      <c r="AI150" s="240"/>
    </row>
    <row r="151" customFormat="false" ht="17.35" hidden="false" customHeight="false" outlineLevel="0" collapsed="false">
      <c r="A151" s="221"/>
      <c r="B151" s="331"/>
      <c r="C151" s="331"/>
      <c r="D151" s="331"/>
      <c r="E151" s="236"/>
      <c r="F151" s="236"/>
      <c r="G151" s="236"/>
      <c r="H151" s="11"/>
      <c r="J151" s="221"/>
      <c r="K151" s="331"/>
      <c r="L151" s="331"/>
      <c r="M151" s="331"/>
      <c r="N151" s="236"/>
      <c r="O151" s="236"/>
      <c r="P151" s="236"/>
      <c r="Q151" s="11"/>
      <c r="S151" s="221"/>
      <c r="T151" s="331"/>
      <c r="U151" s="331"/>
      <c r="V151" s="331"/>
      <c r="W151" s="236"/>
      <c r="X151" s="236"/>
      <c r="Y151" s="236"/>
      <c r="Z151" s="11"/>
      <c r="AB151" s="221"/>
      <c r="AC151" s="331"/>
      <c r="AD151" s="331"/>
      <c r="AE151" s="331"/>
      <c r="AF151" s="236"/>
      <c r="AG151" s="236"/>
      <c r="AH151" s="236"/>
      <c r="AI151" s="11"/>
    </row>
    <row r="152" customFormat="false" ht="17.35" hidden="false" customHeight="false" outlineLevel="0" collapsed="false">
      <c r="A152" s="221" t="s">
        <v>138</v>
      </c>
      <c r="B152" s="331"/>
      <c r="C152" s="331"/>
      <c r="D152" s="236"/>
      <c r="E152" s="112" t="n">
        <v>0</v>
      </c>
      <c r="F152" s="112"/>
      <c r="G152" s="112" t="n">
        <v>0</v>
      </c>
      <c r="H152" s="112"/>
      <c r="J152" s="221" t="s">
        <v>138</v>
      </c>
      <c r="K152" s="331"/>
      <c r="L152" s="331"/>
      <c r="M152" s="236"/>
      <c r="N152" s="112" t="n">
        <v>10000</v>
      </c>
      <c r="O152" s="112"/>
      <c r="P152" s="112" t="n">
        <v>5000</v>
      </c>
      <c r="Q152" s="112"/>
      <c r="S152" s="221" t="s">
        <v>138</v>
      </c>
      <c r="T152" s="331"/>
      <c r="U152" s="331"/>
      <c r="V152" s="236"/>
      <c r="W152" s="112" t="n">
        <v>10000</v>
      </c>
      <c r="X152" s="112"/>
      <c r="Y152" s="112" t="n">
        <v>5000</v>
      </c>
      <c r="Z152" s="112"/>
      <c r="AB152" s="221" t="s">
        <v>138</v>
      </c>
      <c r="AC152" s="331"/>
      <c r="AD152" s="331"/>
      <c r="AE152" s="236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1" t="s">
        <v>139</v>
      </c>
      <c r="B153" s="331"/>
      <c r="C153" s="331"/>
      <c r="D153" s="236"/>
      <c r="E153" s="210" t="n">
        <f aca="false">G153</f>
        <v>0</v>
      </c>
      <c r="F153" s="210"/>
      <c r="G153" s="112" t="n">
        <v>0</v>
      </c>
      <c r="H153" s="112"/>
      <c r="J153" s="221" t="s">
        <v>139</v>
      </c>
      <c r="K153" s="331"/>
      <c r="L153" s="331"/>
      <c r="M153" s="236"/>
      <c r="N153" s="210" t="n">
        <f aca="false">P153</f>
        <v>7000</v>
      </c>
      <c r="O153" s="210"/>
      <c r="P153" s="112" t="n">
        <v>7000</v>
      </c>
      <c r="Q153" s="112"/>
      <c r="S153" s="221" t="s">
        <v>139</v>
      </c>
      <c r="T153" s="331"/>
      <c r="U153" s="331"/>
      <c r="V153" s="236"/>
      <c r="W153" s="210" t="n">
        <f aca="false">Y153</f>
        <v>7000</v>
      </c>
      <c r="X153" s="210"/>
      <c r="Y153" s="112" t="n">
        <v>7000</v>
      </c>
      <c r="Z153" s="112"/>
      <c r="AB153" s="221" t="s">
        <v>139</v>
      </c>
      <c r="AC153" s="331"/>
      <c r="AD153" s="331"/>
      <c r="AE153" s="236"/>
      <c r="AF153" s="210" t="n">
        <f aca="false">AH153</f>
        <v>7000</v>
      </c>
      <c r="AG153" s="210"/>
      <c r="AH153" s="112" t="n">
        <v>7000</v>
      </c>
      <c r="AI153" s="112"/>
    </row>
    <row r="154" customFormat="false" ht="17.35" hidden="false" customHeight="false" outlineLevel="0" collapsed="false">
      <c r="A154" s="221" t="s">
        <v>140</v>
      </c>
      <c r="B154" s="331"/>
      <c r="C154" s="331"/>
      <c r="D154" s="236"/>
      <c r="E154" s="210" t="n">
        <f aca="false">E152-E153</f>
        <v>0</v>
      </c>
      <c r="F154" s="210"/>
      <c r="G154" s="115" t="n">
        <f aca="false">G152-G153</f>
        <v>0</v>
      </c>
      <c r="H154" s="115"/>
      <c r="J154" s="221" t="s">
        <v>140</v>
      </c>
      <c r="K154" s="331"/>
      <c r="L154" s="331"/>
      <c r="M154" s="236"/>
      <c r="N154" s="210" t="n">
        <f aca="false">N152-N153</f>
        <v>3000</v>
      </c>
      <c r="O154" s="210"/>
      <c r="P154" s="115" t="n">
        <f aca="false">P152-P153</f>
        <v>-2000</v>
      </c>
      <c r="Q154" s="115"/>
      <c r="S154" s="221" t="s">
        <v>140</v>
      </c>
      <c r="T154" s="331"/>
      <c r="U154" s="331"/>
      <c r="V154" s="236"/>
      <c r="W154" s="210" t="n">
        <f aca="false">W152-W153</f>
        <v>3000</v>
      </c>
      <c r="X154" s="210"/>
      <c r="Y154" s="115" t="n">
        <f aca="false">Y152-Y153</f>
        <v>-2000</v>
      </c>
      <c r="Z154" s="115"/>
      <c r="AB154" s="221" t="s">
        <v>140</v>
      </c>
      <c r="AC154" s="331"/>
      <c r="AD154" s="331"/>
      <c r="AE154" s="236"/>
      <c r="AF154" s="210" t="n">
        <f aca="false">AF152-AF153</f>
        <v>3000</v>
      </c>
      <c r="AG154" s="210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1" t="s">
        <v>141</v>
      </c>
      <c r="B155" s="331"/>
      <c r="C155" s="331"/>
      <c r="D155" s="236"/>
      <c r="E155" s="210" t="n">
        <f aca="false">E154-G154</f>
        <v>0</v>
      </c>
      <c r="F155" s="210"/>
      <c r="G155" s="236"/>
      <c r="H155" s="11"/>
      <c r="J155" s="221" t="s">
        <v>141</v>
      </c>
      <c r="K155" s="331"/>
      <c r="L155" s="331"/>
      <c r="M155" s="236"/>
      <c r="N155" s="210" t="n">
        <f aca="false">N154-P154</f>
        <v>5000</v>
      </c>
      <c r="O155" s="210"/>
      <c r="P155" s="236"/>
      <c r="Q155" s="11"/>
      <c r="S155" s="221" t="s">
        <v>141</v>
      </c>
      <c r="T155" s="331"/>
      <c r="U155" s="331"/>
      <c r="V155" s="236"/>
      <c r="W155" s="210" t="n">
        <f aca="false">W154-Y154</f>
        <v>5000</v>
      </c>
      <c r="X155" s="210"/>
      <c r="Y155" s="236"/>
      <c r="Z155" s="11"/>
      <c r="AB155" s="221" t="s">
        <v>141</v>
      </c>
      <c r="AC155" s="331"/>
      <c r="AD155" s="331"/>
      <c r="AE155" s="236"/>
      <c r="AF155" s="210" t="n">
        <f aca="false">AF154-AH154</f>
        <v>5000</v>
      </c>
      <c r="AG155" s="210"/>
      <c r="AH155" s="236"/>
      <c r="AI155" s="11"/>
    </row>
    <row r="156" customFormat="false" ht="17.35" hidden="false" customHeight="false" outlineLevel="0" collapsed="false">
      <c r="A156" s="221"/>
      <c r="B156" s="331"/>
      <c r="C156" s="331"/>
      <c r="D156" s="236"/>
      <c r="E156" s="331"/>
      <c r="F156" s="236"/>
      <c r="G156" s="236"/>
      <c r="H156" s="11"/>
      <c r="J156" s="221"/>
      <c r="K156" s="331"/>
      <c r="L156" s="331"/>
      <c r="M156" s="236"/>
      <c r="N156" s="331"/>
      <c r="O156" s="236"/>
      <c r="P156" s="236"/>
      <c r="Q156" s="11"/>
      <c r="S156" s="221"/>
      <c r="T156" s="331"/>
      <c r="U156" s="331"/>
      <c r="V156" s="236"/>
      <c r="W156" s="331"/>
      <c r="X156" s="236"/>
      <c r="Y156" s="236"/>
      <c r="Z156" s="11"/>
      <c r="AB156" s="221"/>
      <c r="AC156" s="331"/>
      <c r="AD156" s="331"/>
      <c r="AE156" s="236"/>
      <c r="AF156" s="331"/>
      <c r="AG156" s="236"/>
      <c r="AH156" s="236"/>
      <c r="AI156" s="11"/>
    </row>
    <row r="157" customFormat="false" ht="17.35" hidden="false" customHeight="false" outlineLevel="0" collapsed="false">
      <c r="A157" s="238" t="s">
        <v>245</v>
      </c>
      <c r="B157" s="239"/>
      <c r="C157" s="239"/>
      <c r="D157" s="262"/>
      <c r="E157" s="239"/>
      <c r="F157" s="262"/>
      <c r="G157" s="317" t="n">
        <f aca="false">A114</f>
        <v>0</v>
      </c>
      <c r="H157" s="317"/>
      <c r="J157" s="238" t="s">
        <v>245</v>
      </c>
      <c r="K157" s="239"/>
      <c r="L157" s="239"/>
      <c r="M157" s="262"/>
      <c r="N157" s="239"/>
      <c r="O157" s="262"/>
      <c r="P157" s="317" t="n">
        <f aca="false">J114</f>
        <v>1000</v>
      </c>
      <c r="Q157" s="317"/>
      <c r="S157" s="238" t="s">
        <v>245</v>
      </c>
      <c r="T157" s="239"/>
      <c r="U157" s="239"/>
      <c r="V157" s="262"/>
      <c r="W157" s="239"/>
      <c r="X157" s="262"/>
      <c r="Y157" s="317" t="n">
        <f aca="false">S114</f>
        <v>1000</v>
      </c>
      <c r="Z157" s="317"/>
      <c r="AB157" s="238" t="s">
        <v>245</v>
      </c>
      <c r="AC157" s="239"/>
      <c r="AD157" s="239"/>
      <c r="AE157" s="262"/>
      <c r="AF157" s="239"/>
      <c r="AG157" s="262"/>
      <c r="AH157" s="317" t="n">
        <f aca="false">AB114</f>
        <v>1000</v>
      </c>
      <c r="AI157" s="317"/>
    </row>
    <row r="158" customFormat="false" ht="19.7" hidden="false" customHeight="false" outlineLevel="0" collapsed="false">
      <c r="A158" s="318" t="s">
        <v>246</v>
      </c>
      <c r="B158" s="331"/>
      <c r="C158" s="331"/>
      <c r="D158" s="342"/>
      <c r="E158" s="331"/>
      <c r="F158" s="342"/>
      <c r="G158" s="319" t="n">
        <f aca="false">H147-G154-G157</f>
        <v>58525</v>
      </c>
      <c r="H158" s="319"/>
      <c r="J158" s="318" t="s">
        <v>246</v>
      </c>
      <c r="K158" s="331"/>
      <c r="L158" s="331"/>
      <c r="M158" s="342"/>
      <c r="N158" s="331"/>
      <c r="O158" s="342"/>
      <c r="P158" s="319" t="n">
        <f aca="false">Q147-P154-P157</f>
        <v>37655</v>
      </c>
      <c r="Q158" s="319"/>
      <c r="S158" s="318" t="s">
        <v>246</v>
      </c>
      <c r="T158" s="331"/>
      <c r="U158" s="331"/>
      <c r="V158" s="342"/>
      <c r="W158" s="331"/>
      <c r="X158" s="342"/>
      <c r="Y158" s="319" t="n">
        <f aca="false">Z147-Y154-Y157</f>
        <v>59384.43749</v>
      </c>
      <c r="Z158" s="319"/>
      <c r="AB158" s="318" t="s">
        <v>246</v>
      </c>
      <c r="AC158" s="331"/>
      <c r="AD158" s="331"/>
      <c r="AE158" s="342"/>
      <c r="AF158" s="331"/>
      <c r="AG158" s="342"/>
      <c r="AH158" s="319" t="n">
        <f aca="false">AI147-AH154-AH157</f>
        <v>45468.749</v>
      </c>
      <c r="AI158" s="319"/>
    </row>
    <row r="159" customFormat="false" ht="17.35" hidden="false" customHeight="false" outlineLevel="0" collapsed="false">
      <c r="A159" s="249" t="s">
        <v>52</v>
      </c>
      <c r="B159" s="250"/>
      <c r="C159" s="250"/>
      <c r="D159" s="278"/>
      <c r="E159" s="250"/>
      <c r="F159" s="278"/>
      <c r="G159" s="320" t="str">
        <f aca="false">B114</f>
        <v>199.99</v>
      </c>
      <c r="H159" s="320"/>
      <c r="J159" s="249" t="s">
        <v>52</v>
      </c>
      <c r="K159" s="250"/>
      <c r="L159" s="250"/>
      <c r="M159" s="278"/>
      <c r="N159" s="250"/>
      <c r="O159" s="278"/>
      <c r="P159" s="320" t="n">
        <f aca="false">K114</f>
        <v>239.99</v>
      </c>
      <c r="Q159" s="320"/>
      <c r="S159" s="249" t="s">
        <v>52</v>
      </c>
      <c r="T159" s="250"/>
      <c r="U159" s="250"/>
      <c r="V159" s="278"/>
      <c r="W159" s="250"/>
      <c r="X159" s="278"/>
      <c r="Y159" s="320" t="n">
        <f aca="false">T114</f>
        <v>199.99</v>
      </c>
      <c r="Z159" s="320"/>
      <c r="AB159" s="249" t="s">
        <v>52</v>
      </c>
      <c r="AC159" s="250"/>
      <c r="AD159" s="250"/>
      <c r="AE159" s="278"/>
      <c r="AF159" s="250"/>
      <c r="AG159" s="278"/>
      <c r="AH159" s="320" t="n">
        <f aca="false">AC114</f>
        <v>239.99</v>
      </c>
      <c r="AI159" s="320"/>
    </row>
    <row r="160" customFormat="false" ht="17.35" hidden="false" customHeight="false" outlineLevel="0" collapsed="false">
      <c r="A160" s="221"/>
      <c r="B160" s="331"/>
      <c r="C160" s="331"/>
      <c r="D160" s="331"/>
      <c r="E160" s="236"/>
      <c r="F160" s="236"/>
      <c r="G160" s="236"/>
      <c r="H160" s="11"/>
      <c r="J160" s="221"/>
      <c r="K160" s="331"/>
      <c r="L160" s="331"/>
      <c r="M160" s="331"/>
      <c r="N160" s="236"/>
      <c r="O160" s="236"/>
      <c r="P160" s="236"/>
      <c r="Q160" s="11"/>
      <c r="S160" s="221"/>
      <c r="T160" s="331"/>
      <c r="U160" s="331"/>
      <c r="V160" s="331"/>
      <c r="W160" s="236"/>
      <c r="X160" s="236"/>
      <c r="Y160" s="236"/>
      <c r="Z160" s="11"/>
      <c r="AB160" s="221"/>
      <c r="AC160" s="331"/>
      <c r="AD160" s="331"/>
      <c r="AE160" s="331"/>
      <c r="AF160" s="236"/>
      <c r="AG160" s="236"/>
      <c r="AH160" s="236"/>
      <c r="AI160" s="11"/>
    </row>
    <row r="161" customFormat="false" ht="17.35" hidden="false" customHeight="false" outlineLevel="0" collapsed="false">
      <c r="A161" s="221"/>
      <c r="B161" s="331"/>
      <c r="C161" s="331"/>
      <c r="D161" s="331"/>
      <c r="E161" s="236"/>
      <c r="F161" s="236"/>
      <c r="G161" s="236"/>
      <c r="H161" s="11"/>
      <c r="J161" s="221"/>
      <c r="K161" s="331"/>
      <c r="L161" s="331"/>
      <c r="M161" s="331"/>
      <c r="N161" s="236"/>
      <c r="O161" s="236"/>
      <c r="P161" s="236"/>
      <c r="Q161" s="11"/>
      <c r="S161" s="221"/>
      <c r="T161" s="331"/>
      <c r="U161" s="331"/>
      <c r="V161" s="331"/>
      <c r="W161" s="236"/>
      <c r="X161" s="236"/>
      <c r="Y161" s="236"/>
      <c r="Z161" s="11"/>
      <c r="AB161" s="221"/>
      <c r="AC161" s="331"/>
      <c r="AD161" s="331"/>
      <c r="AE161" s="331"/>
      <c r="AF161" s="236"/>
      <c r="AG161" s="236"/>
      <c r="AH161" s="236"/>
      <c r="AI161" s="11"/>
    </row>
    <row r="162" customFormat="false" ht="22.05" hidden="false" customHeight="false" outlineLevel="0" collapsed="false">
      <c r="A162" s="240" t="s">
        <v>247</v>
      </c>
      <c r="B162" s="240"/>
      <c r="C162" s="240"/>
      <c r="D162" s="240"/>
      <c r="E162" s="240"/>
      <c r="F162" s="240"/>
      <c r="G162" s="240"/>
      <c r="H162" s="240"/>
      <c r="J162" s="240" t="s">
        <v>247</v>
      </c>
      <c r="K162" s="240"/>
      <c r="L162" s="240"/>
      <c r="M162" s="240"/>
      <c r="N162" s="240"/>
      <c r="O162" s="240"/>
      <c r="P162" s="240"/>
      <c r="Q162" s="240"/>
      <c r="S162" s="240" t="s">
        <v>247</v>
      </c>
      <c r="T162" s="240"/>
      <c r="U162" s="240"/>
      <c r="V162" s="240"/>
      <c r="W162" s="240"/>
      <c r="X162" s="240"/>
      <c r="Y162" s="240"/>
      <c r="Z162" s="240"/>
      <c r="AB162" s="240" t="s">
        <v>247</v>
      </c>
      <c r="AC162" s="240"/>
      <c r="AD162" s="240"/>
      <c r="AE162" s="240"/>
      <c r="AF162" s="240"/>
      <c r="AG162" s="240"/>
      <c r="AH162" s="240"/>
      <c r="AI162" s="240"/>
    </row>
    <row r="163" customFormat="false" ht="17.35" hidden="false" customHeight="false" outlineLevel="0" collapsed="false">
      <c r="A163" s="221"/>
      <c r="B163" s="331"/>
      <c r="C163" s="331"/>
      <c r="D163" s="331"/>
      <c r="E163" s="236"/>
      <c r="F163" s="236"/>
      <c r="G163" s="236"/>
      <c r="H163" s="11"/>
      <c r="J163" s="221"/>
      <c r="K163" s="331"/>
      <c r="L163" s="331"/>
      <c r="M163" s="331"/>
      <c r="N163" s="236"/>
      <c r="O163" s="236"/>
      <c r="P163" s="236"/>
      <c r="Q163" s="11"/>
      <c r="S163" s="221"/>
      <c r="T163" s="331"/>
      <c r="U163" s="331"/>
      <c r="V163" s="331"/>
      <c r="W163" s="236"/>
      <c r="X163" s="236"/>
      <c r="Y163" s="236"/>
      <c r="Z163" s="11"/>
      <c r="AB163" s="221"/>
      <c r="AC163" s="331"/>
      <c r="AD163" s="331"/>
      <c r="AE163" s="331"/>
      <c r="AF163" s="236"/>
      <c r="AG163" s="236"/>
      <c r="AH163" s="236"/>
      <c r="AI163" s="11"/>
    </row>
    <row r="164" customFormat="false" ht="17.35" hidden="false" customHeight="false" outlineLevel="0" collapsed="false">
      <c r="A164" s="221" t="s">
        <v>145</v>
      </c>
      <c r="B164" s="117" t="n">
        <v>0</v>
      </c>
      <c r="C164" s="117"/>
      <c r="D164" s="331"/>
      <c r="E164" s="236"/>
      <c r="F164" s="236"/>
      <c r="G164" s="236"/>
      <c r="H164" s="11"/>
      <c r="J164" s="221" t="s">
        <v>145</v>
      </c>
      <c r="K164" s="117" t="n">
        <v>0</v>
      </c>
      <c r="L164" s="117"/>
      <c r="M164" s="331"/>
      <c r="N164" s="236"/>
      <c r="O164" s="236"/>
      <c r="P164" s="236"/>
      <c r="Q164" s="11"/>
      <c r="S164" s="221" t="s">
        <v>145</v>
      </c>
      <c r="T164" s="117" t="n">
        <v>0</v>
      </c>
      <c r="U164" s="117"/>
      <c r="V164" s="331"/>
      <c r="W164" s="236"/>
      <c r="X164" s="236"/>
      <c r="Y164" s="236"/>
      <c r="Z164" s="11"/>
      <c r="AB164" s="221" t="s">
        <v>145</v>
      </c>
      <c r="AC164" s="117" t="n">
        <v>0</v>
      </c>
      <c r="AD164" s="117"/>
      <c r="AE164" s="331"/>
      <c r="AF164" s="236"/>
      <c r="AG164" s="236"/>
      <c r="AH164" s="236"/>
      <c r="AI164" s="11"/>
    </row>
    <row r="165" customFormat="false" ht="17.35" hidden="false" customHeight="false" outlineLevel="0" collapsed="false">
      <c r="A165" s="221"/>
      <c r="B165" s="331"/>
      <c r="C165" s="331"/>
      <c r="D165" s="331"/>
      <c r="E165" s="236"/>
      <c r="F165" s="236"/>
      <c r="G165" s="236"/>
      <c r="H165" s="11"/>
      <c r="J165" s="221"/>
      <c r="K165" s="331"/>
      <c r="L165" s="331"/>
      <c r="M165" s="331"/>
      <c r="N165" s="236"/>
      <c r="O165" s="236"/>
      <c r="P165" s="236"/>
      <c r="Q165" s="11"/>
      <c r="S165" s="221"/>
      <c r="T165" s="331"/>
      <c r="U165" s="331"/>
      <c r="V165" s="331"/>
      <c r="W165" s="236"/>
      <c r="X165" s="236"/>
      <c r="Y165" s="236"/>
      <c r="Z165" s="11"/>
      <c r="AB165" s="221"/>
      <c r="AC165" s="331"/>
      <c r="AD165" s="331"/>
      <c r="AE165" s="331"/>
      <c r="AF165" s="236"/>
      <c r="AG165" s="236"/>
      <c r="AH165" s="236"/>
      <c r="AI165" s="11"/>
    </row>
    <row r="166" customFormat="false" ht="17.35" hidden="false" customHeight="false" outlineLevel="0" collapsed="false">
      <c r="A166" s="321" t="s">
        <v>248</v>
      </c>
      <c r="B166" s="361" t="s">
        <v>249</v>
      </c>
      <c r="C166" s="361"/>
      <c r="D166" s="361"/>
      <c r="E166" s="361" t="s">
        <v>250</v>
      </c>
      <c r="F166" s="236"/>
      <c r="G166" s="236"/>
      <c r="H166" s="11"/>
      <c r="J166" s="321" t="s">
        <v>248</v>
      </c>
      <c r="K166" s="361" t="s">
        <v>249</v>
      </c>
      <c r="L166" s="361"/>
      <c r="M166" s="361"/>
      <c r="N166" s="361" t="s">
        <v>250</v>
      </c>
      <c r="O166" s="236"/>
      <c r="P166" s="236"/>
      <c r="Q166" s="11"/>
      <c r="S166" s="321" t="s">
        <v>248</v>
      </c>
      <c r="T166" s="361" t="s">
        <v>249</v>
      </c>
      <c r="U166" s="361"/>
      <c r="V166" s="361"/>
      <c r="W166" s="361" t="s">
        <v>250</v>
      </c>
      <c r="X166" s="236"/>
      <c r="Y166" s="236"/>
      <c r="Z166" s="11"/>
      <c r="AB166" s="321" t="s">
        <v>248</v>
      </c>
      <c r="AC166" s="361" t="s">
        <v>249</v>
      </c>
      <c r="AD166" s="361"/>
      <c r="AE166" s="361"/>
      <c r="AF166" s="361" t="s">
        <v>250</v>
      </c>
      <c r="AG166" s="236"/>
      <c r="AH166" s="236"/>
      <c r="AI166" s="11"/>
    </row>
    <row r="167" customFormat="false" ht="17.35" hidden="false" customHeight="false" outlineLevel="0" collapsed="false">
      <c r="A167" s="323" t="n">
        <f aca="false">B95</f>
        <v>1401.49987807535</v>
      </c>
      <c r="B167" s="214" t="str">
        <f aca="false">B94</f>
        <v>0</v>
      </c>
      <c r="C167" s="361"/>
      <c r="D167" s="361"/>
      <c r="E167" s="214" t="n">
        <f aca="false">B96</f>
        <v>1401.49987807535</v>
      </c>
      <c r="F167" s="236"/>
      <c r="G167" s="236"/>
      <c r="H167" s="11"/>
      <c r="J167" s="323" t="n">
        <f aca="false">K95</f>
        <v>1477.31306457009</v>
      </c>
      <c r="K167" s="214" t="n">
        <f aca="false">K94</f>
        <v>0</v>
      </c>
      <c r="L167" s="361"/>
      <c r="M167" s="361"/>
      <c r="N167" s="214" t="n">
        <f aca="false">K96</f>
        <v>1477.31306457009</v>
      </c>
      <c r="O167" s="236"/>
      <c r="P167" s="236"/>
      <c r="Q167" s="11"/>
      <c r="S167" s="323" t="n">
        <f aca="false">T95</f>
        <v>1408.20027188803</v>
      </c>
      <c r="T167" s="214" t="n">
        <f aca="false">T94</f>
        <v>0</v>
      </c>
      <c r="U167" s="361"/>
      <c r="V167" s="361"/>
      <c r="W167" s="214" t="n">
        <f aca="false">T96</f>
        <v>1408.20027188803</v>
      </c>
      <c r="X167" s="236"/>
      <c r="Y167" s="236"/>
      <c r="Z167" s="11"/>
      <c r="AB167" s="323" t="n">
        <f aca="false">AC95</f>
        <v>927.687248290581</v>
      </c>
      <c r="AC167" s="214" t="n">
        <f aca="false">AC94</f>
        <v>0</v>
      </c>
      <c r="AD167" s="361"/>
      <c r="AE167" s="361"/>
      <c r="AF167" s="214" t="n">
        <f aca="false">AC96</f>
        <v>927.687248290581</v>
      </c>
      <c r="AG167" s="236"/>
      <c r="AH167" s="236"/>
      <c r="AI167" s="11"/>
    </row>
    <row r="168" customFormat="false" ht="17.35" hidden="false" customHeight="false" outlineLevel="0" collapsed="false">
      <c r="A168" s="221"/>
      <c r="B168" s="331"/>
      <c r="C168" s="331"/>
      <c r="D168" s="331"/>
      <c r="E168" s="236"/>
      <c r="F168" s="236"/>
      <c r="G168" s="236"/>
      <c r="H168" s="11"/>
      <c r="J168" s="221"/>
      <c r="K168" s="331"/>
      <c r="L168" s="331"/>
      <c r="M168" s="331"/>
      <c r="N168" s="236"/>
      <c r="O168" s="236"/>
      <c r="P168" s="236"/>
      <c r="Q168" s="11"/>
      <c r="S168" s="221"/>
      <c r="T168" s="331"/>
      <c r="U168" s="331"/>
      <c r="V168" s="331"/>
      <c r="W168" s="236"/>
      <c r="X168" s="236"/>
      <c r="Y168" s="236"/>
      <c r="Z168" s="11"/>
      <c r="AB168" s="221"/>
      <c r="AC168" s="331"/>
      <c r="AD168" s="331"/>
      <c r="AE168" s="331"/>
      <c r="AF168" s="236"/>
      <c r="AG168" s="236"/>
      <c r="AH168" s="236"/>
      <c r="AI168" s="11"/>
    </row>
    <row r="169" customFormat="false" ht="17.35" hidden="false" customHeight="false" outlineLevel="0" collapsed="false">
      <c r="A169" s="221" t="s">
        <v>81</v>
      </c>
      <c r="B169" s="331" t="s">
        <v>82</v>
      </c>
      <c r="C169" s="331"/>
      <c r="D169" s="236"/>
      <c r="E169" s="331" t="s">
        <v>251</v>
      </c>
      <c r="F169" s="236"/>
      <c r="G169" s="236"/>
      <c r="H169" s="11"/>
      <c r="J169" s="221" t="s">
        <v>81</v>
      </c>
      <c r="K169" s="331" t="s">
        <v>82</v>
      </c>
      <c r="L169" s="331"/>
      <c r="M169" s="236"/>
      <c r="N169" s="331" t="s">
        <v>251</v>
      </c>
      <c r="O169" s="236"/>
      <c r="P169" s="236"/>
      <c r="Q169" s="11"/>
      <c r="S169" s="221" t="s">
        <v>81</v>
      </c>
      <c r="T169" s="331" t="s">
        <v>82</v>
      </c>
      <c r="U169" s="331"/>
      <c r="V169" s="236"/>
      <c r="W169" s="331" t="s">
        <v>251</v>
      </c>
      <c r="X169" s="236"/>
      <c r="Y169" s="236"/>
      <c r="Z169" s="11"/>
      <c r="AB169" s="221" t="s">
        <v>81</v>
      </c>
      <c r="AC169" s="331" t="s">
        <v>82</v>
      </c>
      <c r="AD169" s="331"/>
      <c r="AE169" s="236"/>
      <c r="AF169" s="331" t="s">
        <v>251</v>
      </c>
      <c r="AG169" s="236"/>
      <c r="AH169" s="236"/>
      <c r="AI169" s="11"/>
    </row>
    <row r="170" customFormat="false" ht="17.35" hidden="false" customHeight="false" outlineLevel="0" collapsed="false">
      <c r="A170" s="324" t="n">
        <f aca="false">B29</f>
        <v>0</v>
      </c>
      <c r="B170" s="161" t="str">
        <f aca="false">B30</f>
        <v>0</v>
      </c>
      <c r="C170" s="362"/>
      <c r="D170" s="236"/>
      <c r="E170" s="60" t="n">
        <f aca="false">IF(A111="YES",A40, 0)</f>
        <v>27500</v>
      </c>
      <c r="F170" s="236"/>
      <c r="G170" s="236"/>
      <c r="H170" s="11"/>
      <c r="J170" s="324" t="n">
        <f aca="false">K29</f>
        <v>36</v>
      </c>
      <c r="K170" s="161" t="n">
        <f aca="false">K30</f>
        <v>10000</v>
      </c>
      <c r="L170" s="362"/>
      <c r="M170" s="236"/>
      <c r="N170" s="60" t="n">
        <f aca="false">IF(A111="YES", A40, 0)</f>
        <v>27500</v>
      </c>
      <c r="O170" s="236"/>
      <c r="P170" s="236"/>
      <c r="Q170" s="11"/>
      <c r="S170" s="324" t="n">
        <f aca="false">K29</f>
        <v>36</v>
      </c>
      <c r="T170" s="161" t="n">
        <f aca="false">K30</f>
        <v>10000</v>
      </c>
      <c r="U170" s="362"/>
      <c r="V170" s="236"/>
      <c r="W170" s="60" t="n">
        <f aca="false">IF(A111="YES", A40, 0)</f>
        <v>27500</v>
      </c>
      <c r="X170" s="236"/>
      <c r="Y170" s="236"/>
      <c r="Z170" s="11"/>
      <c r="AB170" s="324" t="n">
        <f aca="false">K29</f>
        <v>36</v>
      </c>
      <c r="AC170" s="161" t="n">
        <f aca="false">K30</f>
        <v>10000</v>
      </c>
      <c r="AD170" s="362"/>
      <c r="AE170" s="236"/>
      <c r="AF170" s="60" t="n">
        <f aca="false">IF(A111="YES", A40, 0)</f>
        <v>27500</v>
      </c>
      <c r="AG170" s="236"/>
      <c r="AH170" s="236"/>
      <c r="AI170" s="11"/>
    </row>
    <row r="171" customFormat="false" ht="17.35" hidden="false" customHeight="false" outlineLevel="0" collapsed="false">
      <c r="A171" s="221"/>
      <c r="B171" s="331"/>
      <c r="C171" s="331"/>
      <c r="D171" s="236"/>
      <c r="E171" s="331"/>
      <c r="F171" s="236"/>
      <c r="G171" s="236"/>
      <c r="H171" s="11"/>
      <c r="J171" s="221"/>
      <c r="K171" s="331"/>
      <c r="L171" s="331"/>
      <c r="M171" s="236"/>
      <c r="N171" s="331"/>
      <c r="O171" s="236"/>
      <c r="P171" s="236"/>
      <c r="Q171" s="11"/>
      <c r="S171" s="221"/>
      <c r="T171" s="331"/>
      <c r="U171" s="331"/>
      <c r="V171" s="236"/>
      <c r="W171" s="331"/>
      <c r="X171" s="236"/>
      <c r="Y171" s="236"/>
      <c r="Z171" s="11"/>
      <c r="AB171" s="221"/>
      <c r="AC171" s="331"/>
      <c r="AD171" s="331"/>
      <c r="AE171" s="236"/>
      <c r="AF171" s="331"/>
      <c r="AG171" s="236"/>
      <c r="AH171" s="236"/>
      <c r="AI171" s="11"/>
    </row>
    <row r="172" customFormat="false" ht="17.35" hidden="false" customHeight="false" outlineLevel="0" collapsed="false">
      <c r="A172" s="221" t="s">
        <v>252</v>
      </c>
      <c r="B172" s="331" t="s">
        <v>253</v>
      </c>
      <c r="C172" s="331"/>
      <c r="D172" s="236"/>
      <c r="E172" s="331" t="s">
        <v>254</v>
      </c>
      <c r="F172" s="236"/>
      <c r="G172" s="236"/>
      <c r="H172" s="11"/>
      <c r="J172" s="221" t="s">
        <v>252</v>
      </c>
      <c r="K172" s="331" t="s">
        <v>253</v>
      </c>
      <c r="L172" s="331"/>
      <c r="M172" s="236"/>
      <c r="N172" s="331" t="s">
        <v>254</v>
      </c>
      <c r="O172" s="236"/>
      <c r="P172" s="236"/>
      <c r="Q172" s="11"/>
      <c r="S172" s="221" t="s">
        <v>252</v>
      </c>
      <c r="T172" s="331" t="s">
        <v>253</v>
      </c>
      <c r="U172" s="331"/>
      <c r="V172" s="236"/>
      <c r="W172" s="331" t="s">
        <v>254</v>
      </c>
      <c r="X172" s="236"/>
      <c r="Y172" s="236"/>
      <c r="Z172" s="11"/>
      <c r="AB172" s="221" t="s">
        <v>252</v>
      </c>
      <c r="AC172" s="331" t="s">
        <v>253</v>
      </c>
      <c r="AD172" s="331"/>
      <c r="AE172" s="236"/>
      <c r="AF172" s="331" t="s">
        <v>254</v>
      </c>
      <c r="AG172" s="236"/>
      <c r="AH172" s="236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5" t="n">
        <f aca="false">H137</f>
        <v>9647.5</v>
      </c>
      <c r="C173" s="363"/>
      <c r="D173" s="236"/>
      <c r="E173" s="60" t="n">
        <f aca="false">H139+H140</f>
        <v>640</v>
      </c>
      <c r="F173" s="236"/>
      <c r="G173" s="236"/>
      <c r="H173" s="11"/>
      <c r="J173" s="125" t="n">
        <f aca="false">Q141-Q137-Q139-Q140</f>
        <v>30012.5</v>
      </c>
      <c r="K173" s="215" t="n">
        <f aca="false">Q137</f>
        <v>6002.5</v>
      </c>
      <c r="L173" s="363"/>
      <c r="M173" s="236"/>
      <c r="N173" s="60" t="n">
        <f aca="false">Q139+Q140</f>
        <v>640</v>
      </c>
      <c r="O173" s="236"/>
      <c r="P173" s="236"/>
      <c r="Q173" s="11"/>
      <c r="S173" s="125" t="n">
        <f aca="false">Z141-Z137-Z139-Z140</f>
        <v>48120.364575</v>
      </c>
      <c r="T173" s="215" t="n">
        <f aca="false">Z137</f>
        <v>9624.072915</v>
      </c>
      <c r="U173" s="363"/>
      <c r="V173" s="236"/>
      <c r="W173" s="60" t="n">
        <f aca="false">Z139+Z140</f>
        <v>640</v>
      </c>
      <c r="X173" s="236"/>
      <c r="Y173" s="236"/>
      <c r="Z173" s="11"/>
      <c r="AB173" s="125" t="n">
        <f aca="false">AI141-AI137-AI139-AI140</f>
        <v>36523.9575</v>
      </c>
      <c r="AC173" s="215" t="n">
        <f aca="false">AI137</f>
        <v>7304.7915</v>
      </c>
      <c r="AD173" s="363"/>
      <c r="AE173" s="236"/>
      <c r="AF173" s="60" t="n">
        <f aca="false">AI139+AI140</f>
        <v>640</v>
      </c>
      <c r="AG173" s="236"/>
      <c r="AH173" s="236"/>
      <c r="AI173" s="11"/>
    </row>
    <row r="174" customFormat="false" ht="17.35" hidden="false" customHeight="false" outlineLevel="0" collapsed="false">
      <c r="A174" s="221"/>
      <c r="B174" s="331"/>
      <c r="C174" s="331"/>
      <c r="D174" s="236"/>
      <c r="E174" s="331"/>
      <c r="F174" s="236"/>
      <c r="G174" s="236"/>
      <c r="H174" s="11"/>
      <c r="J174" s="221"/>
      <c r="K174" s="331"/>
      <c r="L174" s="331"/>
      <c r="M174" s="236"/>
      <c r="N174" s="331"/>
      <c r="O174" s="236"/>
      <c r="P174" s="236"/>
      <c r="Q174" s="11"/>
      <c r="S174" s="221"/>
      <c r="T174" s="331"/>
      <c r="U174" s="331"/>
      <c r="V174" s="236"/>
      <c r="W174" s="331"/>
      <c r="X174" s="236"/>
      <c r="Y174" s="236"/>
      <c r="Z174" s="11"/>
      <c r="AB174" s="221"/>
      <c r="AC174" s="331"/>
      <c r="AD174" s="331"/>
      <c r="AE174" s="236"/>
      <c r="AF174" s="331"/>
      <c r="AG174" s="236"/>
      <c r="AH174" s="236"/>
      <c r="AI174" s="11"/>
    </row>
    <row r="175" customFormat="false" ht="17.35" hidden="false" customHeight="false" outlineLevel="0" collapsed="false">
      <c r="A175" s="221" t="s">
        <v>255</v>
      </c>
      <c r="B175" s="331" t="s">
        <v>142</v>
      </c>
      <c r="C175" s="331"/>
      <c r="D175" s="236"/>
      <c r="E175" s="331" t="s">
        <v>231</v>
      </c>
      <c r="F175" s="236"/>
      <c r="G175" s="236"/>
      <c r="H175" s="11"/>
      <c r="J175" s="221" t="s">
        <v>255</v>
      </c>
      <c r="K175" s="331" t="s">
        <v>142</v>
      </c>
      <c r="L175" s="331"/>
      <c r="M175" s="236"/>
      <c r="N175" s="331" t="s">
        <v>231</v>
      </c>
      <c r="O175" s="236"/>
      <c r="P175" s="236"/>
      <c r="Q175" s="11"/>
      <c r="S175" s="221" t="s">
        <v>255</v>
      </c>
      <c r="T175" s="331" t="s">
        <v>142</v>
      </c>
      <c r="U175" s="331"/>
      <c r="V175" s="236"/>
      <c r="W175" s="331" t="s">
        <v>231</v>
      </c>
      <c r="X175" s="236"/>
      <c r="Y175" s="236"/>
      <c r="Z175" s="11"/>
      <c r="AB175" s="221" t="s">
        <v>255</v>
      </c>
      <c r="AC175" s="331" t="s">
        <v>142</v>
      </c>
      <c r="AD175" s="331"/>
      <c r="AE175" s="236"/>
      <c r="AF175" s="331" t="s">
        <v>231</v>
      </c>
      <c r="AG175" s="236"/>
      <c r="AH175" s="236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5" t="n">
        <f aca="false">B111</f>
        <v>0</v>
      </c>
      <c r="C176" s="215"/>
      <c r="D176" s="236"/>
      <c r="E176" s="215" t="n">
        <f aca="false">E111</f>
        <v>0</v>
      </c>
      <c r="F176" s="236"/>
      <c r="G176" s="236"/>
      <c r="H176" s="130"/>
      <c r="J176" s="125" t="n">
        <f aca="false">Q141</f>
        <v>36655</v>
      </c>
      <c r="K176" s="215" t="n">
        <f aca="false">K111</f>
        <v>1000</v>
      </c>
      <c r="L176" s="215"/>
      <c r="M176" s="236"/>
      <c r="N176" s="215" t="n">
        <f aca="false">N111</f>
        <v>0</v>
      </c>
      <c r="O176" s="236"/>
      <c r="P176" s="236"/>
      <c r="Q176" s="130"/>
      <c r="S176" s="125" t="n">
        <f aca="false">Z141</f>
        <v>58384.43749</v>
      </c>
      <c r="T176" s="215" t="n">
        <f aca="false">T111</f>
        <v>1000</v>
      </c>
      <c r="U176" s="215"/>
      <c r="V176" s="236"/>
      <c r="W176" s="215" t="n">
        <f aca="false">W111</f>
        <v>0</v>
      </c>
      <c r="X176" s="236"/>
      <c r="Y176" s="236"/>
      <c r="Z176" s="130"/>
      <c r="AB176" s="125" t="n">
        <f aca="false">AI141</f>
        <v>44468.749</v>
      </c>
      <c r="AC176" s="215" t="n">
        <f aca="false">AC111</f>
        <v>1000</v>
      </c>
      <c r="AD176" s="215"/>
      <c r="AE176" s="236"/>
      <c r="AF176" s="215" t="n">
        <f aca="false">AF111</f>
        <v>0</v>
      </c>
      <c r="AG176" s="236"/>
      <c r="AH176" s="236"/>
      <c r="AI176" s="130"/>
    </row>
    <row r="177" customFormat="false" ht="17.35" hidden="false" customHeight="false" outlineLevel="0" collapsed="false">
      <c r="A177" s="221"/>
      <c r="B177" s="331"/>
      <c r="C177" s="331"/>
      <c r="D177" s="236"/>
      <c r="E177" s="331"/>
      <c r="F177" s="236"/>
      <c r="G177" s="236"/>
      <c r="H177" s="11"/>
      <c r="J177" s="221"/>
      <c r="K177" s="331"/>
      <c r="L177" s="331"/>
      <c r="M177" s="236"/>
      <c r="N177" s="331"/>
      <c r="O177" s="236"/>
      <c r="P177" s="236"/>
      <c r="Q177" s="11"/>
      <c r="S177" s="221"/>
      <c r="T177" s="331"/>
      <c r="U177" s="331"/>
      <c r="V177" s="236"/>
      <c r="W177" s="331"/>
      <c r="X177" s="236"/>
      <c r="Y177" s="236"/>
      <c r="Z177" s="11"/>
      <c r="AB177" s="221"/>
      <c r="AC177" s="331"/>
      <c r="AD177" s="331"/>
      <c r="AE177" s="236"/>
      <c r="AF177" s="331"/>
      <c r="AG177" s="236"/>
      <c r="AH177" s="236"/>
      <c r="AI177" s="11"/>
    </row>
    <row r="178" customFormat="false" ht="17.35" hidden="false" customHeight="false" outlineLevel="0" collapsed="false">
      <c r="A178" s="221" t="s">
        <v>232</v>
      </c>
      <c r="B178" s="331" t="s">
        <v>138</v>
      </c>
      <c r="C178" s="331"/>
      <c r="D178" s="236"/>
      <c r="E178" s="331" t="s">
        <v>246</v>
      </c>
      <c r="F178" s="236"/>
      <c r="G178" s="236"/>
      <c r="H178" s="11"/>
      <c r="J178" s="221" t="s">
        <v>232</v>
      </c>
      <c r="K178" s="331" t="s">
        <v>138</v>
      </c>
      <c r="L178" s="331"/>
      <c r="M178" s="236"/>
      <c r="N178" s="331" t="s">
        <v>246</v>
      </c>
      <c r="O178" s="236"/>
      <c r="P178" s="236"/>
      <c r="Q178" s="11"/>
      <c r="S178" s="221" t="s">
        <v>232</v>
      </c>
      <c r="T178" s="331" t="s">
        <v>138</v>
      </c>
      <c r="U178" s="331"/>
      <c r="V178" s="236"/>
      <c r="W178" s="331" t="s">
        <v>246</v>
      </c>
      <c r="X178" s="236"/>
      <c r="Y178" s="236"/>
      <c r="Z178" s="11"/>
      <c r="AB178" s="221" t="s">
        <v>232</v>
      </c>
      <c r="AC178" s="331" t="s">
        <v>138</v>
      </c>
      <c r="AD178" s="331"/>
      <c r="AE178" s="236"/>
      <c r="AF178" s="331" t="s">
        <v>246</v>
      </c>
      <c r="AG178" s="236"/>
      <c r="AH178" s="236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5" t="n">
        <f aca="false">G154</f>
        <v>0</v>
      </c>
      <c r="C179" s="215"/>
      <c r="D179" s="236"/>
      <c r="E179" s="215" t="n">
        <f aca="false">A176-A179-B179</f>
        <v>58525</v>
      </c>
      <c r="F179" s="236"/>
      <c r="G179" s="236"/>
      <c r="H179" s="130"/>
      <c r="J179" s="129" t="n">
        <f aca="false">K176+N176</f>
        <v>1000</v>
      </c>
      <c r="K179" s="215" t="n">
        <f aca="false">P154</f>
        <v>-2000</v>
      </c>
      <c r="L179" s="215"/>
      <c r="M179" s="236"/>
      <c r="N179" s="215" t="n">
        <f aca="false">J176-J179-K179</f>
        <v>37655</v>
      </c>
      <c r="O179" s="236"/>
      <c r="P179" s="236"/>
      <c r="Q179" s="130"/>
      <c r="S179" s="129" t="n">
        <f aca="false">T176+W176</f>
        <v>1000</v>
      </c>
      <c r="T179" s="215" t="n">
        <f aca="false">Y154</f>
        <v>-2000</v>
      </c>
      <c r="U179" s="215"/>
      <c r="V179" s="236"/>
      <c r="W179" s="215" t="n">
        <f aca="false">S176-S179-T179</f>
        <v>59384.43749</v>
      </c>
      <c r="X179" s="236"/>
      <c r="Y179" s="236"/>
      <c r="Z179" s="130"/>
      <c r="AB179" s="129" t="n">
        <f aca="false">AC176+AF176</f>
        <v>1000</v>
      </c>
      <c r="AC179" s="215" t="n">
        <f aca="false">AH154</f>
        <v>-2000</v>
      </c>
      <c r="AD179" s="215"/>
      <c r="AE179" s="236"/>
      <c r="AF179" s="215" t="n">
        <f aca="false">AB176-AB179-AC179</f>
        <v>45468.749</v>
      </c>
      <c r="AG179" s="236"/>
      <c r="AH179" s="236"/>
      <c r="AI179" s="130"/>
    </row>
    <row r="180" customFormat="false" ht="17.35" hidden="false" customHeight="false" outlineLevel="0" collapsed="false">
      <c r="A180" s="221"/>
      <c r="B180" s="331"/>
      <c r="C180" s="331"/>
      <c r="D180" s="236"/>
      <c r="E180" s="331"/>
      <c r="F180" s="236"/>
      <c r="G180" s="236"/>
      <c r="H180" s="11"/>
      <c r="J180" s="221"/>
      <c r="K180" s="331"/>
      <c r="L180" s="331"/>
      <c r="M180" s="236"/>
      <c r="N180" s="331"/>
      <c r="O180" s="236"/>
      <c r="P180" s="236"/>
      <c r="Q180" s="11"/>
      <c r="S180" s="221"/>
      <c r="T180" s="331"/>
      <c r="U180" s="331"/>
      <c r="V180" s="236"/>
      <c r="W180" s="331"/>
      <c r="X180" s="236"/>
      <c r="Y180" s="236"/>
      <c r="Z180" s="11"/>
      <c r="AB180" s="221"/>
      <c r="AC180" s="331"/>
      <c r="AD180" s="331"/>
      <c r="AE180" s="236"/>
      <c r="AF180" s="331"/>
      <c r="AG180" s="236"/>
      <c r="AH180" s="236"/>
      <c r="AI180" s="11"/>
    </row>
    <row r="181" customFormat="false" ht="17.35" hidden="false" customHeight="false" outlineLevel="0" collapsed="false">
      <c r="A181" s="221" t="s">
        <v>256</v>
      </c>
      <c r="B181" s="331" t="s">
        <v>52</v>
      </c>
      <c r="C181" s="331"/>
      <c r="D181" s="236"/>
      <c r="E181" s="331" t="s">
        <v>257</v>
      </c>
      <c r="F181" s="236"/>
      <c r="G181" s="236"/>
      <c r="H181" s="11"/>
      <c r="J181" s="221" t="s">
        <v>256</v>
      </c>
      <c r="K181" s="331" t="s">
        <v>52</v>
      </c>
      <c r="L181" s="331"/>
      <c r="M181" s="236"/>
      <c r="N181" s="331" t="s">
        <v>257</v>
      </c>
      <c r="O181" s="236"/>
      <c r="P181" s="236"/>
      <c r="Q181" s="11"/>
      <c r="S181" s="221" t="s">
        <v>256</v>
      </c>
      <c r="T181" s="331" t="s">
        <v>52</v>
      </c>
      <c r="U181" s="331"/>
      <c r="V181" s="236"/>
      <c r="W181" s="331" t="s">
        <v>257</v>
      </c>
      <c r="X181" s="236"/>
      <c r="Y181" s="236"/>
      <c r="Z181" s="11"/>
      <c r="AB181" s="221" t="s">
        <v>256</v>
      </c>
      <c r="AC181" s="331" t="s">
        <v>52</v>
      </c>
      <c r="AD181" s="331"/>
      <c r="AE181" s="236"/>
      <c r="AF181" s="331" t="s">
        <v>257</v>
      </c>
      <c r="AG181" s="236"/>
      <c r="AH181" s="236"/>
      <c r="AI181" s="11"/>
    </row>
    <row r="182" customFormat="false" ht="17.35" hidden="false" customHeight="false" outlineLevel="0" collapsed="false">
      <c r="A182" s="129" t="n">
        <f aca="false">(A167*B59)+E185-E179-A185</f>
        <v>18027.4957326372</v>
      </c>
      <c r="B182" s="215" t="str">
        <f aca="false">B114</f>
        <v>199.99</v>
      </c>
      <c r="C182" s="215"/>
      <c r="D182" s="236"/>
      <c r="E182" s="215" t="n">
        <f aca="false">E179+A182+B182+A185</f>
        <v>76762.4857326372</v>
      </c>
      <c r="F182" s="236"/>
      <c r="G182" s="236"/>
      <c r="H182" s="130"/>
      <c r="J182" s="129" t="n">
        <f aca="false">(J167*K59)+N185-N179-J185</f>
        <v>41550.9572599531</v>
      </c>
      <c r="K182" s="215" t="n">
        <f aca="false">K114</f>
        <v>239.99</v>
      </c>
      <c r="L182" s="215"/>
      <c r="M182" s="236"/>
      <c r="N182" s="215" t="n">
        <f aca="false">N179+J182+K182+J185</f>
        <v>79465.9472599531</v>
      </c>
      <c r="O182" s="236"/>
      <c r="P182" s="236"/>
      <c r="Q182" s="130"/>
      <c r="S182" s="129" t="n">
        <f aca="false">(S167*T59)+W185-W179-S185</f>
        <v>17402.5720260811</v>
      </c>
      <c r="T182" s="215" t="n">
        <f aca="false">T114</f>
        <v>199.99</v>
      </c>
      <c r="U182" s="215"/>
      <c r="V182" s="236"/>
      <c r="W182" s="215" t="n">
        <f aca="false">W179+S182+T182+S185</f>
        <v>76996.9995160811</v>
      </c>
      <c r="X182" s="236"/>
      <c r="Y182" s="236"/>
      <c r="Z182" s="130"/>
      <c r="AB182" s="129" t="n">
        <f aca="false">(AB167*AC59)+AF185-AF179-AB185</f>
        <v>14500.3046901703</v>
      </c>
      <c r="AC182" s="215" t="n">
        <f aca="false">AC114</f>
        <v>239.99</v>
      </c>
      <c r="AD182" s="215"/>
      <c r="AE182" s="236"/>
      <c r="AF182" s="215" t="n">
        <f aca="false">AF179+AB182+AC182+AB185</f>
        <v>60219.0436901703</v>
      </c>
      <c r="AG182" s="236"/>
      <c r="AH182" s="236"/>
      <c r="AI182" s="130"/>
    </row>
    <row r="183" customFormat="false" ht="17.35" hidden="false" customHeight="false" outlineLevel="0" collapsed="false">
      <c r="A183" s="221"/>
      <c r="B183" s="331"/>
      <c r="C183" s="331"/>
      <c r="D183" s="236"/>
      <c r="E183" s="331"/>
      <c r="F183" s="236"/>
      <c r="G183" s="236"/>
      <c r="H183" s="11"/>
      <c r="J183" s="221"/>
      <c r="K183" s="331"/>
      <c r="L183" s="331"/>
      <c r="M183" s="236"/>
      <c r="N183" s="331"/>
      <c r="O183" s="236"/>
      <c r="P183" s="236"/>
      <c r="Q183" s="11"/>
      <c r="S183" s="221"/>
      <c r="T183" s="331"/>
      <c r="U183" s="331"/>
      <c r="V183" s="236"/>
      <c r="W183" s="331"/>
      <c r="X183" s="236"/>
      <c r="Y183" s="236"/>
      <c r="Z183" s="11"/>
      <c r="AB183" s="221"/>
      <c r="AC183" s="331"/>
      <c r="AD183" s="331"/>
      <c r="AE183" s="236"/>
      <c r="AF183" s="331"/>
      <c r="AG183" s="236"/>
      <c r="AH183" s="236"/>
      <c r="AI183" s="11"/>
    </row>
    <row r="184" customFormat="false" ht="17.35" hidden="false" customHeight="false" outlineLevel="0" collapsed="false">
      <c r="A184" s="221" t="s">
        <v>258</v>
      </c>
      <c r="B184" s="331" t="s">
        <v>259</v>
      </c>
      <c r="C184" s="331"/>
      <c r="D184" s="236"/>
      <c r="E184" s="331" t="s">
        <v>260</v>
      </c>
      <c r="F184" s="236"/>
      <c r="G184" s="236"/>
      <c r="H184" s="11"/>
      <c r="J184" s="221" t="s">
        <v>258</v>
      </c>
      <c r="K184" s="331" t="s">
        <v>259</v>
      </c>
      <c r="L184" s="331"/>
      <c r="M184" s="236"/>
      <c r="N184" s="331" t="s">
        <v>260</v>
      </c>
      <c r="O184" s="236"/>
      <c r="P184" s="236"/>
      <c r="Q184" s="11"/>
      <c r="S184" s="221" t="s">
        <v>258</v>
      </c>
      <c r="T184" s="331" t="s">
        <v>259</v>
      </c>
      <c r="U184" s="331"/>
      <c r="V184" s="236"/>
      <c r="W184" s="331" t="s">
        <v>260</v>
      </c>
      <c r="X184" s="236"/>
      <c r="Y184" s="236"/>
      <c r="Z184" s="11"/>
      <c r="AB184" s="221" t="s">
        <v>258</v>
      </c>
      <c r="AC184" s="331" t="s">
        <v>259</v>
      </c>
      <c r="AD184" s="331"/>
      <c r="AE184" s="236"/>
      <c r="AF184" s="331" t="s">
        <v>260</v>
      </c>
      <c r="AG184" s="236"/>
      <c r="AH184" s="236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5" t="n">
        <f aca="false">A179+B182</f>
        <v>199.99</v>
      </c>
      <c r="C185" s="215"/>
      <c r="D185" s="236"/>
      <c r="E185" s="215" t="n">
        <f aca="false">E170+A185</f>
        <v>27510</v>
      </c>
      <c r="F185" s="236"/>
      <c r="G185" s="236"/>
      <c r="H185" s="130"/>
      <c r="J185" s="129" t="n">
        <f aca="false">K60</f>
        <v>20</v>
      </c>
      <c r="K185" s="215" t="n">
        <f aca="false">J179+K182</f>
        <v>1239.99</v>
      </c>
      <c r="L185" s="215"/>
      <c r="M185" s="236"/>
      <c r="N185" s="215" t="n">
        <f aca="false">N170+J185</f>
        <v>27520</v>
      </c>
      <c r="O185" s="236"/>
      <c r="P185" s="236"/>
      <c r="Q185" s="130"/>
      <c r="S185" s="129" t="n">
        <f aca="false">T60</f>
        <v>10</v>
      </c>
      <c r="T185" s="215" t="n">
        <f aca="false">S179+T182</f>
        <v>1199.99</v>
      </c>
      <c r="U185" s="215"/>
      <c r="V185" s="236"/>
      <c r="W185" s="215" t="n">
        <f aca="false">W170+S185</f>
        <v>27510</v>
      </c>
      <c r="X185" s="236"/>
      <c r="Y185" s="236"/>
      <c r="Z185" s="130"/>
      <c r="AB185" s="129" t="n">
        <f aca="false">AC60</f>
        <v>10</v>
      </c>
      <c r="AC185" s="215" t="n">
        <f aca="false">AB179+AC182</f>
        <v>1239.99</v>
      </c>
      <c r="AD185" s="215"/>
      <c r="AE185" s="236"/>
      <c r="AF185" s="215" t="n">
        <f aca="false">AF170+AB185</f>
        <v>27510</v>
      </c>
      <c r="AG185" s="236"/>
      <c r="AH185" s="236"/>
      <c r="AI185" s="130"/>
    </row>
    <row r="186" customFormat="false" ht="17.35" hidden="false" customHeight="false" outlineLevel="0" collapsed="false">
      <c r="A186" s="221"/>
      <c r="B186" s="331"/>
      <c r="C186" s="331"/>
      <c r="D186" s="331"/>
      <c r="E186" s="236"/>
      <c r="F186" s="236"/>
      <c r="G186" s="236"/>
      <c r="H186" s="11"/>
      <c r="J186" s="221"/>
      <c r="K186" s="331"/>
      <c r="L186" s="331"/>
      <c r="M186" s="331"/>
      <c r="N186" s="236"/>
      <c r="O186" s="236"/>
      <c r="P186" s="236"/>
      <c r="Q186" s="11"/>
      <c r="S186" s="221"/>
      <c r="T186" s="331"/>
      <c r="U186" s="331"/>
      <c r="V186" s="331"/>
      <c r="W186" s="236"/>
      <c r="X186" s="12"/>
      <c r="Y186" s="12"/>
      <c r="Z186" s="11"/>
      <c r="AB186" s="221"/>
      <c r="AC186" s="331"/>
      <c r="AD186" s="331"/>
      <c r="AE186" s="331"/>
      <c r="AF186" s="236"/>
      <c r="AG186" s="236"/>
      <c r="AH186" s="236"/>
      <c r="AI186" s="11"/>
    </row>
    <row r="187" customFormat="false" ht="17.35" hidden="false" customHeight="false" outlineLevel="0" collapsed="false">
      <c r="A187" s="221" t="s">
        <v>261</v>
      </c>
      <c r="B187" s="331" t="s">
        <v>262</v>
      </c>
      <c r="C187" s="331"/>
      <c r="D187" s="331"/>
      <c r="E187" s="210" t="s">
        <v>263</v>
      </c>
      <c r="F187" s="236"/>
      <c r="G187" s="236"/>
      <c r="H187" s="11"/>
      <c r="J187" s="221" t="s">
        <v>261</v>
      </c>
      <c r="K187" s="331" t="s">
        <v>262</v>
      </c>
      <c r="L187" s="331"/>
      <c r="M187" s="331"/>
      <c r="N187" s="210" t="s">
        <v>263</v>
      </c>
      <c r="O187" s="236"/>
      <c r="P187" s="236"/>
      <c r="Q187" s="11"/>
      <c r="S187" s="221" t="s">
        <v>261</v>
      </c>
      <c r="T187" s="331" t="s">
        <v>262</v>
      </c>
      <c r="U187" s="331"/>
      <c r="V187" s="331"/>
      <c r="W187" s="210" t="s">
        <v>263</v>
      </c>
      <c r="X187" s="12"/>
      <c r="Y187" s="12"/>
      <c r="Z187" s="11"/>
      <c r="AB187" s="221" t="s">
        <v>261</v>
      </c>
      <c r="AC187" s="331" t="s">
        <v>262</v>
      </c>
      <c r="AD187" s="331"/>
      <c r="AE187" s="331"/>
      <c r="AF187" s="210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5" t="n">
        <f aca="false">(G158*B67)/1.2</f>
        <v>182.890625</v>
      </c>
      <c r="C188" s="331"/>
      <c r="D188" s="331"/>
      <c r="E188" s="215" t="n">
        <f aca="false">(E40*A108)*0.1</f>
        <v>0</v>
      </c>
      <c r="F188" s="236"/>
      <c r="G188" s="236"/>
      <c r="H188" s="11"/>
      <c r="J188" s="129" t="n">
        <f aca="false">IF(N105="YES", H15*0.000002, 0)</f>
        <v>0.11705</v>
      </c>
      <c r="K188" s="215" t="n">
        <f aca="false">(P158*K67)/1.2</f>
        <v>2353.4375</v>
      </c>
      <c r="L188" s="331"/>
      <c r="M188" s="331"/>
      <c r="N188" s="215" t="n">
        <f aca="false">(E40*J108)*0.1</f>
        <v>0</v>
      </c>
      <c r="O188" s="236"/>
      <c r="P188" s="236"/>
      <c r="Q188" s="11"/>
      <c r="S188" s="129" t="n">
        <f aca="false">IF(W105="YES", Z15*0.000002, 0)</f>
        <v>0</v>
      </c>
      <c r="T188" s="215" t="n">
        <f aca="false">(Y158*T67)/1.2</f>
        <v>494.870312416667</v>
      </c>
      <c r="U188" s="331"/>
      <c r="V188" s="331"/>
      <c r="W188" s="215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5" t="n">
        <f aca="false">(AH158*AC67)/1.2</f>
        <v>378.906241666667</v>
      </c>
      <c r="AD188" s="331"/>
      <c r="AE188" s="331"/>
      <c r="AF188" s="215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5"/>
      <c r="C189" s="331"/>
      <c r="D189" s="331"/>
      <c r="E189" s="236"/>
      <c r="F189" s="236"/>
      <c r="G189" s="236"/>
      <c r="H189" s="11"/>
      <c r="J189" s="129"/>
      <c r="K189" s="215"/>
      <c r="L189" s="331"/>
      <c r="M189" s="331"/>
      <c r="N189" s="236"/>
      <c r="O189" s="236"/>
      <c r="P189" s="236"/>
      <c r="Q189" s="11"/>
      <c r="S189" s="129"/>
      <c r="T189" s="215"/>
      <c r="U189" s="331"/>
      <c r="V189" s="331"/>
      <c r="W189" s="236"/>
      <c r="X189" s="12"/>
      <c r="Y189" s="12"/>
      <c r="Z189" s="11"/>
      <c r="AB189" s="129"/>
      <c r="AC189" s="215"/>
      <c r="AD189" s="331"/>
      <c r="AE189" s="331"/>
      <c r="AF189" s="236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10" t="s">
        <v>265</v>
      </c>
      <c r="C190" s="331"/>
      <c r="D190" s="331"/>
      <c r="E190" s="210" t="s">
        <v>266</v>
      </c>
      <c r="F190" s="236"/>
      <c r="G190" s="236"/>
      <c r="H190" s="11"/>
      <c r="J190" s="131" t="s">
        <v>264</v>
      </c>
      <c r="K190" s="210" t="s">
        <v>265</v>
      </c>
      <c r="L190" s="331"/>
      <c r="M190" s="331"/>
      <c r="N190" s="210" t="s">
        <v>266</v>
      </c>
      <c r="O190" s="236"/>
      <c r="P190" s="236"/>
      <c r="Q190" s="11"/>
      <c r="S190" s="131" t="s">
        <v>264</v>
      </c>
      <c r="T190" s="210" t="s">
        <v>265</v>
      </c>
      <c r="U190" s="331"/>
      <c r="V190" s="331"/>
      <c r="W190" s="210" t="s">
        <v>266</v>
      </c>
      <c r="X190" s="12"/>
      <c r="Y190" s="12"/>
      <c r="Z190" s="11"/>
      <c r="AB190" s="131" t="s">
        <v>264</v>
      </c>
      <c r="AC190" s="210" t="s">
        <v>265</v>
      </c>
      <c r="AD190" s="331"/>
      <c r="AE190" s="331"/>
      <c r="AF190" s="210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5" t="n">
        <f aca="false">B188+E188+A191</f>
        <v>282.880625</v>
      </c>
      <c r="C191" s="331"/>
      <c r="D191" s="331"/>
      <c r="E191" s="215" t="n">
        <f aca="false">H148</f>
        <v>-21870</v>
      </c>
      <c r="F191" s="236"/>
      <c r="G191" s="236"/>
      <c r="H191" s="11"/>
      <c r="J191" s="129" t="n">
        <f aca="false">K185-100</f>
        <v>1139.99</v>
      </c>
      <c r="K191" s="215" t="n">
        <f aca="false">K188+N188+J191</f>
        <v>3493.4275</v>
      </c>
      <c r="L191" s="331"/>
      <c r="M191" s="331"/>
      <c r="N191" s="215" t="n">
        <f aca="false">Q148</f>
        <v>-21870</v>
      </c>
      <c r="O191" s="236"/>
      <c r="P191" s="236"/>
      <c r="Q191" s="11"/>
      <c r="S191" s="129" t="n">
        <f aca="false">T185-100</f>
        <v>1099.99</v>
      </c>
      <c r="T191" s="215" t="n">
        <f aca="false">T188+W188+S191</f>
        <v>1594.86031241667</v>
      </c>
      <c r="U191" s="331"/>
      <c r="V191" s="331"/>
      <c r="W191" s="215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5" t="n">
        <f aca="false">AC188+AF188+AB191</f>
        <v>1518.89624166667</v>
      </c>
      <c r="AD191" s="331"/>
      <c r="AE191" s="331"/>
      <c r="AF191" s="215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1"/>
      <c r="B192" s="331"/>
      <c r="C192" s="331"/>
      <c r="D192" s="331"/>
      <c r="E192" s="236"/>
      <c r="F192" s="236"/>
      <c r="G192" s="236"/>
      <c r="H192" s="11"/>
      <c r="J192" s="221"/>
      <c r="K192" s="331"/>
      <c r="L192" s="331"/>
      <c r="M192" s="331"/>
      <c r="N192" s="236"/>
      <c r="O192" s="236"/>
      <c r="P192" s="236"/>
      <c r="Q192" s="11"/>
      <c r="S192" s="221"/>
      <c r="T192" s="331"/>
      <c r="U192" s="331"/>
      <c r="V192" s="331"/>
      <c r="W192" s="236"/>
      <c r="X192" s="236"/>
      <c r="Y192" s="236"/>
      <c r="Z192" s="11"/>
      <c r="AB192" s="221"/>
      <c r="AC192" s="331"/>
      <c r="AD192" s="331"/>
      <c r="AE192" s="331"/>
      <c r="AF192" s="236"/>
      <c r="AG192" s="236"/>
      <c r="AH192" s="236"/>
      <c r="AI192" s="11"/>
    </row>
    <row r="193" customFormat="false" ht="17.35" hidden="false" customHeight="false" outlineLevel="0" collapsed="false">
      <c r="A193" s="254" t="s">
        <v>267</v>
      </c>
      <c r="B193" s="331"/>
      <c r="C193" s="331"/>
      <c r="D193" s="255"/>
      <c r="E193" s="255"/>
      <c r="F193" s="255"/>
      <c r="G193" s="255"/>
      <c r="H193" s="256"/>
      <c r="J193" s="254" t="s">
        <v>267</v>
      </c>
      <c r="K193" s="331"/>
      <c r="L193" s="331"/>
      <c r="M193" s="255"/>
      <c r="N193" s="255"/>
      <c r="O193" s="255"/>
      <c r="P193" s="255"/>
      <c r="Q193" s="256"/>
      <c r="S193" s="254" t="s">
        <v>267</v>
      </c>
      <c r="T193" s="331"/>
      <c r="U193" s="331"/>
      <c r="V193" s="255"/>
      <c r="W193" s="255"/>
      <c r="X193" s="255"/>
      <c r="Y193" s="255"/>
      <c r="Z193" s="256"/>
      <c r="AB193" s="254" t="s">
        <v>267</v>
      </c>
      <c r="AC193" s="331"/>
      <c r="AD193" s="331"/>
      <c r="AE193" s="255"/>
      <c r="AF193" s="255"/>
      <c r="AG193" s="255"/>
      <c r="AH193" s="255"/>
      <c r="AI193" s="256"/>
    </row>
    <row r="194" customFormat="false" ht="17.35" hidden="false" customHeight="false" outlineLevel="0" collapsed="false">
      <c r="A194" s="221"/>
      <c r="B194" s="257"/>
      <c r="C194" s="257"/>
      <c r="D194" s="331"/>
      <c r="E194" s="236"/>
      <c r="F194" s="236"/>
      <c r="G194" s="236"/>
      <c r="H194" s="11"/>
      <c r="J194" s="221"/>
      <c r="K194" s="257"/>
      <c r="L194" s="257"/>
      <c r="M194" s="331"/>
      <c r="N194" s="236"/>
      <c r="O194" s="236"/>
      <c r="P194" s="236"/>
      <c r="Q194" s="11"/>
      <c r="S194" s="221"/>
      <c r="T194" s="257"/>
      <c r="U194" s="257"/>
      <c r="V194" s="331"/>
      <c r="W194" s="236"/>
      <c r="X194" s="236"/>
      <c r="Y194" s="236"/>
      <c r="Z194" s="11"/>
      <c r="AB194" s="221"/>
      <c r="AC194" s="257"/>
      <c r="AD194" s="257"/>
      <c r="AE194" s="331"/>
      <c r="AF194" s="236"/>
      <c r="AG194" s="236"/>
      <c r="AH194" s="236"/>
      <c r="AI194" s="11"/>
    </row>
    <row r="195" customFormat="false" ht="19.7" hidden="false" customHeight="false" outlineLevel="0" collapsed="false">
      <c r="A195" s="326" t="s">
        <v>81</v>
      </c>
      <c r="B195" s="259" t="s">
        <v>82</v>
      </c>
      <c r="C195" s="259"/>
      <c r="D195" s="259"/>
      <c r="E195" s="236"/>
      <c r="F195" s="236"/>
      <c r="G195" s="236"/>
      <c r="H195" s="11"/>
      <c r="J195" s="326" t="s">
        <v>81</v>
      </c>
      <c r="K195" s="259" t="s">
        <v>82</v>
      </c>
      <c r="L195" s="259"/>
      <c r="M195" s="259"/>
      <c r="N195" s="236"/>
      <c r="O195" s="236"/>
      <c r="P195" s="236"/>
      <c r="Q195" s="11"/>
      <c r="S195" s="326" t="s">
        <v>81</v>
      </c>
      <c r="T195" s="259" t="s">
        <v>82</v>
      </c>
      <c r="U195" s="259"/>
      <c r="V195" s="259"/>
      <c r="W195" s="236"/>
      <c r="X195" s="236"/>
      <c r="Y195" s="236"/>
      <c r="Z195" s="11"/>
      <c r="AB195" s="326" t="s">
        <v>81</v>
      </c>
      <c r="AC195" s="259" t="s">
        <v>82</v>
      </c>
      <c r="AD195" s="259"/>
      <c r="AE195" s="259"/>
      <c r="AF195" s="236"/>
      <c r="AG195" s="236"/>
      <c r="AH195" s="236"/>
      <c r="AI195" s="11"/>
    </row>
    <row r="196" customFormat="false" ht="19.5" hidden="false" customHeight="true" outlineLevel="0" collapsed="false">
      <c r="A196" s="326"/>
      <c r="B196" s="260" t="str">
        <f aca="false">B30</f>
        <v>0</v>
      </c>
      <c r="C196" s="260"/>
      <c r="D196" s="260"/>
      <c r="E196" s="236"/>
      <c r="F196" s="236"/>
      <c r="G196" s="236"/>
      <c r="H196" s="11"/>
      <c r="J196" s="326"/>
      <c r="K196" s="260" t="n">
        <f aca="false">K30</f>
        <v>10000</v>
      </c>
      <c r="L196" s="260"/>
      <c r="M196" s="260"/>
      <c r="N196" s="236"/>
      <c r="O196" s="236"/>
      <c r="P196" s="236"/>
      <c r="Q196" s="11"/>
      <c r="S196" s="326"/>
      <c r="T196" s="260" t="n">
        <f aca="false">K30</f>
        <v>10000</v>
      </c>
      <c r="U196" s="260"/>
      <c r="V196" s="260"/>
      <c r="W196" s="236"/>
      <c r="X196" s="236"/>
      <c r="Y196" s="236"/>
      <c r="Z196" s="11"/>
      <c r="AB196" s="326"/>
      <c r="AC196" s="260" t="n">
        <f aca="false">K30</f>
        <v>10000</v>
      </c>
      <c r="AD196" s="260"/>
      <c r="AE196" s="260"/>
      <c r="AF196" s="236"/>
      <c r="AG196" s="236"/>
      <c r="AH196" s="236"/>
      <c r="AI196" s="11"/>
    </row>
    <row r="197" customFormat="false" ht="17.35" hidden="false" customHeight="false" outlineLevel="0" collapsed="false">
      <c r="A197" s="261" t="n">
        <f aca="false">B29</f>
        <v>0</v>
      </c>
      <c r="B197" s="75" t="n">
        <f aca="false">B96</f>
        <v>1401.49987807535</v>
      </c>
      <c r="C197" s="75"/>
      <c r="D197" s="75"/>
      <c r="E197" s="236"/>
      <c r="F197" s="236"/>
      <c r="G197" s="236"/>
      <c r="H197" s="11"/>
      <c r="J197" s="261" t="n">
        <f aca="false">K29</f>
        <v>36</v>
      </c>
      <c r="K197" s="75" t="n">
        <f aca="false">K96</f>
        <v>1477.31306457009</v>
      </c>
      <c r="L197" s="75"/>
      <c r="M197" s="75"/>
      <c r="N197" s="236"/>
      <c r="O197" s="236"/>
      <c r="P197" s="236"/>
      <c r="Q197" s="11"/>
      <c r="S197" s="261" t="n">
        <f aca="false">K29</f>
        <v>36</v>
      </c>
      <c r="T197" s="75" t="n">
        <f aca="false">T96</f>
        <v>1408.20027188803</v>
      </c>
      <c r="U197" s="75"/>
      <c r="V197" s="75"/>
      <c r="W197" s="236"/>
      <c r="X197" s="236"/>
      <c r="Y197" s="236"/>
      <c r="Z197" s="11"/>
      <c r="AB197" s="261" t="n">
        <f aca="false">K29</f>
        <v>36</v>
      </c>
      <c r="AC197" s="75" t="n">
        <f aca="false">AC96</f>
        <v>927.687248290581</v>
      </c>
      <c r="AD197" s="75"/>
      <c r="AE197" s="75"/>
      <c r="AF197" s="236"/>
      <c r="AG197" s="236"/>
      <c r="AH197" s="236"/>
      <c r="AI197" s="11"/>
    </row>
    <row r="198" customFormat="false" ht="17.35" hidden="false" customHeight="false" outlineLevel="0" collapsed="false">
      <c r="A198" s="221"/>
      <c r="B198" s="331"/>
      <c r="C198" s="331"/>
      <c r="D198" s="331"/>
      <c r="E198" s="236"/>
      <c r="F198" s="236"/>
      <c r="G198" s="236"/>
      <c r="H198" s="11"/>
      <c r="J198" s="221"/>
      <c r="K198" s="331"/>
      <c r="L198" s="331"/>
      <c r="M198" s="331"/>
      <c r="N198" s="236"/>
      <c r="O198" s="236"/>
      <c r="P198" s="236"/>
      <c r="Q198" s="11"/>
      <c r="S198" s="221"/>
      <c r="T198" s="331"/>
      <c r="U198" s="331"/>
      <c r="V198" s="331"/>
      <c r="W198" s="236"/>
      <c r="X198" s="236"/>
      <c r="Y198" s="236"/>
      <c r="Z198" s="11"/>
      <c r="AB198" s="221"/>
      <c r="AC198" s="331"/>
      <c r="AD198" s="331"/>
      <c r="AE198" s="331"/>
      <c r="AF198" s="236"/>
      <c r="AG198" s="236"/>
      <c r="AH198" s="236"/>
      <c r="AI198" s="11"/>
    </row>
    <row r="199" customFormat="false" ht="17.35" hidden="false" customHeight="false" outlineLevel="0" collapsed="false">
      <c r="A199" s="221"/>
      <c r="B199" s="331"/>
      <c r="C199" s="331"/>
      <c r="D199" s="331"/>
      <c r="E199" s="236"/>
      <c r="F199" s="236"/>
      <c r="G199" s="236"/>
      <c r="H199" s="11"/>
      <c r="J199" s="221"/>
      <c r="K199" s="331"/>
      <c r="L199" s="331"/>
      <c r="M199" s="331"/>
      <c r="N199" s="236"/>
      <c r="O199" s="236"/>
      <c r="P199" s="236"/>
      <c r="Q199" s="11"/>
      <c r="S199" s="221"/>
      <c r="T199" s="331"/>
      <c r="U199" s="331"/>
      <c r="V199" s="331"/>
      <c r="W199" s="236"/>
      <c r="X199" s="236"/>
      <c r="Y199" s="236"/>
      <c r="Z199" s="11"/>
      <c r="AB199" s="221"/>
      <c r="AC199" s="331"/>
      <c r="AD199" s="331"/>
      <c r="AE199" s="331"/>
      <c r="AF199" s="236"/>
      <c r="AG199" s="236"/>
      <c r="AH199" s="236"/>
      <c r="AI199" s="11"/>
    </row>
    <row r="200" customFormat="false" ht="17.35" hidden="false" customHeight="false" outlineLevel="0" collapsed="false">
      <c r="A200" s="221"/>
      <c r="B200" s="331"/>
      <c r="C200" s="331"/>
      <c r="D200" s="331"/>
      <c r="E200" s="236"/>
      <c r="F200" s="236"/>
      <c r="G200" s="236"/>
      <c r="H200" s="11"/>
      <c r="J200" s="221"/>
      <c r="K200" s="331"/>
      <c r="L200" s="331"/>
      <c r="M200" s="331"/>
      <c r="N200" s="236"/>
      <c r="O200" s="236"/>
      <c r="P200" s="236"/>
      <c r="Q200" s="11"/>
      <c r="S200" s="221"/>
      <c r="T200" s="331"/>
      <c r="U200" s="331"/>
      <c r="V200" s="331"/>
      <c r="W200" s="236"/>
      <c r="X200" s="236"/>
      <c r="Y200" s="236"/>
      <c r="Z200" s="11"/>
      <c r="AB200" s="221"/>
      <c r="AC200" s="331"/>
      <c r="AD200" s="331"/>
      <c r="AE200" s="331"/>
      <c r="AF200" s="236"/>
      <c r="AG200" s="236"/>
      <c r="AH200" s="236"/>
      <c r="AI200" s="11"/>
    </row>
    <row r="201" customFormat="false" ht="17.35" hidden="false" customHeight="false" outlineLevel="0" collapsed="false">
      <c r="A201" s="221"/>
      <c r="B201" s="331"/>
      <c r="C201" s="331"/>
      <c r="D201" s="331"/>
      <c r="E201" s="236"/>
      <c r="F201" s="236"/>
      <c r="G201" s="236"/>
      <c r="H201" s="11"/>
      <c r="J201" s="221"/>
      <c r="K201" s="331"/>
      <c r="L201" s="331"/>
      <c r="M201" s="331"/>
      <c r="N201" s="236"/>
      <c r="O201" s="236"/>
      <c r="P201" s="236"/>
      <c r="Q201" s="11"/>
      <c r="S201" s="221"/>
      <c r="T201" s="331"/>
      <c r="U201" s="331"/>
      <c r="V201" s="331"/>
      <c r="W201" s="236"/>
      <c r="X201" s="236"/>
      <c r="Y201" s="236"/>
      <c r="Z201" s="11"/>
      <c r="AB201" s="221"/>
      <c r="AC201" s="331"/>
      <c r="AD201" s="331"/>
      <c r="AE201" s="331"/>
      <c r="AF201" s="236"/>
      <c r="AG201" s="236"/>
      <c r="AH201" s="236"/>
      <c r="AI201" s="11"/>
    </row>
    <row r="202" customFormat="false" ht="17.35" hidden="false" customHeight="false" outlineLevel="0" collapsed="false">
      <c r="A202" s="249"/>
      <c r="B202" s="250"/>
      <c r="C202" s="250"/>
      <c r="D202" s="250"/>
      <c r="E202" s="250"/>
      <c r="F202" s="250"/>
      <c r="G202" s="250"/>
      <c r="H202" s="84"/>
      <c r="J202" s="249"/>
      <c r="K202" s="250"/>
      <c r="L202" s="250"/>
      <c r="M202" s="250"/>
      <c r="N202" s="250"/>
      <c r="O202" s="250"/>
      <c r="P202" s="250"/>
      <c r="Q202" s="84"/>
      <c r="S202" s="249"/>
      <c r="T202" s="250"/>
      <c r="U202" s="250"/>
      <c r="V202" s="250"/>
      <c r="W202" s="250"/>
      <c r="X202" s="250"/>
      <c r="Y202" s="250"/>
      <c r="Z202" s="84"/>
      <c r="AB202" s="249"/>
      <c r="AC202" s="250"/>
      <c r="AD202" s="250"/>
      <c r="AE202" s="250"/>
      <c r="AF202" s="250"/>
      <c r="AG202" s="250"/>
      <c r="AH202" s="250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0" colorId="64" zoomScale="75" zoomScaleNormal="7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216" width="41.67" collapsed="false" outlineLevel="0"/>
    <col min="2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2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2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2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 t="n">
        <v>0</v>
      </c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329" t="n">
        <v>0</v>
      </c>
      <c r="C4" s="329" t="n">
        <v>0</v>
      </c>
      <c r="D4" s="329" t="n">
        <v>0</v>
      </c>
      <c r="E4" s="329"/>
      <c r="F4" s="329" t="n">
        <v>0</v>
      </c>
      <c r="G4" s="329"/>
      <c r="H4" s="330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 t="n">
        <v>0</v>
      </c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331"/>
      <c r="C8" s="331"/>
      <c r="D8" s="331"/>
      <c r="E8" s="331"/>
      <c r="F8" s="331"/>
      <c r="G8" s="331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 t="n">
        <f aca="false">(B7+C7+D7+E3)</f>
        <v>46854.17</v>
      </c>
      <c r="F9" s="226"/>
      <c r="G9" s="332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 t="n">
        <v>50</v>
      </c>
      <c r="F10" s="229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 t="n">
        <v>585</v>
      </c>
      <c r="F13" s="229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 t="n">
        <v>55</v>
      </c>
      <c r="F14" s="229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 t="n">
        <v>120</v>
      </c>
      <c r="F16" s="229"/>
      <c r="G16" s="4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5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210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210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210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  <c r="P22" s="333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  <c r="P23" s="333"/>
    </row>
    <row r="24" customFormat="false" ht="46.5" hidden="false" customHeight="true" outlineLevel="0" collapsed="false">
      <c r="A24" s="237" t="s">
        <v>277</v>
      </c>
      <c r="B24" s="237"/>
      <c r="C24" s="237"/>
      <c r="D24" s="237"/>
      <c r="E24" s="237"/>
      <c r="F24" s="237"/>
      <c r="G24" s="237"/>
      <c r="H24" s="237"/>
      <c r="I24" s="50"/>
      <c r="J24" s="50"/>
      <c r="K24" s="50"/>
      <c r="P24" s="333"/>
    </row>
    <row r="25" customFormat="false" ht="17.35" hidden="false" customHeight="false" outlineLevel="0" collapsed="false">
      <c r="A25" s="238"/>
      <c r="B25" s="239"/>
      <c r="C25" s="239"/>
      <c r="D25" s="239"/>
      <c r="E25" s="239"/>
      <c r="F25" s="239"/>
      <c r="G25" s="239"/>
      <c r="H25" s="102"/>
      <c r="I25" s="50"/>
      <c r="J25" s="50"/>
      <c r="K25" s="50"/>
      <c r="P25" s="333"/>
    </row>
    <row r="26" customFormat="false" ht="17.9" hidden="false" customHeight="false" outlineLevel="0" collapsed="false">
      <c r="A26" s="241" t="s">
        <v>130</v>
      </c>
      <c r="B26" s="242" t="s">
        <v>25</v>
      </c>
      <c r="C26" s="331"/>
      <c r="D26" s="331"/>
      <c r="E26" s="331"/>
      <c r="F26" s="331"/>
      <c r="G26" s="331"/>
      <c r="H26" s="11"/>
      <c r="I26" s="50"/>
      <c r="J26" s="30" t="s">
        <v>30</v>
      </c>
      <c r="K26" s="31" t="s">
        <v>31</v>
      </c>
      <c r="P26" s="333"/>
    </row>
    <row r="27" customFormat="false" ht="17.9" hidden="false" customHeight="false" outlineLevel="0" collapsed="false">
      <c r="A27" s="221"/>
      <c r="B27" s="331"/>
      <c r="C27" s="331"/>
      <c r="D27" s="331"/>
      <c r="E27" s="331"/>
      <c r="F27" s="331"/>
      <c r="G27" s="331"/>
      <c r="H27" s="11"/>
      <c r="I27" s="50"/>
      <c r="J27" s="32" t="s">
        <v>32</v>
      </c>
      <c r="K27" s="33" t="n">
        <v>1</v>
      </c>
      <c r="P27" s="333"/>
    </row>
    <row r="28" customFormat="false" ht="22.05" hidden="false" customHeight="false" outlineLevel="0" collapsed="false">
      <c r="A28" s="240" t="s">
        <v>116</v>
      </c>
      <c r="B28" s="240"/>
      <c r="C28" s="240"/>
      <c r="D28" s="240"/>
      <c r="E28" s="240"/>
      <c r="F28" s="240"/>
      <c r="G28" s="240"/>
      <c r="H28" s="240"/>
      <c r="I28" s="50"/>
      <c r="J28" s="32" t="s">
        <v>36</v>
      </c>
      <c r="K28" s="33"/>
      <c r="P28" s="333"/>
    </row>
    <row r="29" customFormat="false" ht="17.9" hidden="false" customHeight="false" outlineLevel="0" collapsed="false">
      <c r="A29" s="221"/>
      <c r="B29" s="331"/>
      <c r="C29" s="331"/>
      <c r="D29" s="331"/>
      <c r="E29" s="331"/>
      <c r="F29" s="331"/>
      <c r="G29" s="331"/>
      <c r="H29" s="11" t="n">
        <v>36</v>
      </c>
      <c r="I29" s="331"/>
      <c r="J29" s="30" t="s">
        <v>38</v>
      </c>
      <c r="K29" s="364" t="n">
        <v>36</v>
      </c>
      <c r="P29" s="333"/>
    </row>
    <row r="30" customFormat="false" ht="17.9" hidden="false" customHeight="false" outlineLevel="0" collapsed="false">
      <c r="A30" s="221" t="s">
        <v>145</v>
      </c>
      <c r="B30" s="42" t="s">
        <v>278</v>
      </c>
      <c r="C30" s="42"/>
      <c r="D30" s="42"/>
      <c r="E30" s="331"/>
      <c r="F30" s="331"/>
      <c r="G30" s="331"/>
      <c r="H30" s="11" t="n">
        <v>10000</v>
      </c>
      <c r="I30" s="331"/>
      <c r="J30" s="30" t="s">
        <v>39</v>
      </c>
      <c r="K30" s="39" t="n">
        <v>10000</v>
      </c>
      <c r="P30" s="333"/>
    </row>
    <row r="31" customFormat="false" ht="17.9" hidden="false" customHeight="false" outlineLevel="0" collapsed="false">
      <c r="A31" s="221"/>
      <c r="B31" s="331"/>
      <c r="C31" s="331"/>
      <c r="D31" s="331"/>
      <c r="E31" s="331"/>
      <c r="F31" s="331"/>
      <c r="G31" s="331"/>
      <c r="H31" s="11" t="n">
        <v>27500</v>
      </c>
      <c r="I31" s="331"/>
      <c r="J31" s="30" t="s">
        <v>43</v>
      </c>
      <c r="K31" s="365" t="n">
        <v>27500</v>
      </c>
      <c r="P31" s="333"/>
    </row>
    <row r="32" customFormat="false" ht="34.8" hidden="false" customHeight="false" outlineLevel="0" collapsed="false">
      <c r="A32" s="221" t="s">
        <v>81</v>
      </c>
      <c r="B32" s="331" t="s">
        <v>82</v>
      </c>
      <c r="C32" s="331"/>
      <c r="D32" s="331"/>
      <c r="E32" s="331" t="s">
        <v>279</v>
      </c>
      <c r="F32" s="331"/>
      <c r="G32" s="331"/>
      <c r="H32" s="11"/>
      <c r="I32" s="50" t="n">
        <v>0</v>
      </c>
      <c r="J32" s="30" t="s">
        <v>46</v>
      </c>
      <c r="K32" s="365" t="n">
        <v>1030</v>
      </c>
      <c r="P32" s="333"/>
    </row>
    <row r="33" customFormat="false" ht="34.8" hidden="false" customHeight="false" outlineLevel="0" collapsed="false">
      <c r="A33" s="324" t="n">
        <f aca="false">A52</f>
        <v>36</v>
      </c>
      <c r="B33" s="49" t="n">
        <f aca="false">B51</f>
        <v>10000</v>
      </c>
      <c r="C33" s="331"/>
      <c r="D33" s="331"/>
      <c r="E33" s="49" t="n">
        <f aca="false">K48</f>
        <v>951.531975672137</v>
      </c>
      <c r="F33" s="49"/>
      <c r="G33" s="49"/>
      <c r="H33" s="246"/>
      <c r="I33" s="50"/>
      <c r="J33" s="32" t="s">
        <v>280</v>
      </c>
      <c r="K33" s="47" t="n">
        <f aca="false">H21-H11+(H16*20%)</f>
        <v>48877.5</v>
      </c>
      <c r="L33" s="216" t="n">
        <f aca="false">H21-H11+(H16*20%)</f>
        <v>48877.5</v>
      </c>
      <c r="P33" s="333"/>
    </row>
    <row r="34" customFormat="false" ht="17.35" hidden="false" customHeight="false" outlineLevel="0" collapsed="false">
      <c r="A34" s="221"/>
      <c r="B34" s="331"/>
      <c r="C34" s="331"/>
      <c r="D34" s="331"/>
      <c r="E34" s="363"/>
      <c r="F34" s="363"/>
      <c r="G34" s="363"/>
      <c r="H34" s="246"/>
      <c r="I34" s="50"/>
      <c r="J34" s="50"/>
      <c r="K34" s="50"/>
      <c r="P34" s="333"/>
    </row>
    <row r="35" customFormat="false" ht="21.6" hidden="false" customHeight="false" outlineLevel="0" collapsed="false">
      <c r="A35" s="221" t="s">
        <v>281</v>
      </c>
      <c r="B35" s="331" t="s">
        <v>282</v>
      </c>
      <c r="C35" s="331"/>
      <c r="D35" s="333"/>
      <c r="E35" s="331" t="s">
        <v>283</v>
      </c>
      <c r="F35" s="363"/>
      <c r="G35" s="363"/>
      <c r="H35" s="246"/>
      <c r="I35" s="50"/>
      <c r="J35" s="53" t="s">
        <v>50</v>
      </c>
      <c r="K35" s="0" t="n">
        <f aca="false">6.5/100</f>
        <v>0.065</v>
      </c>
      <c r="P35" s="333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6"/>
      <c r="I36" s="50"/>
      <c r="J36" s="50" t="s">
        <v>51</v>
      </c>
      <c r="K36" s="50" t="n">
        <f aca="false">K29</f>
        <v>36</v>
      </c>
      <c r="P36" s="333"/>
    </row>
    <row r="37" customFormat="false" ht="17.35" hidden="false" customHeight="false" outlineLevel="0" collapsed="false">
      <c r="A37" s="129"/>
      <c r="B37" s="215"/>
      <c r="C37" s="363"/>
      <c r="D37" s="363"/>
      <c r="E37" s="363"/>
      <c r="F37" s="363"/>
      <c r="G37" s="363"/>
      <c r="H37" s="246"/>
      <c r="I37" s="50"/>
      <c r="J37" s="50"/>
      <c r="K37" s="50"/>
      <c r="P37" s="333"/>
    </row>
    <row r="38" customFormat="false" ht="17.35" hidden="false" customHeight="false" outlineLevel="0" collapsed="false">
      <c r="A38" s="221"/>
      <c r="B38" s="331"/>
      <c r="C38" s="363"/>
      <c r="D38" s="363"/>
      <c r="E38" s="363"/>
      <c r="F38" s="363"/>
      <c r="G38" s="363"/>
      <c r="H38" s="246"/>
      <c r="J38" s="56" t="s">
        <v>56</v>
      </c>
      <c r="K38" s="56"/>
      <c r="L38" s="50" t="n">
        <v>42030.76</v>
      </c>
      <c r="N38" s="216" t="n">
        <f aca="false">80.88*36</f>
        <v>2911.68</v>
      </c>
      <c r="P38" s="333"/>
    </row>
    <row r="39" customFormat="false" ht="17.35" hidden="false" customHeight="false" outlineLevel="0" collapsed="false">
      <c r="A39" s="221" t="s">
        <v>284</v>
      </c>
      <c r="B39" s="331" t="s">
        <v>285</v>
      </c>
      <c r="C39" s="331"/>
      <c r="D39" s="333"/>
      <c r="E39" s="331" t="s">
        <v>286</v>
      </c>
      <c r="F39" s="363"/>
      <c r="G39" s="363"/>
      <c r="H39" s="246"/>
      <c r="J39" s="50" t="s">
        <v>83</v>
      </c>
      <c r="K39" s="50" t="n">
        <f aca="false">K33</f>
        <v>48877.5</v>
      </c>
      <c r="L39" s="50" t="n">
        <f aca="false">(L47*K46)+K44</f>
        <v>43933.392151445</v>
      </c>
      <c r="N39" s="216" t="n">
        <f aca="false">K39-L39</f>
        <v>4944.10784855496</v>
      </c>
      <c r="P39" s="333"/>
    </row>
    <row r="40" customFormat="false" ht="17.35" hidden="false" customHeight="false" outlineLevel="0" collapsed="false">
      <c r="A40" s="112" t="n">
        <f aca="false">E36*A45/100</f>
        <v>27500</v>
      </c>
      <c r="B40" s="112" t="n">
        <f aca="false">IF(B26="YES", K42, "0.00")</f>
        <v>28.6111111111111</v>
      </c>
      <c r="C40" s="112"/>
      <c r="D40" s="112"/>
      <c r="E40" s="60" t="n">
        <f aca="false">K32</f>
        <v>1030</v>
      </c>
      <c r="F40" s="363"/>
      <c r="G40" s="363"/>
      <c r="H40" s="246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6" t="n">
        <f aca="false">N38-N39</f>
        <v>-2032.42784855496</v>
      </c>
      <c r="P40" s="333"/>
    </row>
    <row r="41" customFormat="false" ht="17.35" hidden="false" customHeight="false" outlineLevel="0" collapsed="false">
      <c r="A41" s="221"/>
      <c r="B41" s="331"/>
      <c r="C41" s="331"/>
      <c r="D41" s="331"/>
      <c r="E41" s="331"/>
      <c r="F41" s="363"/>
      <c r="G41" s="363"/>
      <c r="H41" s="246"/>
      <c r="J41" s="50" t="s">
        <v>287</v>
      </c>
      <c r="K41" s="50" t="n">
        <f aca="false">K35/12</f>
        <v>0.00541666666666667</v>
      </c>
      <c r="L41" s="50"/>
      <c r="P41" s="333"/>
    </row>
    <row r="42" customFormat="false" ht="17.35" hidden="false" customHeight="false" outlineLevel="0" collapsed="false">
      <c r="A42" s="249"/>
      <c r="B42" s="250"/>
      <c r="C42" s="250"/>
      <c r="D42" s="250"/>
      <c r="E42" s="250"/>
      <c r="F42" s="250"/>
      <c r="G42" s="251"/>
      <c r="H42" s="101"/>
      <c r="J42" s="50" t="s">
        <v>288</v>
      </c>
      <c r="K42" s="50" t="n">
        <f aca="false">(K32/K36/100)*C45</f>
        <v>28.6111111111111</v>
      </c>
      <c r="L42" s="50"/>
      <c r="P42" s="333"/>
    </row>
    <row r="43" customFormat="false" ht="17.35" hidden="false" customHeight="false" outlineLevel="0" collapsed="false">
      <c r="A43" s="238"/>
      <c r="B43" s="239"/>
      <c r="C43" s="239"/>
      <c r="D43" s="239"/>
      <c r="E43" s="239"/>
      <c r="F43" s="239"/>
      <c r="G43" s="239"/>
      <c r="H43" s="102"/>
      <c r="J43" s="50" t="s">
        <v>289</v>
      </c>
      <c r="K43" s="50"/>
      <c r="L43" s="50"/>
      <c r="P43" s="333"/>
    </row>
    <row r="44" customFormat="false" ht="17.35" hidden="false" customHeight="false" outlineLevel="0" collapsed="false">
      <c r="A44" s="131" t="s">
        <v>203</v>
      </c>
      <c r="B44" s="331"/>
      <c r="C44" s="144" t="s">
        <v>204</v>
      </c>
      <c r="D44" s="144"/>
      <c r="E44" s="331"/>
      <c r="F44" s="331"/>
      <c r="G44" s="331"/>
      <c r="H44" s="11"/>
      <c r="J44" s="50" t="s">
        <v>290</v>
      </c>
      <c r="K44" s="50" t="n">
        <f aca="false">(K40/(1+K41)^(K36+1))</f>
        <v>18764.9097705681</v>
      </c>
      <c r="L44" s="50"/>
      <c r="P44" s="333"/>
    </row>
    <row r="45" customFormat="false" ht="17.35" hidden="false" customHeight="false" outlineLevel="0" collapsed="false">
      <c r="A45" s="373" t="s">
        <v>291</v>
      </c>
      <c r="B45" s="331"/>
      <c r="C45" s="372" t="s">
        <v>291</v>
      </c>
      <c r="D45" s="372"/>
      <c r="E45" s="372"/>
      <c r="F45" s="331"/>
      <c r="G45" s="331"/>
      <c r="H45" s="11"/>
      <c r="J45" s="50" t="s">
        <v>292</v>
      </c>
      <c r="K45" s="50" t="n">
        <f aca="false">(K39-K44)</f>
        <v>30112.5902294319</v>
      </c>
      <c r="L45" s="50"/>
      <c r="P45" s="333"/>
    </row>
    <row r="46" customFormat="false" ht="17.35" hidden="false" customHeight="false" outlineLevel="0" collapsed="false">
      <c r="A46" s="249"/>
      <c r="B46" s="250"/>
      <c r="C46" s="250"/>
      <c r="D46" s="250"/>
      <c r="E46" s="250"/>
      <c r="F46" s="250"/>
      <c r="G46" s="250"/>
      <c r="H46" s="84"/>
      <c r="J46" s="50" t="s">
        <v>293</v>
      </c>
      <c r="K46" s="50" t="n">
        <f aca="false">((1-(1/((1+K41)^K36)))/K41)</f>
        <v>32.627488862498</v>
      </c>
      <c r="L46" s="50"/>
      <c r="P46" s="333"/>
    </row>
    <row r="47" customFormat="false" ht="17.35" hidden="false" customHeight="false" outlineLevel="0" collapsed="false">
      <c r="A47" s="238"/>
      <c r="B47" s="239"/>
      <c r="C47" s="239"/>
      <c r="D47" s="239"/>
      <c r="E47" s="239"/>
      <c r="F47" s="239"/>
      <c r="G47" s="239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6" t="n">
        <f aca="false">K47-L47</f>
        <v>151.531975672137</v>
      </c>
      <c r="P47" s="333"/>
    </row>
    <row r="48" customFormat="false" ht="31.8" hidden="false" customHeight="false" outlineLevel="0" collapsed="false">
      <c r="A48" s="254" t="s">
        <v>205</v>
      </c>
      <c r="B48" s="331"/>
      <c r="C48" s="331"/>
      <c r="D48" s="255"/>
      <c r="E48" s="255"/>
      <c r="F48" s="255"/>
      <c r="G48" s="255"/>
      <c r="H48" s="256"/>
      <c r="J48" s="63" t="s">
        <v>295</v>
      </c>
      <c r="K48" s="50" t="n">
        <f aca="false">IF(B26="YES", K47+K42, K47)</f>
        <v>951.531975672137</v>
      </c>
      <c r="L48" s="50"/>
      <c r="P48" s="333"/>
    </row>
    <row r="49" customFormat="false" ht="17.35" hidden="false" customHeight="false" outlineLevel="0" collapsed="false">
      <c r="A49" s="221"/>
      <c r="B49" s="257"/>
      <c r="C49" s="257"/>
      <c r="D49" s="331"/>
      <c r="E49" s="331"/>
      <c r="F49" s="331"/>
      <c r="G49" s="331"/>
      <c r="H49" s="11"/>
      <c r="J49" s="50" t="s">
        <v>296</v>
      </c>
      <c r="K49" s="50"/>
      <c r="L49" s="50" t="n">
        <v>800</v>
      </c>
      <c r="P49" s="333"/>
    </row>
    <row r="50" customFormat="false" ht="19.7" hidden="false" customHeight="false" outlineLevel="0" collapsed="false">
      <c r="A50" s="326" t="s">
        <v>81</v>
      </c>
      <c r="B50" s="259" t="s">
        <v>82</v>
      </c>
      <c r="C50" s="259"/>
      <c r="D50" s="259"/>
      <c r="E50" s="331"/>
      <c r="F50" s="331"/>
      <c r="G50" s="331"/>
      <c r="H50" s="11"/>
      <c r="I50" s="50"/>
      <c r="J50" s="50"/>
      <c r="K50" s="50"/>
      <c r="P50" s="333"/>
    </row>
    <row r="51" customFormat="false" ht="19.5" hidden="false" customHeight="true" outlineLevel="0" collapsed="false">
      <c r="A51" s="326"/>
      <c r="B51" s="260" t="n">
        <f aca="false">K30</f>
        <v>10000</v>
      </c>
      <c r="C51" s="260"/>
      <c r="D51" s="260"/>
      <c r="E51" s="331"/>
      <c r="F51" s="331"/>
      <c r="G51" s="331"/>
      <c r="H51" s="11"/>
      <c r="I51" s="50"/>
      <c r="J51" s="50"/>
      <c r="K51" s="50"/>
      <c r="P51" s="333"/>
    </row>
    <row r="52" customFormat="false" ht="17.35" hidden="false" customHeight="false" outlineLevel="0" collapsed="false">
      <c r="A52" s="261" t="n">
        <f aca="false">K29</f>
        <v>36</v>
      </c>
      <c r="B52" s="75" t="n">
        <f aca="false">K48</f>
        <v>951.531975672137</v>
      </c>
      <c r="C52" s="75"/>
      <c r="D52" s="75"/>
      <c r="E52" s="331"/>
      <c r="F52" s="331"/>
      <c r="G52" s="331"/>
      <c r="H52" s="11"/>
      <c r="I52" s="50"/>
      <c r="J52" s="50"/>
      <c r="K52" s="50"/>
      <c r="P52" s="333"/>
    </row>
    <row r="53" customFormat="false" ht="17.35" hidden="false" customHeight="false" outlineLevel="0" collapsed="false">
      <c r="A53" s="221"/>
      <c r="B53" s="331"/>
      <c r="C53" s="331"/>
      <c r="D53" s="331"/>
      <c r="E53" s="331"/>
      <c r="F53" s="331"/>
      <c r="G53" s="331"/>
      <c r="H53" s="11"/>
      <c r="I53" s="50"/>
      <c r="J53" s="50"/>
      <c r="K53" s="50"/>
      <c r="P53" s="333"/>
    </row>
    <row r="54" customFormat="false" ht="17.35" hidden="false" customHeight="false" outlineLevel="0" collapsed="false">
      <c r="A54" s="249"/>
      <c r="B54" s="250"/>
      <c r="C54" s="250"/>
      <c r="D54" s="250"/>
      <c r="E54" s="250"/>
      <c r="F54" s="250"/>
      <c r="G54" s="250"/>
      <c r="H54" s="84"/>
      <c r="I54" s="50"/>
      <c r="J54" s="50"/>
      <c r="K54" s="50"/>
      <c r="P54" s="333"/>
    </row>
    <row r="55" customFormat="false" ht="17.35" hidden="false" customHeight="false" outlineLevel="0" collapsed="false">
      <c r="A55" s="236"/>
      <c r="B55" s="236"/>
      <c r="C55" s="236"/>
      <c r="D55" s="236"/>
      <c r="E55" s="236"/>
      <c r="F55" s="236"/>
      <c r="G55" s="236"/>
      <c r="H55" s="236"/>
      <c r="J55" s="50"/>
      <c r="K55" s="50"/>
      <c r="P55" s="333"/>
    </row>
    <row r="56" customFormat="false" ht="17.35" hidden="false" customHeight="false" outlineLevel="0" collapsed="false">
      <c r="A56" s="236"/>
      <c r="B56" s="236"/>
      <c r="C56" s="236"/>
      <c r="D56" s="236"/>
      <c r="E56" s="236"/>
      <c r="F56" s="236"/>
      <c r="G56" s="236"/>
      <c r="H56" s="236"/>
      <c r="J56" s="50"/>
      <c r="K56" s="50"/>
      <c r="P56" s="333"/>
    </row>
    <row r="57" customFormat="false" ht="17.35" hidden="false" customHeight="false" outlineLevel="0" collapsed="false">
      <c r="A57" s="238"/>
      <c r="B57" s="239"/>
      <c r="C57" s="239"/>
      <c r="D57" s="239"/>
      <c r="E57" s="262"/>
      <c r="F57" s="262"/>
      <c r="G57" s="262"/>
      <c r="H57" s="102"/>
      <c r="J57" s="238"/>
      <c r="K57" s="239"/>
      <c r="L57" s="239"/>
      <c r="M57" s="239"/>
      <c r="N57" s="262"/>
      <c r="O57" s="262"/>
      <c r="P57" s="262"/>
      <c r="Q57" s="102"/>
      <c r="S57" s="238"/>
      <c r="T57" s="239"/>
      <c r="U57" s="239"/>
      <c r="V57" s="239"/>
      <c r="W57" s="262"/>
      <c r="X57" s="262"/>
      <c r="Y57" s="262"/>
      <c r="Z57" s="102"/>
      <c r="AB57" s="238"/>
      <c r="AC57" s="239"/>
      <c r="AD57" s="239"/>
      <c r="AE57" s="239"/>
      <c r="AF57" s="262"/>
      <c r="AG57" s="262"/>
      <c r="AH57" s="262"/>
      <c r="AI57" s="102"/>
    </row>
    <row r="58" customFormat="false" ht="17.35" hidden="false" customHeight="false" outlineLevel="0" collapsed="false">
      <c r="A58" s="221" t="s">
        <v>83</v>
      </c>
      <c r="B58" s="331" t="n">
        <v>1</v>
      </c>
      <c r="C58" s="331"/>
      <c r="D58" s="331"/>
      <c r="E58" s="342"/>
      <c r="F58" s="342"/>
      <c r="G58" s="342"/>
      <c r="H58" s="11"/>
      <c r="J58" s="221" t="s">
        <v>83</v>
      </c>
      <c r="K58" s="331" t="n">
        <v>1</v>
      </c>
      <c r="L58" s="331"/>
      <c r="M58" s="331"/>
      <c r="N58" s="342"/>
      <c r="O58" s="342"/>
      <c r="P58" s="342"/>
      <c r="Q58" s="11"/>
      <c r="S58" s="221" t="s">
        <v>83</v>
      </c>
      <c r="T58" s="331" t="n">
        <v>1</v>
      </c>
      <c r="U58" s="331"/>
      <c r="V58" s="331"/>
      <c r="W58" s="342"/>
      <c r="X58" s="342"/>
      <c r="Y58" s="342"/>
      <c r="Z58" s="11"/>
      <c r="AB58" s="221" t="s">
        <v>83</v>
      </c>
      <c r="AC58" s="331" t="n">
        <v>1</v>
      </c>
      <c r="AD58" s="331"/>
      <c r="AE58" s="331"/>
      <c r="AF58" s="342"/>
      <c r="AG58" s="342"/>
      <c r="AH58" s="342"/>
      <c r="AI58" s="11"/>
    </row>
    <row r="59" customFormat="false" ht="17.35" hidden="false" customHeight="false" outlineLevel="0" collapsed="false">
      <c r="A59" s="221" t="s">
        <v>84</v>
      </c>
      <c r="B59" s="331" t="n">
        <f aca="false">K29-B58</f>
        <v>35</v>
      </c>
      <c r="C59" s="331"/>
      <c r="D59" s="331"/>
      <c r="E59" s="342"/>
      <c r="F59" s="342"/>
      <c r="G59" s="342"/>
      <c r="H59" s="11"/>
      <c r="J59" s="221" t="s">
        <v>84</v>
      </c>
      <c r="K59" s="331" t="n">
        <f aca="false">K29-K58</f>
        <v>35</v>
      </c>
      <c r="L59" s="331"/>
      <c r="M59" s="331"/>
      <c r="N59" s="342"/>
      <c r="O59" s="342"/>
      <c r="P59" s="342"/>
      <c r="Q59" s="11"/>
      <c r="S59" s="221" t="s">
        <v>84</v>
      </c>
      <c r="T59" s="331" t="n">
        <f aca="false">K29-T58</f>
        <v>35</v>
      </c>
      <c r="U59" s="331"/>
      <c r="V59" s="331"/>
      <c r="W59" s="342"/>
      <c r="X59" s="342"/>
      <c r="Y59" s="342"/>
      <c r="Z59" s="11"/>
      <c r="AB59" s="221" t="s">
        <v>84</v>
      </c>
      <c r="AC59" s="331" t="n">
        <f aca="false">K29-AC58</f>
        <v>35</v>
      </c>
      <c r="AD59" s="331"/>
      <c r="AE59" s="331"/>
      <c r="AF59" s="342"/>
      <c r="AG59" s="342"/>
      <c r="AH59" s="342"/>
      <c r="AI59" s="11"/>
    </row>
    <row r="60" customFormat="false" ht="17.35" hidden="false" customHeight="false" outlineLevel="0" collapsed="false">
      <c r="A60" s="263" t="s">
        <v>206</v>
      </c>
      <c r="B60" s="88" t="n">
        <v>10</v>
      </c>
      <c r="C60" s="331"/>
      <c r="D60" s="331"/>
      <c r="E60" s="342"/>
      <c r="F60" s="342"/>
      <c r="G60" s="342"/>
      <c r="H60" s="11"/>
      <c r="J60" s="263" t="s">
        <v>206</v>
      </c>
      <c r="K60" s="88" t="n">
        <v>20</v>
      </c>
      <c r="L60" s="331"/>
      <c r="M60" s="331"/>
      <c r="N60" s="342"/>
      <c r="O60" s="342"/>
      <c r="P60" s="342"/>
      <c r="Q60" s="11"/>
      <c r="S60" s="263" t="s">
        <v>206</v>
      </c>
      <c r="T60" s="88" t="n">
        <v>10</v>
      </c>
      <c r="U60" s="331"/>
      <c r="V60" s="331"/>
      <c r="W60" s="342"/>
      <c r="X60" s="342"/>
      <c r="Y60" s="342"/>
      <c r="Z60" s="11"/>
      <c r="AB60" s="263" t="s">
        <v>206</v>
      </c>
      <c r="AC60" s="88" t="n">
        <v>10</v>
      </c>
      <c r="AD60" s="331"/>
      <c r="AE60" s="331"/>
      <c r="AF60" s="342"/>
      <c r="AG60" s="342"/>
      <c r="AH60" s="342"/>
      <c r="AI60" s="11"/>
    </row>
    <row r="61" customFormat="false" ht="17.35" hidden="false" customHeight="false" outlineLevel="0" collapsed="false">
      <c r="A61" s="221" t="s">
        <v>21</v>
      </c>
      <c r="B61" s="331" t="n">
        <f aca="false">J18</f>
        <v>57225</v>
      </c>
      <c r="C61" s="331"/>
      <c r="D61" s="331"/>
      <c r="E61" s="342"/>
      <c r="F61" s="342"/>
      <c r="G61" s="342"/>
      <c r="H61" s="11"/>
      <c r="J61" s="221" t="s">
        <v>21</v>
      </c>
      <c r="K61" s="331" t="n">
        <f aca="false">J18</f>
        <v>57225</v>
      </c>
      <c r="L61" s="331"/>
      <c r="M61" s="331"/>
      <c r="N61" s="342"/>
      <c r="O61" s="342"/>
      <c r="P61" s="342"/>
      <c r="Q61" s="11"/>
      <c r="S61" s="221" t="s">
        <v>21</v>
      </c>
      <c r="T61" s="331" t="n">
        <f aca="false">J18</f>
        <v>57225</v>
      </c>
      <c r="U61" s="331"/>
      <c r="V61" s="331"/>
      <c r="W61" s="342"/>
      <c r="X61" s="342"/>
      <c r="Y61" s="342"/>
      <c r="Z61" s="11"/>
      <c r="AB61" s="221" t="s">
        <v>21</v>
      </c>
      <c r="AC61" s="331" t="n">
        <f aca="false">J18</f>
        <v>57225</v>
      </c>
      <c r="AD61" s="331"/>
      <c r="AE61" s="331"/>
      <c r="AF61" s="342"/>
      <c r="AG61" s="342"/>
      <c r="AH61" s="342"/>
      <c r="AI61" s="11"/>
    </row>
    <row r="62" customFormat="false" ht="17.35" hidden="false" customHeight="false" outlineLevel="0" collapsed="false">
      <c r="A62" s="264" t="s">
        <v>207</v>
      </c>
      <c r="B62" s="343" t="n">
        <v>0</v>
      </c>
      <c r="C62" s="331"/>
      <c r="D62" s="331"/>
      <c r="E62" s="342"/>
      <c r="F62" s="342"/>
      <c r="G62" s="342"/>
      <c r="H62" s="11"/>
      <c r="J62" s="264" t="s">
        <v>207</v>
      </c>
      <c r="K62" s="343" t="n">
        <v>0.06</v>
      </c>
      <c r="L62" s="331"/>
      <c r="M62" s="331"/>
      <c r="N62" s="342"/>
      <c r="O62" s="342"/>
      <c r="P62" s="342"/>
      <c r="Q62" s="11"/>
      <c r="S62" s="264" t="s">
        <v>207</v>
      </c>
      <c r="T62" s="343" t="n">
        <f aca="false">IF(AND(K29&gt;= 12, K29&lt;=24), 0.0105, IF(AND(K29&gt;=48), -0.0075, 0))</f>
        <v>0</v>
      </c>
      <c r="U62" s="331"/>
      <c r="V62" s="331"/>
      <c r="W62" s="342"/>
      <c r="X62" s="342"/>
      <c r="Y62" s="342"/>
      <c r="Z62" s="11"/>
      <c r="AB62" s="264" t="s">
        <v>207</v>
      </c>
      <c r="AC62" s="343" t="n">
        <f aca="false">IF(AND(K29&gt;= 12, K29&lt;=24), 0.0105, IF(AND(K29&gt;=48), -0.0075, 0))</f>
        <v>0</v>
      </c>
      <c r="AD62" s="331"/>
      <c r="AE62" s="331"/>
      <c r="AF62" s="342"/>
      <c r="AG62" s="342"/>
      <c r="AH62" s="342"/>
      <c r="AI62" s="11"/>
    </row>
    <row r="63" customFormat="false" ht="17.35" hidden="false" customHeight="false" outlineLevel="0" collapsed="false">
      <c r="A63" s="218" t="s">
        <v>208</v>
      </c>
      <c r="B63" s="345" t="n">
        <v>0.065</v>
      </c>
      <c r="C63" s="331"/>
      <c r="D63" s="331"/>
      <c r="E63" s="342"/>
      <c r="F63" s="342"/>
      <c r="G63" s="342"/>
      <c r="H63" s="11"/>
      <c r="J63" s="218" t="s">
        <v>208</v>
      </c>
      <c r="K63" s="345" t="n">
        <v>0.08</v>
      </c>
      <c r="L63" s="331"/>
      <c r="M63" s="331"/>
      <c r="N63" s="342"/>
      <c r="O63" s="342"/>
      <c r="P63" s="342"/>
      <c r="Q63" s="11"/>
      <c r="S63" s="218" t="s">
        <v>208</v>
      </c>
      <c r="T63" s="345" t="n">
        <v>0.059</v>
      </c>
      <c r="U63" s="331"/>
      <c r="V63" s="331"/>
      <c r="W63" s="342"/>
      <c r="X63" s="342"/>
      <c r="Y63" s="342"/>
      <c r="Z63" s="11"/>
      <c r="AB63" s="218" t="s">
        <v>208</v>
      </c>
      <c r="AC63" s="345" t="n">
        <v>0.059</v>
      </c>
      <c r="AD63" s="331"/>
      <c r="AE63" s="331"/>
      <c r="AF63" s="342"/>
      <c r="AG63" s="342"/>
      <c r="AH63" s="342"/>
      <c r="AI63" s="11"/>
    </row>
    <row r="64" customFormat="false" ht="17.35" hidden="false" customHeight="false" outlineLevel="0" collapsed="false">
      <c r="A64" s="267" t="s">
        <v>209</v>
      </c>
      <c r="B64" s="346" t="n">
        <v>0.024</v>
      </c>
      <c r="C64" s="331"/>
      <c r="D64" s="331"/>
      <c r="E64" s="342"/>
      <c r="F64" s="342"/>
      <c r="G64" s="342"/>
      <c r="H64" s="11"/>
      <c r="J64" s="267" t="s">
        <v>209</v>
      </c>
      <c r="K64" s="346" t="n">
        <v>0.1</v>
      </c>
      <c r="L64" s="331"/>
      <c r="M64" s="331"/>
      <c r="N64" s="342"/>
      <c r="O64" s="342"/>
      <c r="P64" s="342"/>
      <c r="Q64" s="11"/>
      <c r="S64" s="267" t="s">
        <v>209</v>
      </c>
      <c r="T64" s="346" t="n">
        <f aca="false">IF(T108=AP108, 2.4%, 7.2%)</f>
        <v>0.072</v>
      </c>
      <c r="U64" s="331"/>
      <c r="V64" s="331"/>
      <c r="W64" s="342"/>
      <c r="X64" s="342"/>
      <c r="Y64" s="342"/>
      <c r="Z64" s="11"/>
      <c r="AB64" s="267" t="s">
        <v>209</v>
      </c>
      <c r="AC64" s="346" t="n">
        <f aca="false">IF(AC108=AP108, 2.4%, 7.2%)</f>
        <v>0.072</v>
      </c>
      <c r="AD64" s="331"/>
      <c r="AE64" s="331"/>
      <c r="AF64" s="342"/>
      <c r="AG64" s="342"/>
      <c r="AH64" s="342"/>
      <c r="AI64" s="11"/>
    </row>
    <row r="65" customFormat="false" ht="17.35" hidden="false" customHeight="false" outlineLevel="0" collapsed="false">
      <c r="A65" s="249" t="s">
        <v>87</v>
      </c>
      <c r="B65" s="84" t="n">
        <f aca="false">(B89*B59)-(K47*K29)</f>
        <v>9431.52556441513</v>
      </c>
      <c r="C65" s="331"/>
      <c r="D65" s="331"/>
      <c r="E65" s="342"/>
      <c r="F65" s="342"/>
      <c r="G65" s="342"/>
      <c r="H65" s="11"/>
      <c r="J65" s="249" t="s">
        <v>87</v>
      </c>
      <c r="K65" s="84" t="n">
        <f aca="false">(K89*K59)-(K47*K29)</f>
        <v>18480.8061357562</v>
      </c>
      <c r="L65" s="331"/>
      <c r="M65" s="331"/>
      <c r="N65" s="342"/>
      <c r="O65" s="342"/>
      <c r="P65" s="342"/>
      <c r="Q65" s="11"/>
      <c r="S65" s="249" t="s">
        <v>87</v>
      </c>
      <c r="T65" s="84" t="n">
        <f aca="false">(T89*T59)-(K47*K29)</f>
        <v>16061.8583918841</v>
      </c>
      <c r="U65" s="331"/>
      <c r="V65" s="331"/>
      <c r="W65" s="342"/>
      <c r="X65" s="342"/>
      <c r="Y65" s="342"/>
      <c r="Z65" s="11"/>
      <c r="AB65" s="249" t="s">
        <v>87</v>
      </c>
      <c r="AC65" s="84" t="n">
        <f aca="false">(AC89*AC59)-(K47*K29)</f>
        <v>-756.0974340266</v>
      </c>
      <c r="AD65" s="331"/>
      <c r="AE65" s="331"/>
      <c r="AF65" s="342"/>
      <c r="AG65" s="342"/>
      <c r="AH65" s="342"/>
      <c r="AI65" s="11"/>
    </row>
    <row r="66" customFormat="false" ht="17.35" hidden="false" customHeight="false" outlineLevel="0" collapsed="false">
      <c r="A66" s="264" t="s">
        <v>88</v>
      </c>
      <c r="B66" s="343" t="n">
        <v>0.005</v>
      </c>
      <c r="C66" s="331"/>
      <c r="D66" s="331"/>
      <c r="E66" s="342"/>
      <c r="F66" s="342"/>
      <c r="G66" s="342"/>
      <c r="H66" s="11"/>
      <c r="J66" s="264" t="s">
        <v>88</v>
      </c>
      <c r="K66" s="343" t="n">
        <v>0.05</v>
      </c>
      <c r="L66" s="331"/>
      <c r="M66" s="331"/>
      <c r="N66" s="342"/>
      <c r="O66" s="342"/>
      <c r="P66" s="342"/>
      <c r="Q66" s="11"/>
      <c r="S66" s="264" t="s">
        <v>88</v>
      </c>
      <c r="T66" s="343" t="n">
        <v>0.005</v>
      </c>
      <c r="U66" s="331"/>
      <c r="V66" s="331"/>
      <c r="W66" s="342"/>
      <c r="X66" s="342"/>
      <c r="Y66" s="342"/>
      <c r="Z66" s="11"/>
      <c r="AB66" s="264" t="s">
        <v>88</v>
      </c>
      <c r="AC66" s="343" t="n">
        <v>0.005</v>
      </c>
      <c r="AD66" s="331"/>
      <c r="AE66" s="331"/>
      <c r="AF66" s="342"/>
      <c r="AG66" s="342"/>
      <c r="AH66" s="342"/>
      <c r="AI66" s="11"/>
    </row>
    <row r="67" customFormat="false" ht="17.35" hidden="false" customHeight="false" outlineLevel="0" collapsed="false">
      <c r="A67" s="221" t="s">
        <v>89</v>
      </c>
      <c r="B67" s="347" t="n">
        <f aca="false">B66+(B66*0.25*(B29/12-1))</f>
        <v>0.00375</v>
      </c>
      <c r="C67" s="331"/>
      <c r="D67" s="331"/>
      <c r="E67" s="342"/>
      <c r="F67" s="342"/>
      <c r="G67" s="342"/>
      <c r="H67" s="11"/>
      <c r="J67" s="221" t="s">
        <v>89</v>
      </c>
      <c r="K67" s="347" t="n">
        <f aca="false">K66+(K66*0.25*(K29/12-1))</f>
        <v>0.075</v>
      </c>
      <c r="L67" s="331"/>
      <c r="M67" s="331"/>
      <c r="N67" s="342"/>
      <c r="O67" s="342"/>
      <c r="P67" s="342"/>
      <c r="Q67" s="11"/>
      <c r="S67" s="221" t="s">
        <v>89</v>
      </c>
      <c r="T67" s="347" t="n">
        <f aca="false">T66+(T66*0.5*(K29/12-1))</f>
        <v>0.01</v>
      </c>
      <c r="U67" s="331"/>
      <c r="V67" s="331"/>
      <c r="W67" s="342"/>
      <c r="X67" s="342"/>
      <c r="Y67" s="342"/>
      <c r="Z67" s="11"/>
      <c r="AB67" s="221" t="s">
        <v>89</v>
      </c>
      <c r="AC67" s="347" t="n">
        <f aca="false">AC66+(AC66*0.5*(K29/12-1))</f>
        <v>0.01</v>
      </c>
      <c r="AD67" s="331"/>
      <c r="AE67" s="331"/>
      <c r="AF67" s="342"/>
      <c r="AG67" s="342"/>
      <c r="AH67" s="342"/>
      <c r="AI67" s="11"/>
    </row>
    <row r="68" customFormat="false" ht="17.35" hidden="false" customHeight="false" outlineLevel="0" collapsed="false">
      <c r="A68" s="249" t="s">
        <v>90</v>
      </c>
      <c r="B68" s="84" t="n">
        <f aca="false">B61*B67</f>
        <v>214.59375</v>
      </c>
      <c r="C68" s="331"/>
      <c r="D68" s="331"/>
      <c r="E68" s="342"/>
      <c r="F68" s="342"/>
      <c r="G68" s="342"/>
      <c r="H68" s="11"/>
      <c r="J68" s="249" t="s">
        <v>90</v>
      </c>
      <c r="K68" s="84" t="n">
        <f aca="false">K61*K67</f>
        <v>4291.875</v>
      </c>
      <c r="L68" s="331"/>
      <c r="M68" s="331"/>
      <c r="N68" s="342"/>
      <c r="O68" s="342"/>
      <c r="P68" s="342"/>
      <c r="Q68" s="11"/>
      <c r="S68" s="249" t="s">
        <v>90</v>
      </c>
      <c r="T68" s="84" t="n">
        <f aca="false">T61*T67</f>
        <v>572.25</v>
      </c>
      <c r="U68" s="331"/>
      <c r="V68" s="331"/>
      <c r="W68" s="342"/>
      <c r="X68" s="342"/>
      <c r="Y68" s="342"/>
      <c r="Z68" s="11"/>
      <c r="AB68" s="249" t="s">
        <v>90</v>
      </c>
      <c r="AC68" s="84" t="n">
        <f aca="false">AH158*AC67</f>
        <v>454.68749</v>
      </c>
      <c r="AD68" s="331"/>
      <c r="AE68" s="331"/>
      <c r="AF68" s="342"/>
      <c r="AG68" s="342"/>
      <c r="AH68" s="342"/>
      <c r="AI68" s="11"/>
    </row>
    <row r="69" customFormat="false" ht="17.35" hidden="false" customHeight="false" outlineLevel="0" collapsed="false">
      <c r="A69" s="264" t="s">
        <v>91</v>
      </c>
      <c r="B69" s="343" t="n">
        <v>0</v>
      </c>
      <c r="C69" s="331"/>
      <c r="D69" s="331"/>
      <c r="E69" s="342"/>
      <c r="F69" s="342"/>
      <c r="G69" s="342"/>
      <c r="H69" s="11"/>
      <c r="J69" s="264" t="s">
        <v>91</v>
      </c>
      <c r="K69" s="343" t="n">
        <v>0</v>
      </c>
      <c r="L69" s="331"/>
      <c r="M69" s="331"/>
      <c r="N69" s="342"/>
      <c r="O69" s="342"/>
      <c r="P69" s="342"/>
      <c r="Q69" s="11"/>
      <c r="S69" s="264" t="s">
        <v>91</v>
      </c>
      <c r="T69" s="343" t="n">
        <v>0</v>
      </c>
      <c r="U69" s="331"/>
      <c r="V69" s="331"/>
      <c r="W69" s="342"/>
      <c r="X69" s="342"/>
      <c r="Y69" s="342"/>
      <c r="Z69" s="11"/>
      <c r="AB69" s="264" t="s">
        <v>91</v>
      </c>
      <c r="AC69" s="343" t="n">
        <v>0</v>
      </c>
      <c r="AD69" s="331"/>
      <c r="AE69" s="331"/>
      <c r="AF69" s="342"/>
      <c r="AG69" s="342"/>
      <c r="AH69" s="342"/>
      <c r="AI69" s="11"/>
    </row>
    <row r="70" customFormat="false" ht="17.35" hidden="false" customHeight="false" outlineLevel="0" collapsed="false">
      <c r="A70" s="218" t="s">
        <v>92</v>
      </c>
      <c r="B70" s="345" t="n">
        <v>0</v>
      </c>
      <c r="C70" s="331"/>
      <c r="D70" s="331"/>
      <c r="E70" s="342"/>
      <c r="F70" s="342"/>
      <c r="G70" s="342"/>
      <c r="H70" s="11"/>
      <c r="J70" s="218" t="s">
        <v>92</v>
      </c>
      <c r="K70" s="345" t="n">
        <v>0</v>
      </c>
      <c r="L70" s="331"/>
      <c r="M70" s="331"/>
      <c r="N70" s="342"/>
      <c r="O70" s="342"/>
      <c r="P70" s="342"/>
      <c r="Q70" s="11"/>
      <c r="S70" s="218" t="s">
        <v>92</v>
      </c>
      <c r="T70" s="345" t="n">
        <v>0</v>
      </c>
      <c r="U70" s="331"/>
      <c r="V70" s="331"/>
      <c r="W70" s="342"/>
      <c r="X70" s="342"/>
      <c r="Y70" s="342"/>
      <c r="Z70" s="11"/>
      <c r="AB70" s="218" t="s">
        <v>92</v>
      </c>
      <c r="AC70" s="345" t="n">
        <v>0</v>
      </c>
      <c r="AD70" s="331"/>
      <c r="AE70" s="331"/>
      <c r="AF70" s="342"/>
      <c r="AG70" s="342"/>
      <c r="AH70" s="342"/>
      <c r="AI70" s="11"/>
    </row>
    <row r="71" customFormat="false" ht="17.35" hidden="false" customHeight="false" outlineLevel="0" collapsed="false">
      <c r="A71" s="249" t="s">
        <v>93</v>
      </c>
      <c r="B71" s="349" t="n">
        <f aca="false">B69*(1+B70)</f>
        <v>0</v>
      </c>
      <c r="C71" s="331"/>
      <c r="D71" s="331"/>
      <c r="E71" s="342"/>
      <c r="F71" s="342"/>
      <c r="G71" s="342"/>
      <c r="H71" s="11"/>
      <c r="J71" s="249" t="s">
        <v>93</v>
      </c>
      <c r="K71" s="349" t="n">
        <f aca="false">K69*(1+K70)</f>
        <v>0</v>
      </c>
      <c r="L71" s="331"/>
      <c r="M71" s="331"/>
      <c r="N71" s="342"/>
      <c r="O71" s="342"/>
      <c r="P71" s="342"/>
      <c r="Q71" s="11"/>
      <c r="S71" s="249" t="s">
        <v>93</v>
      </c>
      <c r="T71" s="349" t="n">
        <f aca="false">T69*(1+T70)</f>
        <v>0</v>
      </c>
      <c r="U71" s="331"/>
      <c r="V71" s="331"/>
      <c r="W71" s="342"/>
      <c r="X71" s="342"/>
      <c r="Y71" s="342"/>
      <c r="Z71" s="11"/>
      <c r="AB71" s="249" t="s">
        <v>93</v>
      </c>
      <c r="AC71" s="349" t="n">
        <f aca="false">AC69*(1+AC70)</f>
        <v>0</v>
      </c>
      <c r="AD71" s="331"/>
      <c r="AE71" s="331"/>
      <c r="AF71" s="342"/>
      <c r="AG71" s="342"/>
      <c r="AH71" s="342"/>
      <c r="AI71" s="11"/>
    </row>
    <row r="72" customFormat="false" ht="17.35" hidden="false" customHeight="false" outlineLevel="0" collapsed="false">
      <c r="A72" s="264" t="s">
        <v>94</v>
      </c>
      <c r="B72" s="87" t="n">
        <v>0</v>
      </c>
      <c r="C72" s="331"/>
      <c r="D72" s="331"/>
      <c r="E72" s="342"/>
      <c r="F72" s="342"/>
      <c r="G72" s="342"/>
      <c r="H72" s="11"/>
      <c r="J72" s="264" t="s">
        <v>94</v>
      </c>
      <c r="K72" s="87" t="n">
        <v>0</v>
      </c>
      <c r="L72" s="331"/>
      <c r="M72" s="331"/>
      <c r="N72" s="342"/>
      <c r="O72" s="342"/>
      <c r="P72" s="342"/>
      <c r="Q72" s="11"/>
      <c r="S72" s="264" t="s">
        <v>94</v>
      </c>
      <c r="T72" s="87" t="n">
        <v>0</v>
      </c>
      <c r="U72" s="331"/>
      <c r="V72" s="331"/>
      <c r="W72" s="342"/>
      <c r="X72" s="342"/>
      <c r="Y72" s="342"/>
      <c r="Z72" s="11"/>
      <c r="AB72" s="264" t="s">
        <v>94</v>
      </c>
      <c r="AC72" s="87" t="n">
        <v>0</v>
      </c>
      <c r="AD72" s="331"/>
      <c r="AE72" s="331"/>
      <c r="AF72" s="342"/>
      <c r="AG72" s="342"/>
      <c r="AH72" s="342"/>
      <c r="AI72" s="11"/>
    </row>
    <row r="73" customFormat="false" ht="17.35" hidden="false" customHeight="false" outlineLevel="0" collapsed="false">
      <c r="A73" s="218" t="s">
        <v>95</v>
      </c>
      <c r="B73" s="88" t="n">
        <v>0</v>
      </c>
      <c r="C73" s="331"/>
      <c r="D73" s="331"/>
      <c r="E73" s="342"/>
      <c r="F73" s="342"/>
      <c r="G73" s="342"/>
      <c r="H73" s="11"/>
      <c r="J73" s="218" t="s">
        <v>95</v>
      </c>
      <c r="K73" s="88" t="n">
        <v>0</v>
      </c>
      <c r="L73" s="331"/>
      <c r="M73" s="331"/>
      <c r="N73" s="342"/>
      <c r="O73" s="342"/>
      <c r="P73" s="342"/>
      <c r="Q73" s="11"/>
      <c r="S73" s="218" t="s">
        <v>95</v>
      </c>
      <c r="T73" s="88" t="n">
        <v>0</v>
      </c>
      <c r="U73" s="331"/>
      <c r="V73" s="331"/>
      <c r="W73" s="342"/>
      <c r="X73" s="342"/>
      <c r="Y73" s="342"/>
      <c r="Z73" s="11"/>
      <c r="AB73" s="218" t="s">
        <v>95</v>
      </c>
      <c r="AC73" s="88" t="n">
        <v>0</v>
      </c>
      <c r="AD73" s="331"/>
      <c r="AE73" s="331"/>
      <c r="AF73" s="342"/>
      <c r="AG73" s="342"/>
      <c r="AH73" s="342"/>
      <c r="AI73" s="11"/>
    </row>
    <row r="74" customFormat="false" ht="17.35" hidden="false" customHeight="false" outlineLevel="0" collapsed="false">
      <c r="A74" s="249" t="s">
        <v>96</v>
      </c>
      <c r="B74" s="84" t="n">
        <f aca="false">B73*B29</f>
        <v>0</v>
      </c>
      <c r="C74" s="331"/>
      <c r="D74" s="331" t="n">
        <f aca="false">B74+B72</f>
        <v>0</v>
      </c>
      <c r="E74" s="342"/>
      <c r="F74" s="342"/>
      <c r="G74" s="342"/>
      <c r="H74" s="11"/>
      <c r="J74" s="249" t="s">
        <v>96</v>
      </c>
      <c r="K74" s="84" t="n">
        <f aca="false">K73*K29</f>
        <v>0</v>
      </c>
      <c r="L74" s="331"/>
      <c r="M74" s="331" t="n">
        <f aca="false">K74+K72</f>
        <v>0</v>
      </c>
      <c r="N74" s="342"/>
      <c r="O74" s="342"/>
      <c r="P74" s="342"/>
      <c r="Q74" s="11"/>
      <c r="S74" s="249" t="s">
        <v>96</v>
      </c>
      <c r="T74" s="84" t="n">
        <f aca="false">T73*K29</f>
        <v>0</v>
      </c>
      <c r="U74" s="331"/>
      <c r="V74" s="331" t="n">
        <f aca="false">T74+T72</f>
        <v>0</v>
      </c>
      <c r="W74" s="342"/>
      <c r="X74" s="342"/>
      <c r="Y74" s="342"/>
      <c r="Z74" s="11"/>
      <c r="AB74" s="249" t="s">
        <v>96</v>
      </c>
      <c r="AC74" s="84" t="n">
        <f aca="false">AC73*K29</f>
        <v>0</v>
      </c>
      <c r="AD74" s="331"/>
      <c r="AE74" s="331" t="n">
        <f aca="false">AC74+AC72</f>
        <v>0</v>
      </c>
      <c r="AF74" s="342"/>
      <c r="AG74" s="342"/>
      <c r="AH74" s="342"/>
      <c r="AI74" s="11"/>
    </row>
    <row r="75" customFormat="false" ht="17.35" hidden="false" customHeight="false" outlineLevel="0" collapsed="false">
      <c r="A75" s="218" t="s">
        <v>103</v>
      </c>
      <c r="B75" s="88" t="n">
        <v>0</v>
      </c>
      <c r="C75" s="331"/>
      <c r="D75" s="331" t="n">
        <f aca="false">B75</f>
        <v>0</v>
      </c>
      <c r="E75" s="342"/>
      <c r="F75" s="342"/>
      <c r="G75" s="342"/>
      <c r="H75" s="11"/>
      <c r="J75" s="218" t="s">
        <v>103</v>
      </c>
      <c r="K75" s="88" t="n">
        <v>0</v>
      </c>
      <c r="L75" s="331"/>
      <c r="M75" s="331" t="n">
        <f aca="false">K75</f>
        <v>0</v>
      </c>
      <c r="N75" s="342"/>
      <c r="O75" s="342"/>
      <c r="P75" s="342"/>
      <c r="Q75" s="11"/>
      <c r="S75" s="218" t="s">
        <v>103</v>
      </c>
      <c r="T75" s="88" t="n">
        <v>0</v>
      </c>
      <c r="U75" s="331"/>
      <c r="V75" s="331" t="n">
        <f aca="false">T75</f>
        <v>0</v>
      </c>
      <c r="W75" s="342"/>
      <c r="X75" s="342"/>
      <c r="Y75" s="342"/>
      <c r="Z75" s="11"/>
      <c r="AB75" s="218" t="s">
        <v>103</v>
      </c>
      <c r="AC75" s="88" t="n">
        <v>0</v>
      </c>
      <c r="AD75" s="331"/>
      <c r="AE75" s="331" t="n">
        <f aca="false">AC75</f>
        <v>0</v>
      </c>
      <c r="AF75" s="342"/>
      <c r="AG75" s="342"/>
      <c r="AH75" s="342"/>
      <c r="AI75" s="11"/>
    </row>
    <row r="76" customFormat="false" ht="17.35" hidden="false" customHeight="false" outlineLevel="0" collapsed="false">
      <c r="A76" s="267" t="s">
        <v>104</v>
      </c>
      <c r="B76" s="97" t="n">
        <v>0</v>
      </c>
      <c r="C76" s="331"/>
      <c r="D76" s="331" t="n">
        <f aca="false">B76</f>
        <v>0</v>
      </c>
      <c r="E76" s="342"/>
      <c r="F76" s="342"/>
      <c r="G76" s="342"/>
      <c r="H76" s="11"/>
      <c r="J76" s="267" t="s">
        <v>104</v>
      </c>
      <c r="K76" s="97" t="n">
        <v>0</v>
      </c>
      <c r="L76" s="331"/>
      <c r="M76" s="331" t="n">
        <f aca="false">K76</f>
        <v>0</v>
      </c>
      <c r="N76" s="342"/>
      <c r="O76" s="342"/>
      <c r="P76" s="342"/>
      <c r="Q76" s="11"/>
      <c r="S76" s="267" t="s">
        <v>104</v>
      </c>
      <c r="T76" s="97" t="n">
        <v>0</v>
      </c>
      <c r="U76" s="331"/>
      <c r="V76" s="331" t="n">
        <f aca="false">T76</f>
        <v>0</v>
      </c>
      <c r="W76" s="342"/>
      <c r="X76" s="342"/>
      <c r="Y76" s="342"/>
      <c r="Z76" s="11"/>
      <c r="AB76" s="267" t="s">
        <v>104</v>
      </c>
      <c r="AC76" s="97" t="n">
        <v>0</v>
      </c>
      <c r="AD76" s="331"/>
      <c r="AE76" s="331" t="n">
        <f aca="false">AC76</f>
        <v>0</v>
      </c>
      <c r="AF76" s="342"/>
      <c r="AG76" s="342"/>
      <c r="AH76" s="342"/>
      <c r="AI76" s="11"/>
    </row>
    <row r="77" customFormat="false" ht="17.35" hidden="false" customHeight="false" outlineLevel="0" collapsed="false">
      <c r="A77" s="271" t="s">
        <v>105</v>
      </c>
      <c r="B77" s="272" t="n">
        <f aca="false">SUM(D65:D76)</f>
        <v>0</v>
      </c>
      <c r="C77" s="331"/>
      <c r="D77" s="331"/>
      <c r="E77" s="342"/>
      <c r="F77" s="342"/>
      <c r="G77" s="342"/>
      <c r="H77" s="11"/>
      <c r="J77" s="271" t="s">
        <v>105</v>
      </c>
      <c r="K77" s="272" t="n">
        <f aca="false">SUM(M65:M76)</f>
        <v>0</v>
      </c>
      <c r="L77" s="331"/>
      <c r="M77" s="331"/>
      <c r="N77" s="342"/>
      <c r="O77" s="342"/>
      <c r="P77" s="342"/>
      <c r="Q77" s="11"/>
      <c r="S77" s="271" t="s">
        <v>105</v>
      </c>
      <c r="T77" s="272" t="n">
        <f aca="false">SUM(V65:V76)</f>
        <v>0</v>
      </c>
      <c r="U77" s="331"/>
      <c r="V77" s="331"/>
      <c r="W77" s="342"/>
      <c r="X77" s="342"/>
      <c r="Y77" s="342"/>
      <c r="Z77" s="11"/>
      <c r="AB77" s="271" t="s">
        <v>105</v>
      </c>
      <c r="AC77" s="272" t="n">
        <f aca="false">SUM(AE65:AE76)</f>
        <v>0</v>
      </c>
      <c r="AD77" s="331"/>
      <c r="AE77" s="331"/>
      <c r="AF77" s="342"/>
      <c r="AG77" s="342"/>
      <c r="AH77" s="342"/>
      <c r="AI77" s="11"/>
    </row>
    <row r="78" customFormat="false" ht="17.35" hidden="false" customHeight="false" outlineLevel="0" collapsed="false">
      <c r="A78" s="221" t="s">
        <v>106</v>
      </c>
      <c r="B78" s="11" t="n">
        <f aca="false">B77/H29</f>
        <v>0</v>
      </c>
      <c r="C78" s="331"/>
      <c r="D78" s="331"/>
      <c r="E78" s="342"/>
      <c r="F78" s="342"/>
      <c r="G78" s="342"/>
      <c r="H78" s="11"/>
      <c r="J78" s="221" t="s">
        <v>106</v>
      </c>
      <c r="K78" s="11" t="n">
        <f aca="false">K77/K29</f>
        <v>0</v>
      </c>
      <c r="L78" s="331"/>
      <c r="M78" s="331"/>
      <c r="N78" s="342"/>
      <c r="O78" s="342"/>
      <c r="P78" s="342"/>
      <c r="Q78" s="11"/>
      <c r="S78" s="221" t="s">
        <v>106</v>
      </c>
      <c r="T78" s="11" t="n">
        <f aca="false">T77/K29</f>
        <v>0</v>
      </c>
      <c r="U78" s="331"/>
      <c r="V78" s="331"/>
      <c r="W78" s="342"/>
      <c r="X78" s="342"/>
      <c r="Y78" s="342"/>
      <c r="Z78" s="11"/>
      <c r="AB78" s="221" t="s">
        <v>106</v>
      </c>
      <c r="AC78" s="11" t="n">
        <f aca="false">AC77/K29</f>
        <v>0</v>
      </c>
      <c r="AD78" s="331"/>
      <c r="AE78" s="331"/>
      <c r="AF78" s="342"/>
      <c r="AG78" s="342"/>
      <c r="AH78" s="342"/>
      <c r="AI78" s="11"/>
    </row>
    <row r="79" customFormat="false" ht="17.35" hidden="false" customHeight="false" outlineLevel="0" collapsed="false">
      <c r="A79" s="273" t="s">
        <v>107</v>
      </c>
      <c r="B79" s="101" t="n">
        <f aca="false">K47</f>
        <v>922.920864561026</v>
      </c>
      <c r="C79" s="331"/>
      <c r="D79" s="331"/>
      <c r="E79" s="342"/>
      <c r="F79" s="342"/>
      <c r="G79" s="342"/>
      <c r="H79" s="11"/>
      <c r="J79" s="273" t="s">
        <v>107</v>
      </c>
      <c r="K79" s="101" t="n">
        <f aca="false">K47</f>
        <v>922.920864561026</v>
      </c>
      <c r="L79" s="331"/>
      <c r="M79" s="331"/>
      <c r="N79" s="342"/>
      <c r="O79" s="342"/>
      <c r="P79" s="342"/>
      <c r="Q79" s="11"/>
      <c r="S79" s="273" t="s">
        <v>107</v>
      </c>
      <c r="T79" s="101" t="n">
        <f aca="false">B52</f>
        <v>951.531975672137</v>
      </c>
      <c r="U79" s="331"/>
      <c r="V79" s="331"/>
      <c r="W79" s="342"/>
      <c r="X79" s="342"/>
      <c r="Y79" s="342"/>
      <c r="Z79" s="11"/>
      <c r="AB79" s="273" t="s">
        <v>107</v>
      </c>
      <c r="AC79" s="101" t="n">
        <f aca="false">B52</f>
        <v>951.531975672137</v>
      </c>
      <c r="AD79" s="331"/>
      <c r="AE79" s="331"/>
      <c r="AF79" s="342"/>
      <c r="AG79" s="342"/>
      <c r="AH79" s="342"/>
      <c r="AI79" s="11"/>
    </row>
    <row r="80" customFormat="false" ht="17.35" hidden="false" customHeight="false" outlineLevel="0" collapsed="false">
      <c r="A80" s="221"/>
      <c r="B80" s="331"/>
      <c r="C80" s="331"/>
      <c r="D80" s="331"/>
      <c r="E80" s="342"/>
      <c r="F80" s="342"/>
      <c r="G80" s="342"/>
      <c r="H80" s="11"/>
      <c r="J80" s="221"/>
      <c r="K80" s="331"/>
      <c r="L80" s="331"/>
      <c r="M80" s="331"/>
      <c r="N80" s="342"/>
      <c r="O80" s="342"/>
      <c r="P80" s="342"/>
      <c r="Q80" s="11"/>
      <c r="S80" s="221"/>
      <c r="T80" s="331"/>
      <c r="U80" s="331"/>
      <c r="V80" s="331"/>
      <c r="W80" s="342"/>
      <c r="X80" s="342"/>
      <c r="Y80" s="342"/>
      <c r="Z80" s="11"/>
      <c r="AB80" s="221"/>
      <c r="AC80" s="331"/>
      <c r="AD80" s="331"/>
      <c r="AE80" s="331"/>
      <c r="AF80" s="342"/>
      <c r="AG80" s="342"/>
      <c r="AH80" s="342"/>
      <c r="AI80" s="11"/>
    </row>
    <row r="81" customFormat="false" ht="17.35" hidden="false" customHeight="false" outlineLevel="0" collapsed="false">
      <c r="A81" s="238" t="s">
        <v>210</v>
      </c>
      <c r="B81" s="102" t="n">
        <f aca="false">G158</f>
        <v>58525</v>
      </c>
      <c r="C81" s="331"/>
      <c r="D81" s="331"/>
      <c r="E81" s="342"/>
      <c r="F81" s="342"/>
      <c r="G81" s="342"/>
      <c r="H81" s="11"/>
      <c r="J81" s="238" t="s">
        <v>210</v>
      </c>
      <c r="K81" s="102" t="n">
        <f aca="false">P158</f>
        <v>37655</v>
      </c>
      <c r="L81" s="331"/>
      <c r="M81" s="331"/>
      <c r="N81" s="342"/>
      <c r="O81" s="342"/>
      <c r="P81" s="342"/>
      <c r="Q81" s="11"/>
      <c r="S81" s="238" t="s">
        <v>210</v>
      </c>
      <c r="T81" s="102" t="n">
        <f aca="false">Y158</f>
        <v>59384.43749</v>
      </c>
      <c r="U81" s="331"/>
      <c r="V81" s="331"/>
      <c r="W81" s="342"/>
      <c r="X81" s="342"/>
      <c r="Y81" s="342"/>
      <c r="Z81" s="11"/>
      <c r="AB81" s="238" t="s">
        <v>210</v>
      </c>
      <c r="AC81" s="102" t="n">
        <f aca="false">AH158</f>
        <v>45468.749</v>
      </c>
      <c r="AD81" s="331"/>
      <c r="AE81" s="331"/>
      <c r="AF81" s="342"/>
      <c r="AG81" s="342"/>
      <c r="AH81" s="342"/>
      <c r="AI81" s="11"/>
    </row>
    <row r="82" customFormat="false" ht="17.35" hidden="false" customHeight="false" outlineLevel="0" collapsed="false">
      <c r="A82" s="221" t="s">
        <v>211</v>
      </c>
      <c r="B82" s="11" t="n">
        <f aca="false">IF(A111 = "YES", A40, 0)</f>
        <v>27500</v>
      </c>
      <c r="C82" s="331"/>
      <c r="D82" s="331"/>
      <c r="E82" s="342"/>
      <c r="F82" s="342"/>
      <c r="G82" s="342"/>
      <c r="H82" s="11"/>
      <c r="J82" s="221" t="s">
        <v>211</v>
      </c>
      <c r="K82" s="11" t="n">
        <f aca="false">IF(J111 = "YES", A40, 0)</f>
        <v>0</v>
      </c>
      <c r="L82" s="331"/>
      <c r="M82" s="331"/>
      <c r="N82" s="342"/>
      <c r="O82" s="342"/>
      <c r="P82" s="342"/>
      <c r="Q82" s="11"/>
      <c r="S82" s="221" t="s">
        <v>211</v>
      </c>
      <c r="T82" s="11" t="n">
        <f aca="false">A40</f>
        <v>27500</v>
      </c>
      <c r="U82" s="331"/>
      <c r="V82" s="331"/>
      <c r="W82" s="342"/>
      <c r="X82" s="342"/>
      <c r="Y82" s="342"/>
      <c r="Z82" s="11"/>
      <c r="AB82" s="221" t="s">
        <v>211</v>
      </c>
      <c r="AC82" s="11" t="n">
        <f aca="false">A40</f>
        <v>27500</v>
      </c>
      <c r="AD82" s="331"/>
      <c r="AE82" s="331"/>
      <c r="AF82" s="342"/>
      <c r="AG82" s="342"/>
      <c r="AH82" s="342"/>
      <c r="AI82" s="11"/>
    </row>
    <row r="83" customFormat="false" ht="17.35" hidden="false" customHeight="false" outlineLevel="0" collapsed="false">
      <c r="A83" s="221" t="s">
        <v>212</v>
      </c>
      <c r="B83" s="347" t="n">
        <f aca="false">B62+B63+B64</f>
        <v>0.089</v>
      </c>
      <c r="C83" s="331"/>
      <c r="D83" s="331"/>
      <c r="E83" s="342"/>
      <c r="F83" s="342"/>
      <c r="G83" s="342"/>
      <c r="H83" s="11"/>
      <c r="J83" s="221" t="s">
        <v>212</v>
      </c>
      <c r="K83" s="347" t="n">
        <f aca="false">K62+K63+K64</f>
        <v>0.24</v>
      </c>
      <c r="L83" s="331"/>
      <c r="M83" s="331"/>
      <c r="N83" s="342"/>
      <c r="O83" s="342"/>
      <c r="P83" s="342"/>
      <c r="Q83" s="11"/>
      <c r="S83" s="221" t="s">
        <v>212</v>
      </c>
      <c r="T83" s="347" t="n">
        <f aca="false">T62+T63+T64</f>
        <v>0.131</v>
      </c>
      <c r="U83" s="331"/>
      <c r="V83" s="331"/>
      <c r="W83" s="342"/>
      <c r="X83" s="342"/>
      <c r="Y83" s="342"/>
      <c r="Z83" s="11"/>
      <c r="AB83" s="221" t="s">
        <v>212</v>
      </c>
      <c r="AC83" s="347" t="n">
        <f aca="false">AC62+AC63+AC64</f>
        <v>0.131</v>
      </c>
      <c r="AD83" s="331"/>
      <c r="AE83" s="331"/>
      <c r="AF83" s="342"/>
      <c r="AG83" s="342"/>
      <c r="AH83" s="342"/>
      <c r="AI83" s="11"/>
    </row>
    <row r="84" customFormat="false" ht="17.35" hidden="false" customHeight="false" outlineLevel="0" collapsed="false">
      <c r="A84" s="221" t="s">
        <v>213</v>
      </c>
      <c r="B84" s="347" t="n">
        <f aca="false">B83/12</f>
        <v>0.00741666666666667</v>
      </c>
      <c r="C84" s="331"/>
      <c r="D84" s="331"/>
      <c r="E84" s="342"/>
      <c r="F84" s="342"/>
      <c r="G84" s="342"/>
      <c r="H84" s="11"/>
      <c r="J84" s="221" t="s">
        <v>213</v>
      </c>
      <c r="K84" s="347" t="n">
        <f aca="false">K83/12</f>
        <v>0.02</v>
      </c>
      <c r="L84" s="331"/>
      <c r="M84" s="331"/>
      <c r="N84" s="342"/>
      <c r="O84" s="342"/>
      <c r="P84" s="342"/>
      <c r="Q84" s="11"/>
      <c r="S84" s="221" t="s">
        <v>213</v>
      </c>
      <c r="T84" s="347" t="n">
        <f aca="false">T83/12</f>
        <v>0.0109166666666667</v>
      </c>
      <c r="U84" s="331"/>
      <c r="V84" s="331"/>
      <c r="W84" s="342"/>
      <c r="X84" s="342"/>
      <c r="Y84" s="342"/>
      <c r="Z84" s="11"/>
      <c r="AB84" s="221" t="s">
        <v>213</v>
      </c>
      <c r="AC84" s="347" t="n">
        <f aca="false">AC83/12</f>
        <v>0.0109166666666667</v>
      </c>
      <c r="AD84" s="331"/>
      <c r="AE84" s="331"/>
      <c r="AF84" s="342"/>
      <c r="AG84" s="342"/>
      <c r="AH84" s="342"/>
      <c r="AI84" s="11"/>
    </row>
    <row r="85" customFormat="false" ht="17.35" hidden="false" customHeight="false" outlineLevel="0" collapsed="false">
      <c r="A85" s="221" t="s">
        <v>214</v>
      </c>
      <c r="B85" s="11" t="n">
        <f aca="false">IF(B82=0, (B59+B58), (B59))</f>
        <v>35</v>
      </c>
      <c r="C85" s="331"/>
      <c r="D85" s="331"/>
      <c r="E85" s="342"/>
      <c r="F85" s="342"/>
      <c r="G85" s="342"/>
      <c r="H85" s="11"/>
      <c r="J85" s="221" t="s">
        <v>214</v>
      </c>
      <c r="K85" s="11" t="n">
        <f aca="false">IF(K82=0, (K59+K58), (K59))</f>
        <v>36</v>
      </c>
      <c r="L85" s="331"/>
      <c r="M85" s="331"/>
      <c r="N85" s="342"/>
      <c r="O85" s="342"/>
      <c r="P85" s="342"/>
      <c r="Q85" s="11"/>
      <c r="S85" s="221" t="s">
        <v>214</v>
      </c>
      <c r="T85" s="11" t="n">
        <f aca="false">T59</f>
        <v>35</v>
      </c>
      <c r="U85" s="331"/>
      <c r="V85" s="331"/>
      <c r="W85" s="342"/>
      <c r="X85" s="342"/>
      <c r="Y85" s="342"/>
      <c r="Z85" s="11"/>
      <c r="AB85" s="221" t="s">
        <v>214</v>
      </c>
      <c r="AC85" s="11" t="n">
        <f aca="false">AC59</f>
        <v>35</v>
      </c>
      <c r="AD85" s="331"/>
      <c r="AE85" s="331"/>
      <c r="AF85" s="342"/>
      <c r="AG85" s="342"/>
      <c r="AH85" s="342"/>
      <c r="AI85" s="11"/>
    </row>
    <row r="86" customFormat="false" ht="17.35" hidden="false" customHeight="false" outlineLevel="0" collapsed="false">
      <c r="A86" s="221" t="s">
        <v>215</v>
      </c>
      <c r="B86" s="11" t="n">
        <f aca="false">(B82/((1+B84)^(B85+1)))</f>
        <v>21076.7652577131</v>
      </c>
      <c r="C86" s="331"/>
      <c r="D86" s="331"/>
      <c r="E86" s="342"/>
      <c r="F86" s="342"/>
      <c r="G86" s="342"/>
      <c r="H86" s="11"/>
      <c r="J86" s="221" t="s">
        <v>215</v>
      </c>
      <c r="K86" s="11" t="n">
        <f aca="false">(K82/((1+K84)^(K85+1)))</f>
        <v>0</v>
      </c>
      <c r="L86" s="331"/>
      <c r="M86" s="331"/>
      <c r="N86" s="342"/>
      <c r="O86" s="342"/>
      <c r="P86" s="342"/>
      <c r="Q86" s="11"/>
      <c r="S86" s="221" t="s">
        <v>215</v>
      </c>
      <c r="T86" s="11" t="n">
        <f aca="false">(T82/((1+T84)^(T85+1)))</f>
        <v>18602.8658097623</v>
      </c>
      <c r="U86" s="331"/>
      <c r="V86" s="331"/>
      <c r="W86" s="342"/>
      <c r="X86" s="342"/>
      <c r="Y86" s="342"/>
      <c r="Z86" s="11"/>
      <c r="AB86" s="221" t="s">
        <v>215</v>
      </c>
      <c r="AC86" s="11" t="n">
        <f aca="false">(AC82/((1+AC84)^(AC85+1)))</f>
        <v>18602.8658097623</v>
      </c>
      <c r="AD86" s="331"/>
      <c r="AE86" s="331"/>
      <c r="AF86" s="342"/>
      <c r="AG86" s="342"/>
      <c r="AH86" s="342"/>
      <c r="AI86" s="11"/>
    </row>
    <row r="87" customFormat="false" ht="17.35" hidden="false" customHeight="false" outlineLevel="0" collapsed="false">
      <c r="A87" s="221" t="s">
        <v>216</v>
      </c>
      <c r="B87" s="11" t="n">
        <f aca="false">((1-(1/((1+B84)^B85)))/B84)</f>
        <v>30.7264493562845</v>
      </c>
      <c r="C87" s="331"/>
      <c r="D87" s="331"/>
      <c r="E87" s="342"/>
      <c r="F87" s="342"/>
      <c r="G87" s="342"/>
      <c r="H87" s="11"/>
      <c r="J87" s="221" t="s">
        <v>216</v>
      </c>
      <c r="K87" s="11" t="n">
        <f aca="false">((1-(1/((1+K84)^K85)))/K84)</f>
        <v>25.4888424823874</v>
      </c>
      <c r="L87" s="331"/>
      <c r="M87" s="331"/>
      <c r="N87" s="342"/>
      <c r="O87" s="342"/>
      <c r="P87" s="342"/>
      <c r="Q87" s="11"/>
      <c r="S87" s="221" t="s">
        <v>216</v>
      </c>
      <c r="T87" s="11" t="n">
        <f aca="false">((1-(1/((1+T84)^T85)))/T84)</f>
        <v>28.9600651941078</v>
      </c>
      <c r="U87" s="331"/>
      <c r="V87" s="331"/>
      <c r="W87" s="342"/>
      <c r="X87" s="342"/>
      <c r="Y87" s="342"/>
      <c r="Z87" s="11"/>
      <c r="AB87" s="221" t="s">
        <v>216</v>
      </c>
      <c r="AC87" s="11" t="n">
        <f aca="false">((1-(1/((1+AC84)^AC85)))/AC84)</f>
        <v>28.9600651941078</v>
      </c>
      <c r="AD87" s="331"/>
      <c r="AE87" s="331"/>
      <c r="AF87" s="342"/>
      <c r="AG87" s="342"/>
      <c r="AH87" s="342"/>
      <c r="AI87" s="11"/>
    </row>
    <row r="88" customFormat="false" ht="17.35" hidden="false" customHeight="false" outlineLevel="0" collapsed="false">
      <c r="A88" s="221" t="s">
        <v>217</v>
      </c>
      <c r="B88" s="11" t="n">
        <f aca="false">B81-B86</f>
        <v>37448.2347422869</v>
      </c>
      <c r="C88" s="331"/>
      <c r="D88" s="331"/>
      <c r="E88" s="342"/>
      <c r="F88" s="342"/>
      <c r="G88" s="342"/>
      <c r="H88" s="11"/>
      <c r="J88" s="221" t="s">
        <v>217</v>
      </c>
      <c r="K88" s="11" t="n">
        <f aca="false">K81-K86</f>
        <v>37655</v>
      </c>
      <c r="L88" s="331"/>
      <c r="M88" s="331"/>
      <c r="N88" s="342"/>
      <c r="O88" s="342"/>
      <c r="P88" s="342"/>
      <c r="Q88" s="11"/>
      <c r="S88" s="221" t="s">
        <v>217</v>
      </c>
      <c r="T88" s="11" t="n">
        <f aca="false">T81-T86</f>
        <v>40781.5716802377</v>
      </c>
      <c r="U88" s="331"/>
      <c r="V88" s="331"/>
      <c r="W88" s="342"/>
      <c r="X88" s="342"/>
      <c r="Y88" s="342"/>
      <c r="Z88" s="11"/>
      <c r="AB88" s="221" t="s">
        <v>217</v>
      </c>
      <c r="AC88" s="11" t="n">
        <f aca="false">AC81-AC86</f>
        <v>26865.8831902377</v>
      </c>
      <c r="AD88" s="331"/>
      <c r="AE88" s="331"/>
      <c r="AF88" s="342"/>
      <c r="AG88" s="342"/>
      <c r="AH88" s="342"/>
      <c r="AI88" s="11"/>
    </row>
    <row r="89" customFormat="false" ht="17.35" hidden="false" customHeight="false" outlineLevel="0" collapsed="false">
      <c r="A89" s="221" t="s">
        <v>218</v>
      </c>
      <c r="B89" s="11" t="n">
        <f aca="false">(B88/B87)</f>
        <v>1218.7621911032</v>
      </c>
      <c r="C89" s="331"/>
      <c r="D89" s="331"/>
      <c r="E89" s="342"/>
      <c r="F89" s="342"/>
      <c r="G89" s="342"/>
      <c r="H89" s="11"/>
      <c r="J89" s="221" t="s">
        <v>218</v>
      </c>
      <c r="K89" s="11" t="n">
        <f aca="false">(K88/K87)</f>
        <v>1477.31306457009</v>
      </c>
      <c r="L89" s="331"/>
      <c r="M89" s="331"/>
      <c r="N89" s="342"/>
      <c r="O89" s="342"/>
      <c r="P89" s="342"/>
      <c r="Q89" s="11"/>
      <c r="S89" s="221" t="s">
        <v>218</v>
      </c>
      <c r="T89" s="11" t="n">
        <f aca="false">(T88/T87)</f>
        <v>1408.20027188803</v>
      </c>
      <c r="U89" s="331"/>
      <c r="V89" s="331"/>
      <c r="W89" s="342"/>
      <c r="X89" s="342"/>
      <c r="Y89" s="342"/>
      <c r="Z89" s="11"/>
      <c r="AB89" s="221" t="s">
        <v>218</v>
      </c>
      <c r="AC89" s="11" t="n">
        <f aca="false">(AC88/AC87)</f>
        <v>927.687248290581</v>
      </c>
      <c r="AD89" s="331"/>
      <c r="AE89" s="331"/>
      <c r="AF89" s="342"/>
      <c r="AG89" s="342"/>
      <c r="AH89" s="342"/>
      <c r="AI89" s="11"/>
    </row>
    <row r="90" customFormat="false" ht="17.35" hidden="false" customHeight="false" outlineLevel="0" collapsed="false">
      <c r="A90" s="221" t="s">
        <v>108</v>
      </c>
      <c r="B90" s="11" t="n">
        <f aca="false">((B89*(B85))+B77)</f>
        <v>42656.676688612</v>
      </c>
      <c r="C90" s="331"/>
      <c r="D90" s="331"/>
      <c r="E90" s="342"/>
      <c r="F90" s="342"/>
      <c r="G90" s="342"/>
      <c r="H90" s="11"/>
      <c r="J90" s="221" t="s">
        <v>108</v>
      </c>
      <c r="K90" s="11" t="n">
        <f aca="false">((K89*(K85))+K77)</f>
        <v>53183.2703245232</v>
      </c>
      <c r="L90" s="331"/>
      <c r="M90" s="331"/>
      <c r="N90" s="342"/>
      <c r="O90" s="342"/>
      <c r="P90" s="342"/>
      <c r="Q90" s="11"/>
      <c r="S90" s="221" t="s">
        <v>108</v>
      </c>
      <c r="T90" s="11" t="n">
        <f aca="false">(T89*(T85))+T77</f>
        <v>49287.009516081</v>
      </c>
      <c r="U90" s="331"/>
      <c r="V90" s="331"/>
      <c r="W90" s="342"/>
      <c r="X90" s="342"/>
      <c r="Y90" s="342"/>
      <c r="Z90" s="11"/>
      <c r="AB90" s="221" t="s">
        <v>108</v>
      </c>
      <c r="AC90" s="11" t="n">
        <f aca="false">(AC89*(AC59))+AC77</f>
        <v>32469.0536901703</v>
      </c>
      <c r="AD90" s="331"/>
      <c r="AE90" s="331"/>
      <c r="AF90" s="342"/>
      <c r="AG90" s="342"/>
      <c r="AH90" s="342"/>
      <c r="AI90" s="11"/>
    </row>
    <row r="91" customFormat="false" ht="17.35" hidden="false" customHeight="false" outlineLevel="0" collapsed="false">
      <c r="A91" s="221" t="s">
        <v>109</v>
      </c>
      <c r="B91" s="11" t="n">
        <f aca="false">(B90/(1-B71))*B71</f>
        <v>0</v>
      </c>
      <c r="C91" s="331"/>
      <c r="D91" s="331"/>
      <c r="E91" s="342"/>
      <c r="F91" s="342"/>
      <c r="G91" s="342"/>
      <c r="H91" s="11"/>
      <c r="J91" s="221" t="s">
        <v>109</v>
      </c>
      <c r="K91" s="11" t="n">
        <f aca="false">(K90/(1-K71))*K71</f>
        <v>0</v>
      </c>
      <c r="L91" s="331"/>
      <c r="M91" s="331"/>
      <c r="N91" s="342"/>
      <c r="O91" s="342"/>
      <c r="P91" s="342"/>
      <c r="Q91" s="11"/>
      <c r="S91" s="221" t="s">
        <v>109</v>
      </c>
      <c r="T91" s="11" t="n">
        <f aca="false">(T90/(1-T71))*T71</f>
        <v>0</v>
      </c>
      <c r="U91" s="331"/>
      <c r="V91" s="331"/>
      <c r="W91" s="342"/>
      <c r="X91" s="342"/>
      <c r="Y91" s="342"/>
      <c r="Z91" s="11"/>
      <c r="AB91" s="221" t="s">
        <v>109</v>
      </c>
      <c r="AC91" s="11" t="n">
        <f aca="false">(AC90/(1-AC71))*AC71</f>
        <v>0</v>
      </c>
      <c r="AD91" s="331"/>
      <c r="AE91" s="331"/>
      <c r="AF91" s="342"/>
      <c r="AG91" s="342"/>
      <c r="AH91" s="342"/>
      <c r="AI91" s="11"/>
    </row>
    <row r="92" customFormat="false" ht="17.35" hidden="false" customHeight="false" outlineLevel="0" collapsed="false">
      <c r="A92" s="249" t="s">
        <v>110</v>
      </c>
      <c r="B92" s="84" t="n">
        <f aca="false">(B90+B91)</f>
        <v>42656.676688612</v>
      </c>
      <c r="C92" s="331"/>
      <c r="D92" s="331"/>
      <c r="E92" s="342"/>
      <c r="F92" s="342"/>
      <c r="G92" s="342"/>
      <c r="H92" s="11"/>
      <c r="J92" s="249" t="s">
        <v>110</v>
      </c>
      <c r="K92" s="84" t="n">
        <f aca="false">(K90+K91)</f>
        <v>53183.2703245232</v>
      </c>
      <c r="L92" s="331"/>
      <c r="M92" s="331"/>
      <c r="N92" s="342"/>
      <c r="O92" s="342"/>
      <c r="P92" s="342"/>
      <c r="Q92" s="11"/>
      <c r="S92" s="249" t="s">
        <v>110</v>
      </c>
      <c r="T92" s="84" t="n">
        <f aca="false">(T90+T91)</f>
        <v>49287.009516081</v>
      </c>
      <c r="U92" s="331"/>
      <c r="V92" s="331"/>
      <c r="W92" s="342"/>
      <c r="X92" s="342"/>
      <c r="Y92" s="342"/>
      <c r="Z92" s="11"/>
      <c r="AB92" s="249" t="s">
        <v>110</v>
      </c>
      <c r="AC92" s="84" t="n">
        <f aca="false">(AC90+AC91)</f>
        <v>32469.0536901703</v>
      </c>
      <c r="AD92" s="331"/>
      <c r="AE92" s="331"/>
      <c r="AF92" s="342"/>
      <c r="AG92" s="342"/>
      <c r="AH92" s="342"/>
      <c r="AI92" s="11"/>
    </row>
    <row r="93" customFormat="false" ht="17.35" hidden="false" customHeight="false" outlineLevel="0" collapsed="false">
      <c r="A93" s="221"/>
      <c r="B93" s="331"/>
      <c r="C93" s="331"/>
      <c r="D93" s="331"/>
      <c r="E93" s="342"/>
      <c r="F93" s="342"/>
      <c r="G93" s="342"/>
      <c r="H93" s="11"/>
      <c r="J93" s="221"/>
      <c r="K93" s="331"/>
      <c r="L93" s="331"/>
      <c r="M93" s="331"/>
      <c r="N93" s="342"/>
      <c r="O93" s="342"/>
      <c r="P93" s="342"/>
      <c r="Q93" s="11"/>
      <c r="S93" s="221"/>
      <c r="T93" s="331"/>
      <c r="U93" s="331"/>
      <c r="V93" s="331"/>
      <c r="W93" s="342"/>
      <c r="X93" s="342"/>
      <c r="Y93" s="342"/>
      <c r="Z93" s="11"/>
      <c r="AB93" s="221"/>
      <c r="AC93" s="331"/>
      <c r="AD93" s="331"/>
      <c r="AE93" s="331"/>
      <c r="AF93" s="342"/>
      <c r="AG93" s="342"/>
      <c r="AH93" s="342"/>
      <c r="AI93" s="11"/>
    </row>
    <row r="94" customFormat="false" ht="17.35" hidden="false" customHeight="false" outlineLevel="0" collapsed="false">
      <c r="A94" s="271" t="s">
        <v>65</v>
      </c>
      <c r="B94" s="272" t="n">
        <f aca="false">IF(B26="YES",((E40/B85)*(1+A108)*1.2),"0")</f>
        <v>42.3771428571428</v>
      </c>
      <c r="C94" s="331"/>
      <c r="D94" s="331"/>
      <c r="E94" s="342"/>
      <c r="F94" s="342"/>
      <c r="G94" s="342"/>
      <c r="H94" s="11"/>
      <c r="J94" s="271" t="s">
        <v>65</v>
      </c>
      <c r="K94" s="272" t="n">
        <f aca="false">((E40/K85)*(1+J108))*1.2</f>
        <v>44.6333333333333</v>
      </c>
      <c r="L94" s="331"/>
      <c r="M94" s="331"/>
      <c r="N94" s="342"/>
      <c r="O94" s="342"/>
      <c r="P94" s="342"/>
      <c r="Q94" s="11"/>
      <c r="S94" s="271" t="s">
        <v>65</v>
      </c>
      <c r="T94" s="272" t="n">
        <f aca="false">((E40/T85)*(1+S108))</f>
        <v>35.3142857142857</v>
      </c>
      <c r="U94" s="331"/>
      <c r="V94" s="331"/>
      <c r="W94" s="342"/>
      <c r="X94" s="342"/>
      <c r="Y94" s="342"/>
      <c r="Z94" s="11"/>
      <c r="AB94" s="271" t="s">
        <v>65</v>
      </c>
      <c r="AC94" s="272" t="n">
        <f aca="false">((E40/AC85)*(1+AB108))*1.2</f>
        <v>42.3771428571428</v>
      </c>
      <c r="AD94" s="331"/>
      <c r="AE94" s="331"/>
      <c r="AF94" s="342"/>
      <c r="AG94" s="342"/>
      <c r="AH94" s="342"/>
      <c r="AI94" s="11"/>
    </row>
    <row r="95" customFormat="false" ht="17.35" hidden="false" customHeight="false" outlineLevel="0" collapsed="false">
      <c r="A95" s="274" t="s">
        <v>111</v>
      </c>
      <c r="B95" s="275" t="n">
        <f aca="false">B92/(B85)</f>
        <v>1218.7621911032</v>
      </c>
      <c r="C95" s="331"/>
      <c r="D95" s="331"/>
      <c r="E95" s="342"/>
      <c r="F95" s="342"/>
      <c r="G95" s="342"/>
      <c r="H95" s="11"/>
      <c r="J95" s="274" t="s">
        <v>111</v>
      </c>
      <c r="K95" s="275" t="n">
        <f aca="false">K92/(K85)</f>
        <v>1477.31306457009</v>
      </c>
      <c r="L95" s="331"/>
      <c r="M95" s="331"/>
      <c r="N95" s="342"/>
      <c r="O95" s="342"/>
      <c r="P95" s="342"/>
      <c r="Q95" s="11"/>
      <c r="S95" s="274" t="s">
        <v>111</v>
      </c>
      <c r="T95" s="275" t="n">
        <f aca="false">T92/(T85)</f>
        <v>1408.20027188803</v>
      </c>
      <c r="U95" s="331"/>
      <c r="V95" s="331"/>
      <c r="W95" s="342"/>
      <c r="X95" s="342"/>
      <c r="Y95" s="342"/>
      <c r="Z95" s="11"/>
      <c r="AB95" s="274" t="s">
        <v>111</v>
      </c>
      <c r="AC95" s="275" t="n">
        <f aca="false">AC92/(AC59)</f>
        <v>927.687248290581</v>
      </c>
      <c r="AD95" s="331"/>
      <c r="AE95" s="331"/>
      <c r="AF95" s="342"/>
      <c r="AG95" s="342"/>
      <c r="AH95" s="342"/>
      <c r="AI95" s="11"/>
    </row>
    <row r="96" customFormat="false" ht="17.35" hidden="false" customHeight="false" outlineLevel="0" collapsed="false">
      <c r="A96" s="276" t="s">
        <v>112</v>
      </c>
      <c r="B96" s="277" t="n">
        <f aca="false">(B94+B95)</f>
        <v>1261.13933396034</v>
      </c>
      <c r="C96" s="331"/>
      <c r="D96" s="331"/>
      <c r="E96" s="342"/>
      <c r="F96" s="342"/>
      <c r="G96" s="342"/>
      <c r="H96" s="11"/>
      <c r="J96" s="276" t="s">
        <v>112</v>
      </c>
      <c r="K96" s="277" t="n">
        <f aca="false">(K94+K95)</f>
        <v>1521.94639790342</v>
      </c>
      <c r="L96" s="331"/>
      <c r="M96" s="331"/>
      <c r="N96" s="342"/>
      <c r="O96" s="342"/>
      <c r="P96" s="342"/>
      <c r="Q96" s="11"/>
      <c r="S96" s="276" t="s">
        <v>112</v>
      </c>
      <c r="T96" s="277" t="n">
        <f aca="false">T94+T95</f>
        <v>1443.51455760232</v>
      </c>
      <c r="U96" s="331"/>
      <c r="V96" s="331"/>
      <c r="W96" s="342"/>
      <c r="X96" s="342"/>
      <c r="Y96" s="342"/>
      <c r="Z96" s="11"/>
      <c r="AB96" s="276" t="s">
        <v>112</v>
      </c>
      <c r="AC96" s="277" t="n">
        <f aca="false">AC94+AC95</f>
        <v>970.064391147723</v>
      </c>
      <c r="AD96" s="331"/>
      <c r="AE96" s="331"/>
      <c r="AF96" s="342"/>
      <c r="AG96" s="342"/>
      <c r="AH96" s="342"/>
      <c r="AI96" s="11"/>
    </row>
    <row r="97" customFormat="false" ht="17.35" hidden="false" customHeight="false" outlineLevel="0" collapsed="false">
      <c r="A97" s="249"/>
      <c r="B97" s="250"/>
      <c r="C97" s="250"/>
      <c r="D97" s="250"/>
      <c r="E97" s="278"/>
      <c r="F97" s="278"/>
      <c r="G97" s="278"/>
      <c r="H97" s="84"/>
      <c r="J97" s="249"/>
      <c r="K97" s="250"/>
      <c r="L97" s="250"/>
      <c r="M97" s="250"/>
      <c r="N97" s="278"/>
      <c r="O97" s="278"/>
      <c r="P97" s="278"/>
      <c r="Q97" s="84"/>
      <c r="S97" s="249"/>
      <c r="T97" s="250"/>
      <c r="U97" s="250"/>
      <c r="V97" s="250"/>
      <c r="W97" s="278"/>
      <c r="X97" s="278"/>
      <c r="Y97" s="278"/>
      <c r="Z97" s="84"/>
      <c r="AB97" s="249"/>
      <c r="AC97" s="250"/>
      <c r="AD97" s="250"/>
      <c r="AE97" s="250"/>
      <c r="AF97" s="278"/>
      <c r="AG97" s="278"/>
      <c r="AH97" s="278"/>
      <c r="AI97" s="84"/>
    </row>
    <row r="98" customFormat="false" ht="13.8" hidden="false" customHeight="false" outlineLevel="0" collapsed="false">
      <c r="A98" s="236"/>
      <c r="B98" s="236"/>
      <c r="C98" s="236"/>
      <c r="D98" s="236"/>
      <c r="E98" s="236"/>
      <c r="F98" s="236"/>
      <c r="G98" s="236"/>
      <c r="H98" s="236"/>
      <c r="J98" s="236"/>
      <c r="K98" s="236"/>
      <c r="L98" s="236"/>
      <c r="M98" s="236"/>
      <c r="N98" s="236"/>
      <c r="O98" s="236"/>
      <c r="P98" s="236"/>
      <c r="Q98" s="236"/>
      <c r="S98" s="236"/>
      <c r="T98" s="236"/>
      <c r="U98" s="236"/>
      <c r="V98" s="236"/>
      <c r="W98" s="236"/>
      <c r="X98" s="236"/>
      <c r="Y98" s="236"/>
      <c r="Z98" s="236"/>
      <c r="AB98" s="236"/>
      <c r="AC98" s="236"/>
      <c r="AD98" s="236"/>
      <c r="AE98" s="236"/>
      <c r="AF98" s="236"/>
      <c r="AG98" s="236"/>
      <c r="AH98" s="236"/>
      <c r="AI98" s="236"/>
    </row>
    <row r="99" customFormat="false" ht="13.8" hidden="false" customHeight="false" outlineLevel="0" collapsed="false">
      <c r="A99" s="236"/>
      <c r="B99" s="236"/>
      <c r="C99" s="236"/>
      <c r="D99" s="236"/>
      <c r="E99" s="236"/>
      <c r="F99" s="236"/>
      <c r="G99" s="236"/>
      <c r="H99" s="236"/>
      <c r="J99" s="236"/>
      <c r="K99" s="236"/>
      <c r="L99" s="236"/>
      <c r="M99" s="236"/>
      <c r="N99" s="236"/>
      <c r="O99" s="236"/>
      <c r="P99" s="236"/>
      <c r="Q99" s="236"/>
      <c r="S99" s="236"/>
      <c r="T99" s="236"/>
      <c r="U99" s="236"/>
      <c r="V99" s="236"/>
      <c r="W99" s="236"/>
      <c r="X99" s="236"/>
      <c r="Y99" s="236"/>
      <c r="Z99" s="236"/>
      <c r="AB99" s="236"/>
      <c r="AC99" s="236"/>
      <c r="AD99" s="236"/>
      <c r="AE99" s="236"/>
      <c r="AF99" s="236"/>
      <c r="AG99" s="236"/>
      <c r="AH99" s="236"/>
      <c r="AI99" s="236"/>
    </row>
    <row r="100" customFormat="false" ht="47.25" hidden="false" customHeight="true" outlineLevel="0" collapsed="false">
      <c r="A100" s="217" t="s">
        <v>221</v>
      </c>
      <c r="B100" s="217"/>
      <c r="C100" s="217"/>
      <c r="D100" s="217"/>
      <c r="E100" s="217"/>
      <c r="F100" s="217"/>
      <c r="G100" s="217"/>
      <c r="H100" s="217"/>
      <c r="J100" s="217" t="s">
        <v>221</v>
      </c>
      <c r="K100" s="217"/>
      <c r="L100" s="217"/>
      <c r="M100" s="217"/>
      <c r="N100" s="217"/>
      <c r="O100" s="217"/>
      <c r="P100" s="217"/>
      <c r="Q100" s="217"/>
      <c r="S100" s="217" t="s">
        <v>222</v>
      </c>
      <c r="T100" s="217"/>
      <c r="U100" s="217"/>
      <c r="V100" s="217"/>
      <c r="W100" s="217"/>
      <c r="X100" s="217"/>
      <c r="Y100" s="217"/>
      <c r="Z100" s="217"/>
      <c r="AB100" s="217" t="s">
        <v>223</v>
      </c>
      <c r="AC100" s="217"/>
      <c r="AD100" s="217"/>
      <c r="AE100" s="217"/>
      <c r="AF100" s="217"/>
      <c r="AG100" s="217"/>
      <c r="AH100" s="217"/>
      <c r="AI100" s="217"/>
    </row>
    <row r="101" customFormat="false" ht="17.35" hidden="false" customHeight="false" outlineLevel="0" collapsed="false">
      <c r="A101" s="238"/>
      <c r="B101" s="239"/>
      <c r="C101" s="239"/>
      <c r="D101" s="239"/>
      <c r="E101" s="262"/>
      <c r="F101" s="262"/>
      <c r="G101" s="262"/>
      <c r="H101" s="279"/>
      <c r="J101" s="238"/>
      <c r="K101" s="239"/>
      <c r="L101" s="239"/>
      <c r="M101" s="239"/>
      <c r="N101" s="262"/>
      <c r="O101" s="262"/>
      <c r="P101" s="262"/>
      <c r="Q101" s="279"/>
      <c r="S101" s="238"/>
      <c r="T101" s="239"/>
      <c r="U101" s="239"/>
      <c r="V101" s="239"/>
      <c r="W101" s="262"/>
      <c r="X101" s="262"/>
      <c r="Y101" s="262"/>
      <c r="Z101" s="279"/>
      <c r="AB101" s="238"/>
      <c r="AC101" s="239"/>
      <c r="AD101" s="239"/>
      <c r="AE101" s="239"/>
      <c r="AF101" s="262"/>
      <c r="AG101" s="262"/>
      <c r="AH101" s="262"/>
      <c r="AI101" s="279"/>
    </row>
    <row r="102" customFormat="false" ht="22.05" hidden="false" customHeight="false" outlineLevel="0" collapsed="false">
      <c r="A102" s="240" t="s">
        <v>116</v>
      </c>
      <c r="B102" s="240"/>
      <c r="C102" s="240"/>
      <c r="D102" s="240"/>
      <c r="E102" s="240"/>
      <c r="F102" s="240"/>
      <c r="G102" s="240"/>
      <c r="H102" s="240"/>
      <c r="J102" s="240" t="s">
        <v>116</v>
      </c>
      <c r="K102" s="240"/>
      <c r="L102" s="240"/>
      <c r="M102" s="240"/>
      <c r="N102" s="240"/>
      <c r="O102" s="240"/>
      <c r="P102" s="240"/>
      <c r="Q102" s="240"/>
      <c r="S102" s="240" t="s">
        <v>116</v>
      </c>
      <c r="T102" s="240"/>
      <c r="U102" s="240"/>
      <c r="V102" s="240"/>
      <c r="W102" s="240"/>
      <c r="X102" s="240"/>
      <c r="Y102" s="240"/>
      <c r="Z102" s="240"/>
      <c r="AB102" s="240" t="s">
        <v>116</v>
      </c>
      <c r="AC102" s="240"/>
      <c r="AD102" s="240"/>
      <c r="AE102" s="240"/>
      <c r="AF102" s="240"/>
      <c r="AG102" s="240"/>
      <c r="AH102" s="240"/>
      <c r="AI102" s="240"/>
    </row>
    <row r="103" customFormat="false" ht="17.35" hidden="false" customHeight="false" outlineLevel="0" collapsed="false">
      <c r="A103" s="221"/>
      <c r="B103" s="331"/>
      <c r="C103" s="331"/>
      <c r="D103" s="331"/>
      <c r="E103" s="342"/>
      <c r="F103" s="342"/>
      <c r="G103" s="342"/>
      <c r="H103" s="280"/>
      <c r="J103" s="221"/>
      <c r="K103" s="331"/>
      <c r="L103" s="331"/>
      <c r="M103" s="331"/>
      <c r="N103" s="342"/>
      <c r="O103" s="342"/>
      <c r="P103" s="342"/>
      <c r="Q103" s="280"/>
      <c r="S103" s="221"/>
      <c r="T103" s="331"/>
      <c r="U103" s="331"/>
      <c r="V103" s="331"/>
      <c r="W103" s="342"/>
      <c r="X103" s="342"/>
      <c r="Y103" s="342"/>
      <c r="Z103" s="280"/>
      <c r="AB103" s="221"/>
      <c r="AC103" s="331"/>
      <c r="AD103" s="331"/>
      <c r="AE103" s="331"/>
      <c r="AF103" s="342"/>
      <c r="AG103" s="342"/>
      <c r="AH103" s="342"/>
      <c r="AI103" s="280"/>
    </row>
    <row r="104" customFormat="false" ht="17.35" hidden="false" customHeight="false" outlineLevel="0" collapsed="false">
      <c r="A104" s="221" t="s">
        <v>118</v>
      </c>
      <c r="B104" s="331" t="s">
        <v>30</v>
      </c>
      <c r="C104" s="331"/>
      <c r="D104" s="331"/>
      <c r="E104" s="331" t="s">
        <v>130</v>
      </c>
      <c r="F104" s="331"/>
      <c r="G104" s="331"/>
      <c r="H104" s="11"/>
      <c r="J104" s="221" t="s">
        <v>118</v>
      </c>
      <c r="K104" s="331" t="s">
        <v>30</v>
      </c>
      <c r="L104" s="331"/>
      <c r="M104" s="331"/>
      <c r="N104" s="331" t="s">
        <v>130</v>
      </c>
      <c r="O104" s="331"/>
      <c r="P104" s="331"/>
      <c r="Q104" s="11"/>
      <c r="S104" s="221" t="s">
        <v>118</v>
      </c>
      <c r="T104" s="331" t="s">
        <v>30</v>
      </c>
      <c r="U104" s="331"/>
      <c r="V104" s="331"/>
      <c r="W104" s="331" t="s">
        <v>130</v>
      </c>
      <c r="X104" s="331"/>
      <c r="Y104" s="331"/>
      <c r="Z104" s="11"/>
      <c r="AB104" s="221" t="s">
        <v>118</v>
      </c>
      <c r="AC104" s="331" t="s">
        <v>30</v>
      </c>
      <c r="AD104" s="331"/>
      <c r="AE104" s="331"/>
      <c r="AF104" s="331" t="s">
        <v>130</v>
      </c>
      <c r="AG104" s="331"/>
      <c r="AH104" s="331"/>
      <c r="AI104" s="11"/>
    </row>
    <row r="105" customFormat="false" ht="17.35" hidden="false" customHeight="false" outlineLevel="0" collapsed="false">
      <c r="A105" s="241" t="s">
        <v>224</v>
      </c>
      <c r="B105" s="215" t="s">
        <v>117</v>
      </c>
      <c r="C105" s="215"/>
      <c r="D105" s="215"/>
      <c r="E105" s="42" t="s">
        <v>25</v>
      </c>
      <c r="F105" s="42"/>
      <c r="G105" s="42"/>
      <c r="H105" s="280"/>
      <c r="J105" s="241" t="s">
        <v>224</v>
      </c>
      <c r="K105" s="215" t="s">
        <v>117</v>
      </c>
      <c r="L105" s="215"/>
      <c r="M105" s="215"/>
      <c r="N105" s="42" t="s">
        <v>25</v>
      </c>
      <c r="O105" s="42"/>
      <c r="P105" s="42"/>
      <c r="Q105" s="280"/>
      <c r="S105" s="241" t="s">
        <v>224</v>
      </c>
      <c r="T105" s="215" t="s">
        <v>117</v>
      </c>
      <c r="U105" s="215"/>
      <c r="V105" s="215"/>
      <c r="W105" s="42" t="s">
        <v>25</v>
      </c>
      <c r="X105" s="42"/>
      <c r="Y105" s="42"/>
      <c r="Z105" s="280"/>
      <c r="AB105" s="241" t="s">
        <v>224</v>
      </c>
      <c r="AC105" s="215" t="s">
        <v>117</v>
      </c>
      <c r="AD105" s="215"/>
      <c r="AE105" s="215"/>
      <c r="AF105" s="42" t="s">
        <v>25</v>
      </c>
      <c r="AG105" s="42"/>
      <c r="AH105" s="42"/>
      <c r="AI105" s="280"/>
    </row>
    <row r="106" customFormat="false" ht="17.35" hidden="false" customHeight="false" outlineLevel="0" collapsed="false">
      <c r="A106" s="221"/>
      <c r="B106" s="331"/>
      <c r="C106" s="331"/>
      <c r="D106" s="342"/>
      <c r="E106" s="331"/>
      <c r="F106" s="331"/>
      <c r="G106" s="342"/>
      <c r="H106" s="11"/>
      <c r="J106" s="221"/>
      <c r="K106" s="331"/>
      <c r="L106" s="331"/>
      <c r="M106" s="342"/>
      <c r="N106" s="331"/>
      <c r="O106" s="331"/>
      <c r="P106" s="342"/>
      <c r="Q106" s="11"/>
      <c r="S106" s="221"/>
      <c r="T106" s="331"/>
      <c r="U106" s="331"/>
      <c r="V106" s="342"/>
      <c r="W106" s="331"/>
      <c r="X106" s="331"/>
      <c r="Y106" s="342"/>
      <c r="Z106" s="11"/>
      <c r="AB106" s="221"/>
      <c r="AC106" s="331"/>
      <c r="AD106" s="331"/>
      <c r="AE106" s="342"/>
      <c r="AF106" s="331"/>
      <c r="AG106" s="331"/>
      <c r="AH106" s="342"/>
      <c r="AI106" s="11"/>
    </row>
    <row r="107" customFormat="false" ht="17.35" hidden="false" customHeight="false" outlineLevel="0" collapsed="false">
      <c r="A107" s="221" t="s">
        <v>131</v>
      </c>
      <c r="B107" s="331" t="s">
        <v>225</v>
      </c>
      <c r="C107" s="331"/>
      <c r="D107" s="342"/>
      <c r="E107" s="331" t="s">
        <v>226</v>
      </c>
      <c r="F107" s="331"/>
      <c r="G107" s="342"/>
      <c r="H107" s="280"/>
      <c r="J107" s="221" t="s">
        <v>131</v>
      </c>
      <c r="K107" s="331" t="s">
        <v>225</v>
      </c>
      <c r="L107" s="331"/>
      <c r="M107" s="342"/>
      <c r="N107" s="331" t="s">
        <v>226</v>
      </c>
      <c r="O107" s="331"/>
      <c r="P107" s="342"/>
      <c r="Q107" s="280"/>
      <c r="S107" s="221" t="s">
        <v>131</v>
      </c>
      <c r="T107" s="331" t="s">
        <v>225</v>
      </c>
      <c r="U107" s="331"/>
      <c r="V107" s="342"/>
      <c r="W107" s="331" t="s">
        <v>226</v>
      </c>
      <c r="X107" s="331"/>
      <c r="Y107" s="342"/>
      <c r="Z107" s="280"/>
      <c r="AB107" s="221" t="s">
        <v>131</v>
      </c>
      <c r="AC107" s="331" t="s">
        <v>225</v>
      </c>
      <c r="AD107" s="331"/>
      <c r="AE107" s="342"/>
      <c r="AF107" s="331" t="s">
        <v>226</v>
      </c>
      <c r="AG107" s="331"/>
      <c r="AH107" s="342"/>
      <c r="AI107" s="280"/>
    </row>
    <row r="108" customFormat="false" ht="17.35" hidden="false" customHeight="false" outlineLevel="0" collapsed="false">
      <c r="A108" s="281" t="n">
        <v>0.2</v>
      </c>
      <c r="B108" s="112" t="s">
        <v>297</v>
      </c>
      <c r="C108" s="112"/>
      <c r="D108" s="112"/>
      <c r="E108" s="282" t="n">
        <f aca="false">B83</f>
        <v>0.089</v>
      </c>
      <c r="F108" s="282"/>
      <c r="G108" s="282"/>
      <c r="H108" s="246"/>
      <c r="J108" s="281" t="n">
        <v>0.3</v>
      </c>
      <c r="K108" s="112" t="s">
        <v>227</v>
      </c>
      <c r="L108" s="112"/>
      <c r="M108" s="112"/>
      <c r="N108" s="282" t="n">
        <f aca="false">K83</f>
        <v>0.24</v>
      </c>
      <c r="O108" s="282"/>
      <c r="P108" s="282"/>
      <c r="Q108" s="246"/>
      <c r="S108" s="281" t="n">
        <v>0.2</v>
      </c>
      <c r="T108" s="112" t="s">
        <v>228</v>
      </c>
      <c r="U108" s="112"/>
      <c r="V108" s="112"/>
      <c r="W108" s="282" t="n">
        <f aca="false">T83</f>
        <v>0.131</v>
      </c>
      <c r="X108" s="282"/>
      <c r="Y108" s="282"/>
      <c r="Z108" s="246"/>
      <c r="AB108" s="281" t="n">
        <v>0.2</v>
      </c>
      <c r="AC108" s="112" t="s">
        <v>228</v>
      </c>
      <c r="AD108" s="112"/>
      <c r="AE108" s="112"/>
      <c r="AF108" s="283" t="n">
        <f aca="false">AC83</f>
        <v>0.131</v>
      </c>
      <c r="AG108" s="283"/>
      <c r="AH108" s="283"/>
      <c r="AI108" s="246"/>
      <c r="AP108" s="216" t="s">
        <v>229</v>
      </c>
    </row>
    <row r="109" customFormat="false" ht="17.35" hidden="false" customHeight="false" outlineLevel="0" collapsed="false">
      <c r="A109" s="221"/>
      <c r="B109" s="331"/>
      <c r="C109" s="331"/>
      <c r="D109" s="331"/>
      <c r="E109" s="331"/>
      <c r="F109" s="331"/>
      <c r="G109" s="331"/>
      <c r="H109" s="11"/>
      <c r="J109" s="221"/>
      <c r="K109" s="331"/>
      <c r="L109" s="331"/>
      <c r="M109" s="331"/>
      <c r="N109" s="331"/>
      <c r="O109" s="331"/>
      <c r="P109" s="331"/>
      <c r="Q109" s="11"/>
      <c r="S109" s="221"/>
      <c r="T109" s="331"/>
      <c r="U109" s="331"/>
      <c r="V109" s="331"/>
      <c r="W109" s="331"/>
      <c r="X109" s="331"/>
      <c r="Y109" s="331"/>
      <c r="Z109" s="11"/>
      <c r="AB109" s="221"/>
      <c r="AC109" s="331"/>
      <c r="AD109" s="331"/>
      <c r="AE109" s="331"/>
      <c r="AF109" s="331"/>
      <c r="AG109" s="331"/>
      <c r="AH109" s="331"/>
      <c r="AI109" s="11"/>
      <c r="AP109" s="216" t="s">
        <v>227</v>
      </c>
    </row>
    <row r="110" customFormat="false" ht="17.35" hidden="false" customHeight="false" outlineLevel="0" collapsed="false">
      <c r="A110" s="221" t="s">
        <v>230</v>
      </c>
      <c r="B110" s="331" t="s">
        <v>142</v>
      </c>
      <c r="C110" s="331"/>
      <c r="D110" s="331"/>
      <c r="E110" s="331" t="s">
        <v>231</v>
      </c>
      <c r="F110" s="331"/>
      <c r="G110" s="331"/>
      <c r="H110" s="11"/>
      <c r="J110" s="221" t="s">
        <v>230</v>
      </c>
      <c r="K110" s="331" t="s">
        <v>142</v>
      </c>
      <c r="L110" s="331"/>
      <c r="M110" s="331"/>
      <c r="N110" s="331" t="s">
        <v>231</v>
      </c>
      <c r="O110" s="331"/>
      <c r="P110" s="331"/>
      <c r="Q110" s="11"/>
      <c r="S110" s="221" t="s">
        <v>230</v>
      </c>
      <c r="T110" s="331" t="s">
        <v>142</v>
      </c>
      <c r="U110" s="331"/>
      <c r="V110" s="331"/>
      <c r="W110" s="331" t="s">
        <v>231</v>
      </c>
      <c r="X110" s="331"/>
      <c r="Y110" s="331"/>
      <c r="Z110" s="11"/>
      <c r="AB110" s="221" t="s">
        <v>230</v>
      </c>
      <c r="AC110" s="331" t="s">
        <v>142</v>
      </c>
      <c r="AD110" s="331"/>
      <c r="AE110" s="331"/>
      <c r="AF110" s="331" t="s">
        <v>231</v>
      </c>
      <c r="AG110" s="331"/>
      <c r="AH110" s="331"/>
      <c r="AI110" s="11"/>
    </row>
    <row r="111" customFormat="false" ht="17.35" hidden="false" customHeight="false" outlineLevel="0" collapsed="false">
      <c r="A111" s="242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80"/>
      <c r="J111" s="242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80"/>
      <c r="S111" s="242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80"/>
      <c r="AB111" s="242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80"/>
    </row>
    <row r="112" customFormat="false" ht="17.35" hidden="false" customHeight="false" outlineLevel="0" collapsed="false">
      <c r="A112" s="221"/>
      <c r="B112" s="331"/>
      <c r="C112" s="331"/>
      <c r="D112" s="331"/>
      <c r="E112" s="331"/>
      <c r="F112" s="331"/>
      <c r="G112" s="342"/>
      <c r="H112" s="280"/>
      <c r="J112" s="221"/>
      <c r="K112" s="331"/>
      <c r="L112" s="331"/>
      <c r="M112" s="331"/>
      <c r="N112" s="331"/>
      <c r="O112" s="331"/>
      <c r="P112" s="342"/>
      <c r="Q112" s="280"/>
      <c r="S112" s="221"/>
      <c r="T112" s="331"/>
      <c r="U112" s="331"/>
      <c r="V112" s="331"/>
      <c r="W112" s="331"/>
      <c r="X112" s="331"/>
      <c r="Y112" s="342"/>
      <c r="Z112" s="280"/>
      <c r="AB112" s="221"/>
      <c r="AC112" s="331"/>
      <c r="AD112" s="331"/>
      <c r="AE112" s="331"/>
      <c r="AF112" s="331"/>
      <c r="AG112" s="331"/>
      <c r="AH112" s="342"/>
      <c r="AI112" s="280"/>
    </row>
    <row r="113" customFormat="false" ht="17.35" hidden="false" customHeight="false" outlineLevel="0" collapsed="false">
      <c r="A113" s="51" t="s">
        <v>232</v>
      </c>
      <c r="B113" s="331" t="s">
        <v>163</v>
      </c>
      <c r="C113" s="331"/>
      <c r="D113" s="331"/>
      <c r="E113" s="331" t="s">
        <v>132</v>
      </c>
      <c r="F113" s="331"/>
      <c r="G113" s="342"/>
      <c r="H113" s="280"/>
      <c r="J113" s="51" t="s">
        <v>232</v>
      </c>
      <c r="K113" s="331" t="s">
        <v>163</v>
      </c>
      <c r="L113" s="331"/>
      <c r="M113" s="331"/>
      <c r="N113" s="331" t="s">
        <v>132</v>
      </c>
      <c r="O113" s="331"/>
      <c r="P113" s="342"/>
      <c r="Q113" s="280"/>
      <c r="S113" s="51" t="s">
        <v>232</v>
      </c>
      <c r="T113" s="331" t="s">
        <v>163</v>
      </c>
      <c r="U113" s="331"/>
      <c r="V113" s="331"/>
      <c r="W113" s="331" t="s">
        <v>132</v>
      </c>
      <c r="X113" s="331"/>
      <c r="Y113" s="342"/>
      <c r="Z113" s="280"/>
      <c r="AB113" s="51" t="s">
        <v>232</v>
      </c>
      <c r="AC113" s="331" t="s">
        <v>163</v>
      </c>
      <c r="AD113" s="331"/>
      <c r="AE113" s="331"/>
      <c r="AF113" s="331" t="s">
        <v>132</v>
      </c>
      <c r="AG113" s="331"/>
      <c r="AH113" s="342"/>
      <c r="AI113" s="280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80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80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80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80"/>
    </row>
    <row r="115" customFormat="false" ht="13.8" hidden="false" customHeight="false" outlineLevel="0" collapsed="false">
      <c r="A115" s="284"/>
      <c r="B115" s="342"/>
      <c r="C115" s="342"/>
      <c r="D115" s="342"/>
      <c r="E115" s="342"/>
      <c r="F115" s="342"/>
      <c r="G115" s="342"/>
      <c r="H115" s="280"/>
      <c r="J115" s="284"/>
      <c r="K115" s="342"/>
      <c r="L115" s="342"/>
      <c r="M115" s="342"/>
      <c r="N115" s="342"/>
      <c r="O115" s="342"/>
      <c r="P115" s="342"/>
      <c r="Q115" s="280"/>
      <c r="S115" s="284"/>
      <c r="T115" s="342"/>
      <c r="U115" s="342"/>
      <c r="V115" s="342"/>
      <c r="W115" s="342"/>
      <c r="X115" s="342"/>
      <c r="Y115" s="342"/>
      <c r="Z115" s="280"/>
      <c r="AB115" s="284"/>
      <c r="AC115" s="342"/>
      <c r="AD115" s="342"/>
      <c r="AE115" s="342"/>
      <c r="AF115" s="342"/>
      <c r="AG115" s="342"/>
      <c r="AH115" s="342"/>
      <c r="AI115" s="280"/>
    </row>
    <row r="116" customFormat="false" ht="13.8" hidden="false" customHeight="false" outlineLevel="0" collapsed="false">
      <c r="A116" s="284"/>
      <c r="B116" s="342"/>
      <c r="C116" s="342"/>
      <c r="D116" s="342"/>
      <c r="E116" s="342"/>
      <c r="F116" s="342"/>
      <c r="G116" s="342"/>
      <c r="H116" s="280"/>
      <c r="J116" s="284"/>
      <c r="K116" s="342"/>
      <c r="L116" s="342"/>
      <c r="M116" s="342"/>
      <c r="N116" s="342"/>
      <c r="O116" s="342"/>
      <c r="P116" s="342"/>
      <c r="Q116" s="280"/>
      <c r="S116" s="284"/>
      <c r="T116" s="342"/>
      <c r="U116" s="342"/>
      <c r="V116" s="342"/>
      <c r="W116" s="342"/>
      <c r="X116" s="342"/>
      <c r="Y116" s="342"/>
      <c r="Z116" s="280"/>
      <c r="AB116" s="284"/>
      <c r="AC116" s="342"/>
      <c r="AD116" s="342"/>
      <c r="AE116" s="342"/>
      <c r="AF116" s="342"/>
      <c r="AG116" s="342"/>
      <c r="AH116" s="342"/>
      <c r="AI116" s="280"/>
    </row>
    <row r="117" customFormat="false" ht="22.05" hidden="false" customHeight="false" outlineLevel="0" collapsed="false">
      <c r="A117" s="240" t="s">
        <v>233</v>
      </c>
      <c r="B117" s="240"/>
      <c r="C117" s="240"/>
      <c r="D117" s="240"/>
      <c r="E117" s="240"/>
      <c r="F117" s="240"/>
      <c r="G117" s="240"/>
      <c r="H117" s="240"/>
      <c r="J117" s="240" t="s">
        <v>233</v>
      </c>
      <c r="K117" s="240"/>
      <c r="L117" s="240"/>
      <c r="M117" s="240"/>
      <c r="N117" s="240"/>
      <c r="O117" s="240"/>
      <c r="P117" s="240"/>
      <c r="Q117" s="240"/>
      <c r="S117" s="240" t="s">
        <v>233</v>
      </c>
      <c r="T117" s="240"/>
      <c r="U117" s="240"/>
      <c r="V117" s="240"/>
      <c r="W117" s="240"/>
      <c r="X117" s="240"/>
      <c r="Y117" s="240"/>
      <c r="Z117" s="240"/>
      <c r="AB117" s="240" t="s">
        <v>233</v>
      </c>
      <c r="AC117" s="240"/>
      <c r="AD117" s="240"/>
      <c r="AE117" s="240"/>
      <c r="AF117" s="240"/>
      <c r="AG117" s="240"/>
      <c r="AH117" s="240"/>
      <c r="AI117" s="240"/>
    </row>
    <row r="118" customFormat="false" ht="13.8" hidden="false" customHeight="false" outlineLevel="0" collapsed="false">
      <c r="A118" s="284"/>
      <c r="B118" s="342"/>
      <c r="C118" s="342"/>
      <c r="D118" s="342"/>
      <c r="E118" s="342"/>
      <c r="F118" s="342"/>
      <c r="G118" s="342"/>
      <c r="H118" s="280"/>
      <c r="J118" s="284"/>
      <c r="K118" s="342"/>
      <c r="L118" s="342"/>
      <c r="M118" s="342"/>
      <c r="N118" s="342"/>
      <c r="O118" s="342"/>
      <c r="P118" s="342"/>
      <c r="Q118" s="280"/>
      <c r="S118" s="284"/>
      <c r="T118" s="342"/>
      <c r="U118" s="342"/>
      <c r="V118" s="342"/>
      <c r="W118" s="342"/>
      <c r="X118" s="342"/>
      <c r="Y118" s="342"/>
      <c r="Z118" s="280"/>
      <c r="AB118" s="284"/>
      <c r="AC118" s="342"/>
      <c r="AD118" s="342"/>
      <c r="AE118" s="342"/>
      <c r="AF118" s="342"/>
      <c r="AG118" s="342"/>
      <c r="AH118" s="342"/>
      <c r="AI118" s="280"/>
    </row>
    <row r="119" customFormat="false" ht="19.7" hidden="false" customHeight="false" outlineLevel="0" collapsed="false">
      <c r="A119" s="264"/>
      <c r="B119" s="285" t="s">
        <v>1</v>
      </c>
      <c r="C119" s="285"/>
      <c r="D119" s="285" t="s">
        <v>2</v>
      </c>
      <c r="E119" s="285"/>
      <c r="F119" s="285" t="s">
        <v>3</v>
      </c>
      <c r="G119" s="285"/>
      <c r="H119" s="286" t="s">
        <v>4</v>
      </c>
      <c r="J119" s="264"/>
      <c r="K119" s="285" t="s">
        <v>1</v>
      </c>
      <c r="L119" s="285"/>
      <c r="M119" s="285" t="s">
        <v>2</v>
      </c>
      <c r="N119" s="285"/>
      <c r="O119" s="285" t="s">
        <v>3</v>
      </c>
      <c r="P119" s="285"/>
      <c r="Q119" s="286" t="s">
        <v>4</v>
      </c>
      <c r="S119" s="264"/>
      <c r="T119" s="285" t="s">
        <v>1</v>
      </c>
      <c r="U119" s="285"/>
      <c r="V119" s="285" t="s">
        <v>2</v>
      </c>
      <c r="W119" s="285"/>
      <c r="X119" s="285" t="s">
        <v>3</v>
      </c>
      <c r="Y119" s="285"/>
      <c r="Z119" s="286" t="s">
        <v>4</v>
      </c>
      <c r="AB119" s="264"/>
      <c r="AC119" s="285" t="s">
        <v>1</v>
      </c>
      <c r="AD119" s="285"/>
      <c r="AE119" s="285" t="s">
        <v>2</v>
      </c>
      <c r="AF119" s="285"/>
      <c r="AG119" s="285" t="s">
        <v>3</v>
      </c>
      <c r="AH119" s="285"/>
      <c r="AI119" s="286" t="s">
        <v>4</v>
      </c>
    </row>
    <row r="120" customFormat="false" ht="19.7" hidden="false" customHeight="false" outlineLevel="0" collapsed="false">
      <c r="A120" s="218"/>
      <c r="B120" s="287" t="s">
        <v>234</v>
      </c>
      <c r="C120" s="288" t="s">
        <v>235</v>
      </c>
      <c r="D120" s="287" t="s">
        <v>234</v>
      </c>
      <c r="E120" s="289" t="s">
        <v>235</v>
      </c>
      <c r="F120" s="287" t="s">
        <v>234</v>
      </c>
      <c r="G120" s="289" t="s">
        <v>235</v>
      </c>
      <c r="H120" s="290"/>
      <c r="J120" s="218"/>
      <c r="K120" s="287" t="s">
        <v>234</v>
      </c>
      <c r="L120" s="288" t="s">
        <v>235</v>
      </c>
      <c r="M120" s="287" t="s">
        <v>234</v>
      </c>
      <c r="N120" s="289" t="s">
        <v>235</v>
      </c>
      <c r="O120" s="287" t="s">
        <v>234</v>
      </c>
      <c r="P120" s="289" t="s">
        <v>235</v>
      </c>
      <c r="Q120" s="290"/>
      <c r="S120" s="218"/>
      <c r="T120" s="287" t="s">
        <v>234</v>
      </c>
      <c r="U120" s="288" t="s">
        <v>235</v>
      </c>
      <c r="V120" s="287" t="s">
        <v>234</v>
      </c>
      <c r="W120" s="289" t="s">
        <v>235</v>
      </c>
      <c r="X120" s="287" t="s">
        <v>234</v>
      </c>
      <c r="Y120" s="289" t="s">
        <v>235</v>
      </c>
      <c r="Z120" s="290"/>
      <c r="AB120" s="218"/>
      <c r="AC120" s="287" t="s">
        <v>234</v>
      </c>
      <c r="AD120" s="288" t="s">
        <v>235</v>
      </c>
      <c r="AE120" s="287" t="s">
        <v>234</v>
      </c>
      <c r="AF120" s="289" t="s">
        <v>235</v>
      </c>
      <c r="AG120" s="287" t="s">
        <v>234</v>
      </c>
      <c r="AH120" s="289" t="s">
        <v>235</v>
      </c>
      <c r="AI120" s="290"/>
    </row>
    <row r="121" customFormat="false" ht="17.35" hidden="false" customHeight="false" outlineLevel="0" collapsed="false">
      <c r="A121" s="238" t="s">
        <v>5</v>
      </c>
      <c r="B121" s="353" t="n">
        <f aca="false">B3</f>
        <v>46854.17</v>
      </c>
      <c r="C121" s="354" t="n">
        <f aca="false">B121</f>
        <v>46854.17</v>
      </c>
      <c r="D121" s="353" t="n">
        <f aca="false">D3</f>
        <v>0</v>
      </c>
      <c r="E121" s="354" t="n">
        <f aca="false">D121</f>
        <v>0</v>
      </c>
      <c r="F121" s="353" t="n">
        <f aca="false">F3</f>
        <v>833.33</v>
      </c>
      <c r="G121" s="354" t="n">
        <f aca="false">F121</f>
        <v>833.33</v>
      </c>
      <c r="H121" s="291" t="n">
        <f aca="false">H3</f>
        <v>0</v>
      </c>
      <c r="J121" s="238" t="s">
        <v>5</v>
      </c>
      <c r="K121" s="353" t="n">
        <f aca="false">B3</f>
        <v>46854.17</v>
      </c>
      <c r="L121" s="354" t="n">
        <v>28629.17</v>
      </c>
      <c r="M121" s="353" t="n">
        <f aca="false">D3</f>
        <v>0</v>
      </c>
      <c r="N121" s="354" t="n">
        <f aca="false">M121</f>
        <v>0</v>
      </c>
      <c r="O121" s="353" t="n">
        <f aca="false">F3</f>
        <v>833.33</v>
      </c>
      <c r="P121" s="354" t="n">
        <f aca="false">O121</f>
        <v>833.33</v>
      </c>
      <c r="Q121" s="291" t="n">
        <f aca="false">H3</f>
        <v>0</v>
      </c>
      <c r="S121" s="238" t="s">
        <v>5</v>
      </c>
      <c r="T121" s="353" t="n">
        <f aca="false">B3</f>
        <v>46854.17</v>
      </c>
      <c r="U121" s="354" t="n">
        <f aca="false">T121</f>
        <v>46854.17</v>
      </c>
      <c r="V121" s="353" t="n">
        <f aca="false">D3</f>
        <v>0</v>
      </c>
      <c r="W121" s="354" t="n">
        <f aca="false">V121</f>
        <v>0</v>
      </c>
      <c r="X121" s="353" t="n">
        <f aca="false">F3</f>
        <v>833.33</v>
      </c>
      <c r="Y121" s="354" t="n">
        <f aca="false">X121</f>
        <v>833.33</v>
      </c>
      <c r="Z121" s="291" t="n">
        <f aca="false">H3</f>
        <v>0</v>
      </c>
      <c r="AB121" s="238" t="s">
        <v>5</v>
      </c>
      <c r="AC121" s="353" t="n">
        <f aca="false">B3</f>
        <v>46854.17</v>
      </c>
      <c r="AD121" s="354" t="n">
        <f aca="false">AC121</f>
        <v>46854.17</v>
      </c>
      <c r="AE121" s="353" t="n">
        <f aca="false">D3</f>
        <v>0</v>
      </c>
      <c r="AF121" s="354" t="n">
        <f aca="false">AE121</f>
        <v>0</v>
      </c>
      <c r="AG121" s="353" t="n">
        <f aca="false">F3</f>
        <v>833.33</v>
      </c>
      <c r="AH121" s="354" t="n">
        <f aca="false">AG121</f>
        <v>833.33</v>
      </c>
      <c r="AI121" s="291" t="n">
        <f aca="false">H3</f>
        <v>0</v>
      </c>
    </row>
    <row r="122" customFormat="false" ht="17.35" hidden="false" customHeight="false" outlineLevel="0" collapsed="false">
      <c r="A122" s="221" t="s">
        <v>6</v>
      </c>
      <c r="B122" s="355" t="n">
        <f aca="false">B4</f>
        <v>0</v>
      </c>
      <c r="C122" s="329" t="n">
        <v>0</v>
      </c>
      <c r="D122" s="355" t="n">
        <f aca="false">D4</f>
        <v>0</v>
      </c>
      <c r="E122" s="329" t="n">
        <f aca="false">D122</f>
        <v>0</v>
      </c>
      <c r="F122" s="355" t="n">
        <f aca="false">F4</f>
        <v>0</v>
      </c>
      <c r="G122" s="356" t="n">
        <f aca="false">F122</f>
        <v>0</v>
      </c>
      <c r="H122" s="330"/>
      <c r="J122" s="221" t="s">
        <v>6</v>
      </c>
      <c r="K122" s="355" t="n">
        <f aca="false">B4</f>
        <v>0</v>
      </c>
      <c r="L122" s="329" t="n">
        <v>0</v>
      </c>
      <c r="M122" s="355" t="n">
        <f aca="false">D4</f>
        <v>0</v>
      </c>
      <c r="N122" s="329" t="n">
        <f aca="false">M122</f>
        <v>0</v>
      </c>
      <c r="O122" s="355" t="n">
        <f aca="false">F4</f>
        <v>0</v>
      </c>
      <c r="P122" s="356" t="n">
        <f aca="false">O122</f>
        <v>0</v>
      </c>
      <c r="Q122" s="330"/>
      <c r="S122" s="221" t="s">
        <v>6</v>
      </c>
      <c r="T122" s="355" t="n">
        <f aca="false">B4</f>
        <v>0</v>
      </c>
      <c r="U122" s="329" t="n">
        <v>0.25</v>
      </c>
      <c r="V122" s="355" t="n">
        <f aca="false">D4</f>
        <v>0</v>
      </c>
      <c r="W122" s="329" t="n">
        <f aca="false">V122</f>
        <v>0</v>
      </c>
      <c r="X122" s="355" t="n">
        <f aca="false">F4</f>
        <v>0</v>
      </c>
      <c r="Y122" s="356" t="n">
        <f aca="false">X122</f>
        <v>0</v>
      </c>
      <c r="Z122" s="330"/>
      <c r="AB122" s="221" t="s">
        <v>6</v>
      </c>
      <c r="AC122" s="355" t="n">
        <f aca="false">B4</f>
        <v>0</v>
      </c>
      <c r="AD122" s="329" t="n">
        <v>0.25</v>
      </c>
      <c r="AE122" s="355" t="n">
        <f aca="false">D4</f>
        <v>0</v>
      </c>
      <c r="AF122" s="329" t="n">
        <f aca="false">AE122</f>
        <v>0</v>
      </c>
      <c r="AG122" s="355" t="n">
        <f aca="false">F4</f>
        <v>0</v>
      </c>
      <c r="AH122" s="356" t="n">
        <f aca="false">AG122</f>
        <v>0</v>
      </c>
      <c r="AI122" s="330"/>
    </row>
    <row r="123" customFormat="false" ht="17.35" hidden="false" customHeight="false" outlineLevel="0" collapsed="false">
      <c r="A123" s="221" t="s">
        <v>7</v>
      </c>
      <c r="B123" s="357" t="n">
        <f aca="false">B5</f>
        <v>0</v>
      </c>
      <c r="C123" s="354" t="n">
        <v>0</v>
      </c>
      <c r="D123" s="357" t="n">
        <f aca="false">D5</f>
        <v>0</v>
      </c>
      <c r="E123" s="354" t="n">
        <f aca="false">D123</f>
        <v>0</v>
      </c>
      <c r="F123" s="357" t="n">
        <f aca="false">F5</f>
        <v>0</v>
      </c>
      <c r="G123" s="354" t="n">
        <f aca="false">F123</f>
        <v>0</v>
      </c>
      <c r="H123" s="11"/>
      <c r="J123" s="221" t="s">
        <v>7</v>
      </c>
      <c r="K123" s="357" t="n">
        <f aca="false">B5</f>
        <v>0</v>
      </c>
      <c r="L123" s="354" t="n">
        <v>0</v>
      </c>
      <c r="M123" s="357" t="n">
        <f aca="false">D5</f>
        <v>0</v>
      </c>
      <c r="N123" s="354" t="n">
        <f aca="false">M123</f>
        <v>0</v>
      </c>
      <c r="O123" s="357" t="n">
        <f aca="false">F5</f>
        <v>0</v>
      </c>
      <c r="P123" s="354" t="n">
        <f aca="false">O123</f>
        <v>0</v>
      </c>
      <c r="Q123" s="11"/>
      <c r="S123" s="221" t="s">
        <v>7</v>
      </c>
      <c r="T123" s="357" t="n">
        <f aca="false">B5</f>
        <v>0</v>
      </c>
      <c r="U123" s="354" t="n">
        <v>0</v>
      </c>
      <c r="V123" s="357" t="n">
        <f aca="false">D5</f>
        <v>0</v>
      </c>
      <c r="W123" s="354" t="n">
        <f aca="false">V123</f>
        <v>0</v>
      </c>
      <c r="X123" s="357" t="n">
        <f aca="false">F5</f>
        <v>0</v>
      </c>
      <c r="Y123" s="354" t="n">
        <f aca="false">X123</f>
        <v>0</v>
      </c>
      <c r="Z123" s="11"/>
      <c r="AB123" s="221" t="s">
        <v>7</v>
      </c>
      <c r="AC123" s="357" t="n">
        <f aca="false">B5</f>
        <v>0</v>
      </c>
      <c r="AD123" s="354" t="n">
        <v>0</v>
      </c>
      <c r="AE123" s="357" t="n">
        <f aca="false">D5</f>
        <v>0</v>
      </c>
      <c r="AF123" s="354" t="n">
        <f aca="false">AE123</f>
        <v>0</v>
      </c>
      <c r="AG123" s="357" t="n">
        <f aca="false">F5</f>
        <v>0</v>
      </c>
      <c r="AH123" s="354" t="n">
        <f aca="false">AG123</f>
        <v>0</v>
      </c>
      <c r="AI123" s="11"/>
    </row>
    <row r="124" customFormat="false" ht="17.35" hidden="false" customHeight="false" outlineLevel="0" collapsed="false">
      <c r="A124" s="221" t="s">
        <v>8</v>
      </c>
      <c r="B124" s="357" t="n">
        <f aca="false">(B121*B122)+B123</f>
        <v>0</v>
      </c>
      <c r="C124" s="203" t="n">
        <f aca="false">(C121*C122/100)+C123</f>
        <v>0</v>
      </c>
      <c r="D124" s="357" t="n">
        <f aca="false">(D121*D122)+D123</f>
        <v>0</v>
      </c>
      <c r="E124" s="203" t="n">
        <f aca="false">(E121*E122/100)+E123</f>
        <v>0</v>
      </c>
      <c r="F124" s="357" t="n">
        <f aca="false">(F121*F122)+F123</f>
        <v>0</v>
      </c>
      <c r="G124" s="203" t="n">
        <f aca="false">(G121*G122/100)+G123</f>
        <v>0</v>
      </c>
      <c r="H124" s="11"/>
      <c r="J124" s="221" t="s">
        <v>8</v>
      </c>
      <c r="K124" s="357" t="n">
        <f aca="false">(K121*K122)+K123</f>
        <v>0</v>
      </c>
      <c r="L124" s="203" t="n">
        <f aca="false">(L121*L122)+L123</f>
        <v>0</v>
      </c>
      <c r="M124" s="357" t="n">
        <f aca="false">(M121*M122)+M123</f>
        <v>0</v>
      </c>
      <c r="N124" s="203" t="n">
        <f aca="false">(N121*N122)+N123</f>
        <v>0</v>
      </c>
      <c r="O124" s="357" t="n">
        <f aca="false">(O121*O122)+O123</f>
        <v>0</v>
      </c>
      <c r="P124" s="203" t="n">
        <f aca="false">(P121*P122)+P123</f>
        <v>0</v>
      </c>
      <c r="Q124" s="11"/>
      <c r="S124" s="221" t="s">
        <v>8</v>
      </c>
      <c r="T124" s="357" t="n">
        <f aca="false">(T121*T122)+T123</f>
        <v>0</v>
      </c>
      <c r="U124" s="203" t="n">
        <f aca="false">(U121*U122/100)+U123</f>
        <v>117.135425</v>
      </c>
      <c r="V124" s="357" t="n">
        <f aca="false">(V121*V122)+V123</f>
        <v>0</v>
      </c>
      <c r="W124" s="203" t="n">
        <f aca="false">(W121*W122/100)+W123</f>
        <v>0</v>
      </c>
      <c r="X124" s="357" t="n">
        <f aca="false">(X121*X122)+X123</f>
        <v>0</v>
      </c>
      <c r="Y124" s="203" t="n">
        <f aca="false">(Y121*Y122/100)+Y123</f>
        <v>0</v>
      </c>
      <c r="Z124" s="11"/>
      <c r="AB124" s="221" t="s">
        <v>8</v>
      </c>
      <c r="AC124" s="357" t="n">
        <f aca="false">(AC121*AC122)+AC123</f>
        <v>0</v>
      </c>
      <c r="AD124" s="203" t="n">
        <f aca="false">(AD121*AD122)+AD123</f>
        <v>11713.5425</v>
      </c>
      <c r="AE124" s="357" t="n">
        <f aca="false">(AE121*AE122)+AE123</f>
        <v>0</v>
      </c>
      <c r="AF124" s="203" t="n">
        <f aca="false">(AF121*AF122)+AF123</f>
        <v>0</v>
      </c>
      <c r="AG124" s="357" t="n">
        <f aca="false">(AG121*AG122)+AG123</f>
        <v>0</v>
      </c>
      <c r="AH124" s="203" t="n">
        <f aca="false">(AH121*AH122)+AH123</f>
        <v>0</v>
      </c>
      <c r="AI124" s="11"/>
    </row>
    <row r="125" customFormat="false" ht="17.35" hidden="false" customHeight="false" outlineLevel="0" collapsed="false">
      <c r="A125" s="249" t="s">
        <v>9</v>
      </c>
      <c r="B125" s="358" t="n">
        <f aca="false">B121-B124</f>
        <v>46854.17</v>
      </c>
      <c r="C125" s="185" t="n">
        <f aca="false">C121-C124</f>
        <v>46854.17</v>
      </c>
      <c r="D125" s="358" t="n">
        <f aca="false">D121-D124</f>
        <v>0</v>
      </c>
      <c r="E125" s="185" t="n">
        <f aca="false">E121-E124</f>
        <v>0</v>
      </c>
      <c r="F125" s="358" t="n">
        <f aca="false">F121-F124</f>
        <v>833.33</v>
      </c>
      <c r="G125" s="185" t="n">
        <f aca="false">G121-G124</f>
        <v>833.33</v>
      </c>
      <c r="H125" s="84"/>
      <c r="J125" s="249" t="s">
        <v>9</v>
      </c>
      <c r="K125" s="358" t="n">
        <f aca="false">K121-K124</f>
        <v>46854.17</v>
      </c>
      <c r="L125" s="185" t="n">
        <f aca="false">L121-L124</f>
        <v>28629.17</v>
      </c>
      <c r="M125" s="358" t="n">
        <f aca="false">M121-M124</f>
        <v>0</v>
      </c>
      <c r="N125" s="185" t="n">
        <f aca="false">N121-N124</f>
        <v>0</v>
      </c>
      <c r="O125" s="358" t="n">
        <f aca="false">O121-O124</f>
        <v>833.33</v>
      </c>
      <c r="P125" s="185" t="n">
        <f aca="false">P121-P124</f>
        <v>833.33</v>
      </c>
      <c r="Q125" s="84"/>
      <c r="S125" s="249" t="s">
        <v>9</v>
      </c>
      <c r="T125" s="358" t="n">
        <f aca="false">T121-T124</f>
        <v>46854.17</v>
      </c>
      <c r="U125" s="185" t="n">
        <f aca="false">U121-U124</f>
        <v>46737.034575</v>
      </c>
      <c r="V125" s="358" t="n">
        <f aca="false">V121-V124</f>
        <v>0</v>
      </c>
      <c r="W125" s="185" t="n">
        <f aca="false">W121-W124</f>
        <v>0</v>
      </c>
      <c r="X125" s="358" t="n">
        <f aca="false">X121-X124</f>
        <v>833.33</v>
      </c>
      <c r="Y125" s="185" t="n">
        <f aca="false">Y121-Y124</f>
        <v>833.33</v>
      </c>
      <c r="Z125" s="84"/>
      <c r="AB125" s="249" t="s">
        <v>9</v>
      </c>
      <c r="AC125" s="358" t="n">
        <f aca="false">AC121-AC124</f>
        <v>46854.17</v>
      </c>
      <c r="AD125" s="185" t="n">
        <f aca="false">AD121-AD124</f>
        <v>35140.6275</v>
      </c>
      <c r="AE125" s="358" t="n">
        <f aca="false">AE121-AE124</f>
        <v>0</v>
      </c>
      <c r="AF125" s="185" t="n">
        <f aca="false">AF121-AF124</f>
        <v>0</v>
      </c>
      <c r="AG125" s="358" t="n">
        <f aca="false">AG121-AG124</f>
        <v>833.33</v>
      </c>
      <c r="AH125" s="185" t="n">
        <f aca="false">AH121-AH124</f>
        <v>833.33</v>
      </c>
      <c r="AI125" s="84"/>
    </row>
    <row r="126" customFormat="false" ht="17.35" hidden="false" customHeight="false" outlineLevel="0" collapsed="false">
      <c r="A126" s="221"/>
      <c r="B126" s="331"/>
      <c r="C126" s="331"/>
      <c r="D126" s="331"/>
      <c r="E126" s="331"/>
      <c r="F126" s="331"/>
      <c r="G126" s="331"/>
      <c r="H126" s="11"/>
      <c r="J126" s="221"/>
      <c r="K126" s="331"/>
      <c r="L126" s="331"/>
      <c r="M126" s="331"/>
      <c r="N126" s="331"/>
      <c r="O126" s="331"/>
      <c r="P126" s="331"/>
      <c r="Q126" s="11"/>
      <c r="S126" s="221"/>
      <c r="T126" s="331"/>
      <c r="U126" s="331"/>
      <c r="V126" s="331"/>
      <c r="W126" s="331"/>
      <c r="X126" s="331"/>
      <c r="Y126" s="331"/>
      <c r="Z126" s="11"/>
      <c r="AB126" s="221"/>
      <c r="AC126" s="331"/>
      <c r="AD126" s="331"/>
      <c r="AE126" s="331"/>
      <c r="AF126" s="331"/>
      <c r="AG126" s="331"/>
      <c r="AH126" s="331"/>
      <c r="AI126" s="11"/>
    </row>
    <row r="127" customFormat="false" ht="19.7" hidden="false" customHeight="false" outlineLevel="0" collapsed="false">
      <c r="A127" s="294"/>
      <c r="B127" s="359"/>
      <c r="C127" s="359"/>
      <c r="D127" s="359"/>
      <c r="E127" s="359"/>
      <c r="F127" s="359"/>
      <c r="G127" s="332" t="s">
        <v>234</v>
      </c>
      <c r="H127" s="296" t="s">
        <v>235</v>
      </c>
      <c r="J127" s="294"/>
      <c r="K127" s="359"/>
      <c r="L127" s="359"/>
      <c r="M127" s="359"/>
      <c r="N127" s="359"/>
      <c r="O127" s="359"/>
      <c r="P127" s="332" t="s">
        <v>234</v>
      </c>
      <c r="Q127" s="296" t="s">
        <v>235</v>
      </c>
      <c r="S127" s="294"/>
      <c r="T127" s="359"/>
      <c r="U127" s="359"/>
      <c r="V127" s="359"/>
      <c r="W127" s="359"/>
      <c r="X127" s="359"/>
      <c r="Y127" s="332" t="s">
        <v>234</v>
      </c>
      <c r="Z127" s="296" t="s">
        <v>235</v>
      </c>
      <c r="AB127" s="294"/>
      <c r="AC127" s="359"/>
      <c r="AD127" s="359"/>
      <c r="AE127" s="359"/>
      <c r="AF127" s="359"/>
      <c r="AG127" s="359"/>
      <c r="AH127" s="332" t="s">
        <v>234</v>
      </c>
      <c r="AI127" s="296" t="s">
        <v>235</v>
      </c>
    </row>
    <row r="128" customFormat="false" ht="17.35" hidden="false" customHeight="false" outlineLevel="0" collapsed="false">
      <c r="A128" s="297" t="s">
        <v>236</v>
      </c>
      <c r="B128" s="298"/>
      <c r="C128" s="298"/>
      <c r="D128" s="298"/>
      <c r="E128" s="298"/>
      <c r="F128" s="298"/>
      <c r="G128" s="299" t="n">
        <f aca="false">H121</f>
        <v>0</v>
      </c>
      <c r="H128" s="300" t="n">
        <f aca="false">SUM(H131:H133)</f>
        <v>0</v>
      </c>
      <c r="J128" s="297" t="s">
        <v>236</v>
      </c>
      <c r="K128" s="298"/>
      <c r="L128" s="298"/>
      <c r="M128" s="298"/>
      <c r="N128" s="298"/>
      <c r="O128" s="298"/>
      <c r="P128" s="299" t="n">
        <f aca="false">Q121</f>
        <v>0</v>
      </c>
      <c r="Q128" s="300" t="n">
        <f aca="false">SUM(Q131:Q133)</f>
        <v>0</v>
      </c>
      <c r="S128" s="297" t="s">
        <v>236</v>
      </c>
      <c r="T128" s="298"/>
      <c r="U128" s="298"/>
      <c r="V128" s="298"/>
      <c r="W128" s="298"/>
      <c r="X128" s="298"/>
      <c r="Y128" s="299" t="n">
        <f aca="false">Z121</f>
        <v>0</v>
      </c>
      <c r="Z128" s="300" t="n">
        <f aca="false">SUM(Z131:Z133)</f>
        <v>0</v>
      </c>
      <c r="AB128" s="297" t="s">
        <v>236</v>
      </c>
      <c r="AC128" s="298"/>
      <c r="AD128" s="298"/>
      <c r="AE128" s="298"/>
      <c r="AF128" s="298"/>
      <c r="AG128" s="298"/>
      <c r="AH128" s="299" t="n">
        <f aca="false">AI121</f>
        <v>0</v>
      </c>
      <c r="AI128" s="300" t="n">
        <f aca="false">SUM(AI131:AI133)</f>
        <v>0</v>
      </c>
    </row>
    <row r="129" customFormat="false" ht="17.35" hidden="false" customHeight="false" outlineLevel="0" collapsed="false">
      <c r="A129" s="221"/>
      <c r="B129" s="331"/>
      <c r="C129" s="331"/>
      <c r="D129" s="331"/>
      <c r="E129" s="331"/>
      <c r="F129" s="331"/>
      <c r="G129" s="304"/>
      <c r="H129" s="302"/>
      <c r="J129" s="221"/>
      <c r="K129" s="331"/>
      <c r="L129" s="331"/>
      <c r="M129" s="331"/>
      <c r="N129" s="331"/>
      <c r="O129" s="331"/>
      <c r="P129" s="304"/>
      <c r="Q129" s="302"/>
      <c r="S129" s="221"/>
      <c r="T129" s="331"/>
      <c r="U129" s="331"/>
      <c r="V129" s="331"/>
      <c r="W129" s="331"/>
      <c r="X129" s="331"/>
      <c r="Y129" s="304"/>
      <c r="Z129" s="302"/>
      <c r="AB129" s="221"/>
      <c r="AC129" s="331"/>
      <c r="AD129" s="331"/>
      <c r="AE129" s="331"/>
      <c r="AF129" s="331"/>
      <c r="AG129" s="331"/>
      <c r="AH129" s="304"/>
      <c r="AI129" s="302"/>
    </row>
    <row r="130" customFormat="false" ht="17.35" hidden="false" customHeight="false" outlineLevel="0" collapsed="false">
      <c r="A130" s="303" t="s">
        <v>237</v>
      </c>
      <c r="B130" s="304" t="s">
        <v>238</v>
      </c>
      <c r="C130" s="304"/>
      <c r="D130" s="304" t="s">
        <v>239</v>
      </c>
      <c r="E130" s="304"/>
      <c r="F130" s="304" t="s">
        <v>7</v>
      </c>
      <c r="G130" s="304"/>
      <c r="H130" s="302" t="s">
        <v>235</v>
      </c>
      <c r="J130" s="303" t="s">
        <v>237</v>
      </c>
      <c r="K130" s="304" t="s">
        <v>238</v>
      </c>
      <c r="L130" s="304"/>
      <c r="M130" s="304" t="s">
        <v>239</v>
      </c>
      <c r="N130" s="304"/>
      <c r="O130" s="304" t="s">
        <v>7</v>
      </c>
      <c r="P130" s="304"/>
      <c r="Q130" s="302" t="s">
        <v>235</v>
      </c>
      <c r="S130" s="303" t="s">
        <v>237</v>
      </c>
      <c r="T130" s="304" t="s">
        <v>238</v>
      </c>
      <c r="U130" s="304"/>
      <c r="V130" s="304" t="s">
        <v>239</v>
      </c>
      <c r="W130" s="304"/>
      <c r="X130" s="304" t="s">
        <v>7</v>
      </c>
      <c r="Y130" s="304"/>
      <c r="Z130" s="302" t="s">
        <v>235</v>
      </c>
      <c r="AB130" s="303" t="s">
        <v>237</v>
      </c>
      <c r="AC130" s="304" t="s">
        <v>238</v>
      </c>
      <c r="AD130" s="304"/>
      <c r="AE130" s="304" t="s">
        <v>239</v>
      </c>
      <c r="AF130" s="304"/>
      <c r="AG130" s="304" t="s">
        <v>7</v>
      </c>
      <c r="AH130" s="304"/>
      <c r="AI130" s="302" t="s">
        <v>235</v>
      </c>
    </row>
    <row r="131" customFormat="false" ht="17.35" hidden="false" customHeight="false" outlineLevel="0" collapsed="false">
      <c r="A131" s="221" t="s">
        <v>240</v>
      </c>
      <c r="B131" s="306" t="n">
        <f aca="false">G128</f>
        <v>0</v>
      </c>
      <c r="C131" s="306"/>
      <c r="D131" s="307" t="n">
        <v>0</v>
      </c>
      <c r="E131" s="307"/>
      <c r="F131" s="306" t="n">
        <v>0</v>
      </c>
      <c r="G131" s="306"/>
      <c r="H131" s="308" t="n">
        <f aca="false">(B131-(B131*D131))-F131</f>
        <v>0</v>
      </c>
      <c r="J131" s="221" t="s">
        <v>240</v>
      </c>
      <c r="K131" s="306" t="n">
        <f aca="false">P128</f>
        <v>0</v>
      </c>
      <c r="L131" s="306"/>
      <c r="M131" s="307" t="n">
        <v>0</v>
      </c>
      <c r="N131" s="307"/>
      <c r="O131" s="306" t="n">
        <v>0</v>
      </c>
      <c r="P131" s="306"/>
      <c r="Q131" s="308" t="n">
        <f aca="false">(K131-(K131*M131))-O131</f>
        <v>0</v>
      </c>
      <c r="S131" s="221" t="s">
        <v>240</v>
      </c>
      <c r="T131" s="306" t="n">
        <f aca="false">Y128</f>
        <v>0</v>
      </c>
      <c r="U131" s="306"/>
      <c r="V131" s="307" t="n">
        <v>0</v>
      </c>
      <c r="W131" s="307"/>
      <c r="X131" s="306" t="n">
        <v>0</v>
      </c>
      <c r="Y131" s="306"/>
      <c r="Z131" s="308" t="n">
        <f aca="false">(T131-(T131*V131))-X131</f>
        <v>0</v>
      </c>
      <c r="AB131" s="221" t="s">
        <v>240</v>
      </c>
      <c r="AC131" s="306" t="n">
        <f aca="false">AH128</f>
        <v>0</v>
      </c>
      <c r="AD131" s="306"/>
      <c r="AE131" s="307" t="n">
        <v>0</v>
      </c>
      <c r="AF131" s="307"/>
      <c r="AG131" s="306" t="n">
        <v>0</v>
      </c>
      <c r="AH131" s="306"/>
      <c r="AI131" s="308" t="n">
        <f aca="false">(AC131-(AC131*AE131))-AG131</f>
        <v>0</v>
      </c>
    </row>
    <row r="132" customFormat="false" ht="17.35" hidden="false" customHeight="false" outlineLevel="0" collapsed="false">
      <c r="A132" s="221" t="s">
        <v>241</v>
      </c>
      <c r="B132" s="306" t="n">
        <v>0</v>
      </c>
      <c r="C132" s="306"/>
      <c r="D132" s="307" t="n">
        <v>0</v>
      </c>
      <c r="E132" s="307"/>
      <c r="F132" s="306" t="n">
        <v>0</v>
      </c>
      <c r="G132" s="306"/>
      <c r="H132" s="308" t="n">
        <f aca="false">(B132-(B132*D132))-F132</f>
        <v>0</v>
      </c>
      <c r="J132" s="221" t="s">
        <v>241</v>
      </c>
      <c r="K132" s="306" t="n">
        <v>0</v>
      </c>
      <c r="L132" s="306"/>
      <c r="M132" s="307" t="n">
        <v>0</v>
      </c>
      <c r="N132" s="307"/>
      <c r="O132" s="306" t="n">
        <v>0</v>
      </c>
      <c r="P132" s="306"/>
      <c r="Q132" s="308" t="n">
        <f aca="false">(K132-(K132*M132))-O132</f>
        <v>0</v>
      </c>
      <c r="S132" s="221" t="s">
        <v>241</v>
      </c>
      <c r="T132" s="306" t="n">
        <v>0</v>
      </c>
      <c r="U132" s="306"/>
      <c r="V132" s="307" t="n">
        <v>0</v>
      </c>
      <c r="W132" s="307"/>
      <c r="X132" s="306" t="n">
        <v>0</v>
      </c>
      <c r="Y132" s="306"/>
      <c r="Z132" s="308" t="n">
        <f aca="false">(T132-(T132*V132))-X132</f>
        <v>0</v>
      </c>
      <c r="AB132" s="221" t="s">
        <v>241</v>
      </c>
      <c r="AC132" s="306" t="n">
        <v>0</v>
      </c>
      <c r="AD132" s="306"/>
      <c r="AE132" s="307" t="n">
        <v>0</v>
      </c>
      <c r="AF132" s="307"/>
      <c r="AG132" s="306" t="n">
        <v>0</v>
      </c>
      <c r="AH132" s="306"/>
      <c r="AI132" s="308" t="n">
        <f aca="false">(AC132-(AC132*AE132))-AG132</f>
        <v>0</v>
      </c>
    </row>
    <row r="133" customFormat="false" ht="17.35" hidden="false" customHeight="false" outlineLevel="0" collapsed="false">
      <c r="A133" s="221" t="s">
        <v>242</v>
      </c>
      <c r="B133" s="306" t="n">
        <v>0</v>
      </c>
      <c r="C133" s="306"/>
      <c r="D133" s="307" t="n">
        <v>0</v>
      </c>
      <c r="E133" s="307"/>
      <c r="F133" s="306" t="n">
        <v>0</v>
      </c>
      <c r="G133" s="306"/>
      <c r="H133" s="308" t="n">
        <f aca="false">(B133-(B133*D133))-F133</f>
        <v>0</v>
      </c>
      <c r="J133" s="221" t="s">
        <v>242</v>
      </c>
      <c r="K133" s="306" t="n">
        <v>0</v>
      </c>
      <c r="L133" s="306"/>
      <c r="M133" s="307" t="n">
        <v>0</v>
      </c>
      <c r="N133" s="307"/>
      <c r="O133" s="306" t="n">
        <v>0</v>
      </c>
      <c r="P133" s="306"/>
      <c r="Q133" s="308" t="n">
        <f aca="false">(K133-(K133*M133))-O133</f>
        <v>0</v>
      </c>
      <c r="S133" s="221" t="s">
        <v>242</v>
      </c>
      <c r="T133" s="306" t="n">
        <v>0</v>
      </c>
      <c r="U133" s="306"/>
      <c r="V133" s="307" t="n">
        <v>0</v>
      </c>
      <c r="W133" s="307"/>
      <c r="X133" s="306" t="n">
        <v>0</v>
      </c>
      <c r="Y133" s="306"/>
      <c r="Z133" s="308" t="n">
        <f aca="false">(T133-(T133*V133))-X133</f>
        <v>0</v>
      </c>
      <c r="AB133" s="221" t="s">
        <v>242</v>
      </c>
      <c r="AC133" s="306" t="n">
        <v>0</v>
      </c>
      <c r="AD133" s="306"/>
      <c r="AE133" s="307" t="n">
        <v>0</v>
      </c>
      <c r="AF133" s="307"/>
      <c r="AG133" s="306" t="n">
        <v>0</v>
      </c>
      <c r="AH133" s="306"/>
      <c r="AI133" s="308" t="n">
        <f aca="false">(AC133-(AC133*AE133))-AG133</f>
        <v>0</v>
      </c>
    </row>
    <row r="134" customFormat="false" ht="17.35" hidden="false" customHeight="false" outlineLevel="0" collapsed="false">
      <c r="A134" s="221"/>
      <c r="B134" s="331"/>
      <c r="C134" s="331"/>
      <c r="D134" s="331"/>
      <c r="E134" s="331"/>
      <c r="F134" s="331"/>
      <c r="G134" s="304"/>
      <c r="H134" s="302"/>
      <c r="J134" s="221"/>
      <c r="K134" s="331"/>
      <c r="L134" s="331"/>
      <c r="M134" s="331"/>
      <c r="N134" s="331"/>
      <c r="O134" s="331"/>
      <c r="P134" s="304"/>
      <c r="Q134" s="302"/>
      <c r="S134" s="221"/>
      <c r="T134" s="331"/>
      <c r="U134" s="331"/>
      <c r="V134" s="331"/>
      <c r="W134" s="331"/>
      <c r="X134" s="331"/>
      <c r="Y134" s="304"/>
      <c r="Z134" s="302"/>
      <c r="AB134" s="221"/>
      <c r="AC134" s="331"/>
      <c r="AD134" s="331"/>
      <c r="AE134" s="331"/>
      <c r="AF134" s="331"/>
      <c r="AG134" s="331"/>
      <c r="AH134" s="304"/>
      <c r="AI134" s="302"/>
    </row>
    <row r="135" customFormat="false" ht="19.7" hidden="false" customHeight="false" outlineLevel="0" collapsed="false">
      <c r="A135" s="226" t="s">
        <v>10</v>
      </c>
      <c r="B135" s="226"/>
      <c r="C135" s="226"/>
      <c r="D135" s="226"/>
      <c r="E135" s="226"/>
      <c r="F135" s="226"/>
      <c r="G135" s="332" t="n">
        <f aca="false">H9</f>
        <v>47687.5</v>
      </c>
      <c r="H135" s="309" t="n">
        <f aca="false">C125+E125+G125+H128</f>
        <v>47687.5</v>
      </c>
      <c r="J135" s="226" t="s">
        <v>10</v>
      </c>
      <c r="K135" s="226"/>
      <c r="L135" s="226"/>
      <c r="M135" s="226"/>
      <c r="N135" s="226"/>
      <c r="O135" s="226"/>
      <c r="P135" s="332" t="n">
        <f aca="false">H9</f>
        <v>47687.5</v>
      </c>
      <c r="Q135" s="309" t="n">
        <f aca="false">L125+N125+P125+Q128</f>
        <v>29462.5</v>
      </c>
      <c r="S135" s="226" t="s">
        <v>10</v>
      </c>
      <c r="T135" s="226"/>
      <c r="U135" s="226"/>
      <c r="V135" s="226"/>
      <c r="W135" s="226"/>
      <c r="X135" s="226"/>
      <c r="Y135" s="332" t="n">
        <f aca="false">H9</f>
        <v>47687.5</v>
      </c>
      <c r="Z135" s="309" t="n">
        <f aca="false">U125+W125+Y125+Z128</f>
        <v>47570.364575</v>
      </c>
      <c r="AB135" s="226" t="s">
        <v>10</v>
      </c>
      <c r="AC135" s="226"/>
      <c r="AD135" s="226"/>
      <c r="AE135" s="226"/>
      <c r="AF135" s="226"/>
      <c r="AG135" s="226"/>
      <c r="AH135" s="332" t="n">
        <f aca="false">H9</f>
        <v>47687.5</v>
      </c>
      <c r="AI135" s="309" t="n">
        <f aca="false">AD125+AF125+AH125+AI128</f>
        <v>35973.9575</v>
      </c>
    </row>
    <row r="136" customFormat="false" ht="17.35" hidden="false" customHeight="false" outlineLevel="0" collapsed="false">
      <c r="A136" s="229" t="s">
        <v>11</v>
      </c>
      <c r="B136" s="229"/>
      <c r="C136" s="229"/>
      <c r="D136" s="229"/>
      <c r="E136" s="229"/>
      <c r="F136" s="229"/>
      <c r="G136" s="40" t="n">
        <f aca="false">H10</f>
        <v>550</v>
      </c>
      <c r="H136" s="11" t="n">
        <f aca="false">G136</f>
        <v>550</v>
      </c>
      <c r="J136" s="229" t="s">
        <v>11</v>
      </c>
      <c r="K136" s="229"/>
      <c r="L136" s="229"/>
      <c r="M136" s="229"/>
      <c r="N136" s="229"/>
      <c r="O136" s="229"/>
      <c r="P136" s="40" t="n">
        <f aca="false">H10</f>
        <v>550</v>
      </c>
      <c r="Q136" s="11" t="n">
        <f aca="false">P136</f>
        <v>550</v>
      </c>
      <c r="S136" s="229" t="s">
        <v>11</v>
      </c>
      <c r="T136" s="229"/>
      <c r="U136" s="229"/>
      <c r="V136" s="229"/>
      <c r="W136" s="229"/>
      <c r="X136" s="229"/>
      <c r="Y136" s="40" t="n">
        <f aca="false">H10</f>
        <v>550</v>
      </c>
      <c r="Z136" s="11" t="n">
        <f aca="false">Y136</f>
        <v>550</v>
      </c>
      <c r="AB136" s="229" t="s">
        <v>11</v>
      </c>
      <c r="AC136" s="229"/>
      <c r="AD136" s="229"/>
      <c r="AE136" s="229"/>
      <c r="AF136" s="229"/>
      <c r="AG136" s="229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9" t="s">
        <v>12</v>
      </c>
      <c r="B137" s="229"/>
      <c r="C137" s="229"/>
      <c r="D137" s="229"/>
      <c r="E137" s="229"/>
      <c r="F137" s="229"/>
      <c r="G137" s="40" t="n">
        <f aca="false">H11</f>
        <v>9647.5</v>
      </c>
      <c r="H137" s="11" t="n">
        <f aca="false">(H135+H136)*20%</f>
        <v>9647.5</v>
      </c>
      <c r="J137" s="229" t="s">
        <v>12</v>
      </c>
      <c r="K137" s="229"/>
      <c r="L137" s="229"/>
      <c r="M137" s="229"/>
      <c r="N137" s="229"/>
      <c r="O137" s="229"/>
      <c r="P137" s="40" t="n">
        <f aca="false">H11</f>
        <v>9647.5</v>
      </c>
      <c r="Q137" s="11" t="n">
        <f aca="false">(Q135+Q136)*20%</f>
        <v>6002.5</v>
      </c>
      <c r="S137" s="229" t="s">
        <v>12</v>
      </c>
      <c r="T137" s="229"/>
      <c r="U137" s="229"/>
      <c r="V137" s="229"/>
      <c r="W137" s="229"/>
      <c r="X137" s="229"/>
      <c r="Y137" s="40" t="n">
        <f aca="false">H11</f>
        <v>9647.5</v>
      </c>
      <c r="Z137" s="11" t="n">
        <f aca="false">(Z135+Z136)*20%</f>
        <v>9624.072915</v>
      </c>
      <c r="AB137" s="229" t="s">
        <v>12</v>
      </c>
      <c r="AC137" s="229"/>
      <c r="AD137" s="229"/>
      <c r="AE137" s="229"/>
      <c r="AF137" s="229"/>
      <c r="AG137" s="229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9" t="s">
        <v>13</v>
      </c>
      <c r="B138" s="229"/>
      <c r="C138" s="229"/>
      <c r="D138" s="229"/>
      <c r="E138" s="229"/>
      <c r="F138" s="229"/>
      <c r="G138" s="40" t="n">
        <f aca="false">H12</f>
        <v>0</v>
      </c>
      <c r="H138" s="11" t="n">
        <f aca="false">G138</f>
        <v>0</v>
      </c>
      <c r="J138" s="229" t="s">
        <v>13</v>
      </c>
      <c r="K138" s="229"/>
      <c r="L138" s="229"/>
      <c r="M138" s="229"/>
      <c r="N138" s="229"/>
      <c r="O138" s="229"/>
      <c r="P138" s="40" t="n">
        <f aca="false">H12</f>
        <v>0</v>
      </c>
      <c r="Q138" s="11" t="n">
        <f aca="false">P138</f>
        <v>0</v>
      </c>
      <c r="S138" s="229" t="s">
        <v>13</v>
      </c>
      <c r="T138" s="229"/>
      <c r="U138" s="229"/>
      <c r="V138" s="229"/>
      <c r="W138" s="229"/>
      <c r="X138" s="229"/>
      <c r="Y138" s="40" t="n">
        <f aca="false">H12</f>
        <v>0</v>
      </c>
      <c r="Z138" s="11" t="n">
        <f aca="false">Y138</f>
        <v>0</v>
      </c>
      <c r="AB138" s="229" t="s">
        <v>13</v>
      </c>
      <c r="AC138" s="229"/>
      <c r="AD138" s="229"/>
      <c r="AE138" s="229"/>
      <c r="AF138" s="229"/>
      <c r="AG138" s="229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9" t="s">
        <v>14</v>
      </c>
      <c r="B139" s="229"/>
      <c r="C139" s="229"/>
      <c r="D139" s="229"/>
      <c r="E139" s="229"/>
      <c r="F139" s="229"/>
      <c r="G139" s="40" t="n">
        <f aca="false">H13</f>
        <v>585</v>
      </c>
      <c r="H139" s="11" t="n">
        <f aca="false">G139</f>
        <v>585</v>
      </c>
      <c r="J139" s="229" t="s">
        <v>14</v>
      </c>
      <c r="K139" s="229"/>
      <c r="L139" s="229"/>
      <c r="M139" s="229"/>
      <c r="N139" s="229"/>
      <c r="O139" s="229"/>
      <c r="P139" s="40" t="n">
        <f aca="false">H13</f>
        <v>585</v>
      </c>
      <c r="Q139" s="11" t="n">
        <f aca="false">P139</f>
        <v>585</v>
      </c>
      <c r="S139" s="229" t="s">
        <v>14</v>
      </c>
      <c r="T139" s="229"/>
      <c r="U139" s="229"/>
      <c r="V139" s="229"/>
      <c r="W139" s="229"/>
      <c r="X139" s="229"/>
      <c r="Y139" s="40" t="n">
        <f aca="false">H13</f>
        <v>585</v>
      </c>
      <c r="Z139" s="11" t="n">
        <f aca="false">Y139</f>
        <v>585</v>
      </c>
      <c r="AB139" s="229" t="s">
        <v>14</v>
      </c>
      <c r="AC139" s="229"/>
      <c r="AD139" s="229"/>
      <c r="AE139" s="229"/>
      <c r="AF139" s="229"/>
      <c r="AG139" s="229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9" t="s">
        <v>15</v>
      </c>
      <c r="B140" s="229"/>
      <c r="C140" s="229"/>
      <c r="D140" s="229"/>
      <c r="E140" s="229"/>
      <c r="F140" s="229"/>
      <c r="G140" s="40" t="n">
        <f aca="false">H14</f>
        <v>55</v>
      </c>
      <c r="H140" s="11" t="n">
        <v>55</v>
      </c>
      <c r="J140" s="229" t="s">
        <v>15</v>
      </c>
      <c r="K140" s="229"/>
      <c r="L140" s="229"/>
      <c r="M140" s="229"/>
      <c r="N140" s="229"/>
      <c r="O140" s="229"/>
      <c r="P140" s="40" t="n">
        <f aca="false">H14</f>
        <v>55</v>
      </c>
      <c r="Q140" s="11" t="n">
        <v>55</v>
      </c>
      <c r="S140" s="229" t="s">
        <v>15</v>
      </c>
      <c r="T140" s="229"/>
      <c r="U140" s="229"/>
      <c r="V140" s="229"/>
      <c r="W140" s="229"/>
      <c r="X140" s="229"/>
      <c r="Y140" s="40" t="n">
        <f aca="false">H14</f>
        <v>55</v>
      </c>
      <c r="Z140" s="11" t="n">
        <v>55</v>
      </c>
      <c r="AB140" s="229" t="s">
        <v>15</v>
      </c>
      <c r="AC140" s="229"/>
      <c r="AD140" s="229"/>
      <c r="AE140" s="229"/>
      <c r="AF140" s="229"/>
      <c r="AG140" s="229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9" t="s">
        <v>17</v>
      </c>
      <c r="B141" s="229"/>
      <c r="C141" s="229"/>
      <c r="D141" s="229"/>
      <c r="E141" s="229"/>
      <c r="F141" s="229"/>
      <c r="G141" s="360" t="n">
        <f aca="false">H15</f>
        <v>58525</v>
      </c>
      <c r="H141" s="311" t="n">
        <f aca="false">(H135+H136+H139+H140+H137)-H138</f>
        <v>58525</v>
      </c>
      <c r="J141" s="229" t="s">
        <v>17</v>
      </c>
      <c r="K141" s="229"/>
      <c r="L141" s="229"/>
      <c r="M141" s="229"/>
      <c r="N141" s="229"/>
      <c r="O141" s="229"/>
      <c r="P141" s="360" t="n">
        <f aca="false">H15</f>
        <v>58525</v>
      </c>
      <c r="Q141" s="311" t="n">
        <f aca="false">(Q135+Q136+Q139+Q140+Q137)-Q138</f>
        <v>36655</v>
      </c>
      <c r="S141" s="229" t="s">
        <v>17</v>
      </c>
      <c r="T141" s="229"/>
      <c r="U141" s="229"/>
      <c r="V141" s="229"/>
      <c r="W141" s="229"/>
      <c r="X141" s="229"/>
      <c r="Y141" s="360" t="n">
        <f aca="false">H15</f>
        <v>58525</v>
      </c>
      <c r="Z141" s="311" t="n">
        <f aca="false">(Z135+Z136+Z139+Z140+Z137)-Z138</f>
        <v>58384.43749</v>
      </c>
      <c r="AB141" s="229" t="s">
        <v>17</v>
      </c>
      <c r="AC141" s="229"/>
      <c r="AD141" s="229"/>
      <c r="AE141" s="229"/>
      <c r="AF141" s="229"/>
      <c r="AG141" s="229"/>
      <c r="AH141" s="360" t="n">
        <f aca="false">H15</f>
        <v>58525</v>
      </c>
      <c r="AI141" s="311" t="n">
        <f aca="false">(AI135+AI136+AI139+AI140+AI137)-AI138</f>
        <v>44468.749</v>
      </c>
    </row>
    <row r="142" customFormat="false" ht="17.35" hidden="false" customHeight="false" outlineLevel="0" collapsed="false">
      <c r="A142" s="229" t="s">
        <v>18</v>
      </c>
      <c r="B142" s="229"/>
      <c r="C142" s="229"/>
      <c r="D142" s="229"/>
      <c r="E142" s="229"/>
      <c r="F142" s="229"/>
      <c r="G142" s="40" t="n">
        <f aca="false">H16</f>
        <v>0</v>
      </c>
      <c r="H142" s="242" t="n">
        <f aca="false">G142</f>
        <v>0</v>
      </c>
      <c r="J142" s="229" t="s">
        <v>18</v>
      </c>
      <c r="K142" s="229"/>
      <c r="L142" s="229"/>
      <c r="M142" s="229"/>
      <c r="N142" s="229"/>
      <c r="O142" s="229"/>
      <c r="P142" s="40" t="n">
        <f aca="false">H16</f>
        <v>0</v>
      </c>
      <c r="Q142" s="242" t="n">
        <f aca="false">P142</f>
        <v>0</v>
      </c>
      <c r="S142" s="229" t="s">
        <v>18</v>
      </c>
      <c r="T142" s="229"/>
      <c r="U142" s="229"/>
      <c r="V142" s="229"/>
      <c r="W142" s="229"/>
      <c r="X142" s="229"/>
      <c r="Y142" s="40" t="n">
        <f aca="false">H16</f>
        <v>0</v>
      </c>
      <c r="Z142" s="242" t="n">
        <f aca="false">Y142</f>
        <v>0</v>
      </c>
      <c r="AB142" s="229" t="s">
        <v>18</v>
      </c>
      <c r="AC142" s="229"/>
      <c r="AD142" s="229"/>
      <c r="AE142" s="229"/>
      <c r="AF142" s="229"/>
      <c r="AG142" s="229"/>
      <c r="AH142" s="40" t="n">
        <f aca="false">H16</f>
        <v>0</v>
      </c>
      <c r="AI142" s="242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5"/>
      <c r="H143" s="11"/>
      <c r="J143" s="129" t="s">
        <v>20</v>
      </c>
      <c r="K143" s="129"/>
      <c r="L143" s="129"/>
      <c r="M143" s="129"/>
      <c r="N143" s="129"/>
      <c r="O143" s="129"/>
      <c r="P143" s="215"/>
      <c r="Q143" s="11"/>
      <c r="S143" s="129" t="s">
        <v>20</v>
      </c>
      <c r="T143" s="129"/>
      <c r="U143" s="129"/>
      <c r="V143" s="129"/>
      <c r="W143" s="129"/>
      <c r="X143" s="129"/>
      <c r="Y143" s="215"/>
      <c r="Z143" s="11"/>
      <c r="AB143" s="129" t="s">
        <v>20</v>
      </c>
      <c r="AC143" s="129"/>
      <c r="AD143" s="129"/>
      <c r="AE143" s="129"/>
      <c r="AF143" s="129"/>
      <c r="AG143" s="129"/>
      <c r="AH143" s="215"/>
      <c r="AI143" s="11"/>
    </row>
    <row r="144" customFormat="false" ht="17.35" hidden="false" customHeight="false" outlineLevel="0" collapsed="false">
      <c r="A144" s="232" t="s">
        <v>19</v>
      </c>
      <c r="B144" s="233" t="s">
        <v>23</v>
      </c>
      <c r="C144" s="233"/>
      <c r="D144" s="233"/>
      <c r="E144" s="233"/>
      <c r="F144" s="233"/>
      <c r="G144" s="40" t="n">
        <f aca="false">H18</f>
        <v>0</v>
      </c>
      <c r="H144" s="242" t="n">
        <f aca="false">G144</f>
        <v>0</v>
      </c>
      <c r="J144" s="232" t="s">
        <v>19</v>
      </c>
      <c r="K144" s="233" t="s">
        <v>23</v>
      </c>
      <c r="L144" s="233"/>
      <c r="M144" s="233"/>
      <c r="N144" s="233"/>
      <c r="O144" s="233"/>
      <c r="P144" s="40" t="n">
        <f aca="false">H18</f>
        <v>0</v>
      </c>
      <c r="Q144" s="242" t="n">
        <f aca="false">P144</f>
        <v>0</v>
      </c>
      <c r="S144" s="232" t="s">
        <v>19</v>
      </c>
      <c r="T144" s="233" t="s">
        <v>23</v>
      </c>
      <c r="U144" s="233"/>
      <c r="V144" s="233"/>
      <c r="W144" s="233"/>
      <c r="X144" s="233"/>
      <c r="Y144" s="40" t="n">
        <f aca="false">H18</f>
        <v>0</v>
      </c>
      <c r="Z144" s="242" t="n">
        <f aca="false">Y144</f>
        <v>0</v>
      </c>
      <c r="AB144" s="232" t="s">
        <v>19</v>
      </c>
      <c r="AC144" s="233" t="s">
        <v>23</v>
      </c>
      <c r="AD144" s="233"/>
      <c r="AE144" s="233"/>
      <c r="AF144" s="233"/>
      <c r="AG144" s="233"/>
      <c r="AH144" s="40" t="n">
        <f aca="false">H18</f>
        <v>0</v>
      </c>
      <c r="AI144" s="242" t="n">
        <f aca="false">AH144</f>
        <v>0</v>
      </c>
    </row>
    <row r="145" customFormat="false" ht="17.35" hidden="false" customHeight="false" outlineLevel="0" collapsed="false">
      <c r="A145" s="232" t="s">
        <v>22</v>
      </c>
      <c r="B145" s="233" t="s">
        <v>23</v>
      </c>
      <c r="C145" s="233"/>
      <c r="D145" s="233"/>
      <c r="E145" s="233"/>
      <c r="F145" s="233"/>
      <c r="G145" s="40" t="n">
        <f aca="false">H19</f>
        <v>0</v>
      </c>
      <c r="H145" s="242" t="n">
        <f aca="false">G145</f>
        <v>0</v>
      </c>
      <c r="I145" s="216" t="n">
        <f aca="false">(G142+G145+G146+G144)</f>
        <v>0</v>
      </c>
      <c r="J145" s="232" t="s">
        <v>22</v>
      </c>
      <c r="K145" s="233" t="s">
        <v>23</v>
      </c>
      <c r="L145" s="233"/>
      <c r="M145" s="233"/>
      <c r="N145" s="233"/>
      <c r="O145" s="233"/>
      <c r="P145" s="40" t="n">
        <f aca="false">H19</f>
        <v>0</v>
      </c>
      <c r="Q145" s="242" t="n">
        <f aca="false">P145</f>
        <v>0</v>
      </c>
      <c r="S145" s="232" t="s">
        <v>22</v>
      </c>
      <c r="T145" s="233" t="s">
        <v>23</v>
      </c>
      <c r="U145" s="233"/>
      <c r="V145" s="233"/>
      <c r="W145" s="233"/>
      <c r="X145" s="233"/>
      <c r="Y145" s="40" t="n">
        <f aca="false">H19</f>
        <v>0</v>
      </c>
      <c r="Z145" s="242" t="n">
        <f aca="false">Y145</f>
        <v>0</v>
      </c>
      <c r="AB145" s="232" t="s">
        <v>22</v>
      </c>
      <c r="AC145" s="233" t="s">
        <v>23</v>
      </c>
      <c r="AD145" s="233"/>
      <c r="AE145" s="233"/>
      <c r="AF145" s="233"/>
      <c r="AG145" s="233"/>
      <c r="AH145" s="40" t="n">
        <f aca="false">H19</f>
        <v>0</v>
      </c>
      <c r="AI145" s="242" t="n">
        <f aca="false">AH145</f>
        <v>0</v>
      </c>
    </row>
    <row r="146" customFormat="false" ht="17.35" hidden="false" customHeight="false" outlineLevel="0" collapsed="false">
      <c r="A146" s="313" t="s">
        <v>24</v>
      </c>
      <c r="B146" s="314" t="s">
        <v>23</v>
      </c>
      <c r="C146" s="314"/>
      <c r="D146" s="314"/>
      <c r="E146" s="314"/>
      <c r="F146" s="314"/>
      <c r="G146" s="40" t="n">
        <f aca="false">H20</f>
        <v>0</v>
      </c>
      <c r="H146" s="242" t="n">
        <f aca="false">G146</f>
        <v>0</v>
      </c>
      <c r="I146" s="216" t="n">
        <f aca="false">(H142+H144+H145+H146)</f>
        <v>0</v>
      </c>
      <c r="J146" s="313" t="s">
        <v>24</v>
      </c>
      <c r="K146" s="314" t="s">
        <v>23</v>
      </c>
      <c r="L146" s="314"/>
      <c r="M146" s="314"/>
      <c r="N146" s="314"/>
      <c r="O146" s="314"/>
      <c r="P146" s="40" t="n">
        <f aca="false">H20</f>
        <v>0</v>
      </c>
      <c r="Q146" s="242" t="n">
        <f aca="false">P146</f>
        <v>0</v>
      </c>
      <c r="S146" s="313" t="s">
        <v>24</v>
      </c>
      <c r="T146" s="314" t="s">
        <v>23</v>
      </c>
      <c r="U146" s="314"/>
      <c r="V146" s="314"/>
      <c r="W146" s="314"/>
      <c r="X146" s="314"/>
      <c r="Y146" s="40" t="n">
        <f aca="false">H20</f>
        <v>0</v>
      </c>
      <c r="Z146" s="242" t="n">
        <f aca="false">Y146</f>
        <v>0</v>
      </c>
      <c r="AB146" s="313" t="s">
        <v>24</v>
      </c>
      <c r="AC146" s="314" t="s">
        <v>23</v>
      </c>
      <c r="AD146" s="314"/>
      <c r="AE146" s="314"/>
      <c r="AF146" s="314"/>
      <c r="AG146" s="314"/>
      <c r="AH146" s="40" t="n">
        <f aca="false">H20</f>
        <v>0</v>
      </c>
      <c r="AI146" s="242" t="n">
        <f aca="false">AH146</f>
        <v>0</v>
      </c>
    </row>
    <row r="147" customFormat="false" ht="19.7" hidden="false" customHeight="false" outlineLevel="0" collapsed="false">
      <c r="A147" s="229" t="s">
        <v>27</v>
      </c>
      <c r="B147" s="229"/>
      <c r="C147" s="229"/>
      <c r="D147" s="229"/>
      <c r="E147" s="229"/>
      <c r="F147" s="229"/>
      <c r="G147" s="360" t="n">
        <f aca="false">G141-((G144*1.2)+(G145*1.2)+(G146*1.2)+(G142*1.2))</f>
        <v>58525</v>
      </c>
      <c r="H147" s="315" t="n">
        <f aca="false">H141-((H144*1.2)+(H145*1.2)+(H146*1.2)+(H142*1.2))</f>
        <v>58525</v>
      </c>
      <c r="J147" s="229" t="s">
        <v>27</v>
      </c>
      <c r="K147" s="229"/>
      <c r="L147" s="229"/>
      <c r="M147" s="229"/>
      <c r="N147" s="229"/>
      <c r="O147" s="229"/>
      <c r="P147" s="360" t="n">
        <f aca="false">P141-((P144*1.2)+(P145*1.2)+(P146*1.2)+(P142*1.2))</f>
        <v>58525</v>
      </c>
      <c r="Q147" s="315" t="n">
        <f aca="false">Q141-((Q144*1.2)+(Q145*1.2)+(Q146*1.2)+(Q142*1.2))</f>
        <v>36655</v>
      </c>
      <c r="S147" s="229" t="s">
        <v>27</v>
      </c>
      <c r="T147" s="229"/>
      <c r="U147" s="229"/>
      <c r="V147" s="229"/>
      <c r="W147" s="229"/>
      <c r="X147" s="229"/>
      <c r="Y147" s="360" t="n">
        <f aca="false">Y141-((Y144*1.2)+(Y145*1.2)+(Y146*1.2)+(Y142*1.2))</f>
        <v>58525</v>
      </c>
      <c r="Z147" s="315" t="n">
        <f aca="false">Z141-((Z144*1.2)+(Z145*1.2)+(Z146*1.2)+(Z142*1.2))</f>
        <v>58384.43749</v>
      </c>
      <c r="AB147" s="229" t="s">
        <v>27</v>
      </c>
      <c r="AC147" s="229"/>
      <c r="AD147" s="229"/>
      <c r="AE147" s="229"/>
      <c r="AF147" s="229"/>
      <c r="AG147" s="229"/>
      <c r="AH147" s="360" t="n">
        <f aca="false">AH141-((AH144*1.2)+(AH145*1.2)+(AH146*1.2)+(AH142*1.2))</f>
        <v>58525</v>
      </c>
      <c r="AI147" s="31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9" t="s">
        <v>243</v>
      </c>
      <c r="B148" s="229"/>
      <c r="C148" s="229"/>
      <c r="D148" s="229"/>
      <c r="E148" s="229"/>
      <c r="F148" s="229"/>
      <c r="G148" s="40"/>
      <c r="H148" s="242" t="n">
        <f aca="false">Q147-P147</f>
        <v>-21870</v>
      </c>
      <c r="I148" s="216" t="n">
        <f aca="false">(H148-G81)/1.2</f>
        <v>-18225</v>
      </c>
      <c r="J148" s="229" t="s">
        <v>243</v>
      </c>
      <c r="K148" s="229"/>
      <c r="L148" s="229"/>
      <c r="M148" s="229"/>
      <c r="N148" s="229"/>
      <c r="O148" s="229"/>
      <c r="P148" s="40"/>
      <c r="Q148" s="242" t="n">
        <f aca="false">Q147-P147</f>
        <v>-21870</v>
      </c>
      <c r="S148" s="229" t="s">
        <v>243</v>
      </c>
      <c r="T148" s="229"/>
      <c r="U148" s="229"/>
      <c r="V148" s="229"/>
      <c r="W148" s="229"/>
      <c r="X148" s="229"/>
      <c r="Y148" s="40"/>
      <c r="Z148" s="242" t="n">
        <f aca="false">Z147-Y147</f>
        <v>-140.562510000003</v>
      </c>
      <c r="AB148" s="229" t="s">
        <v>243</v>
      </c>
      <c r="AC148" s="229"/>
      <c r="AD148" s="229"/>
      <c r="AE148" s="229"/>
      <c r="AF148" s="229"/>
      <c r="AG148" s="229"/>
      <c r="AH148" s="40"/>
      <c r="AI148" s="242" t="n">
        <f aca="false">AI147-AH147</f>
        <v>-14056.251</v>
      </c>
    </row>
    <row r="149" customFormat="false" ht="17.35" hidden="false" customHeight="false" outlineLevel="0" collapsed="false">
      <c r="A149" s="221"/>
      <c r="B149" s="331"/>
      <c r="C149" s="331"/>
      <c r="D149" s="331"/>
      <c r="E149" s="236"/>
      <c r="F149" s="236"/>
      <c r="G149" s="236"/>
      <c r="H149" s="11"/>
      <c r="J149" s="221"/>
      <c r="K149" s="331"/>
      <c r="L149" s="331"/>
      <c r="M149" s="331"/>
      <c r="N149" s="236"/>
      <c r="O149" s="236"/>
      <c r="P149" s="236"/>
      <c r="Q149" s="11"/>
      <c r="S149" s="221"/>
      <c r="T149" s="331"/>
      <c r="U149" s="331"/>
      <c r="V149" s="331"/>
      <c r="W149" s="236"/>
      <c r="X149" s="236"/>
      <c r="Y149" s="236"/>
      <c r="Z149" s="11"/>
      <c r="AB149" s="221"/>
      <c r="AC149" s="331"/>
      <c r="AD149" s="331"/>
      <c r="AE149" s="331"/>
      <c r="AF149" s="236"/>
      <c r="AG149" s="236"/>
      <c r="AH149" s="236"/>
      <c r="AI149" s="11"/>
    </row>
    <row r="150" customFormat="false" ht="22.05" hidden="false" customHeight="false" outlineLevel="0" collapsed="false">
      <c r="A150" s="240" t="s">
        <v>244</v>
      </c>
      <c r="B150" s="240"/>
      <c r="C150" s="240"/>
      <c r="D150" s="240"/>
      <c r="E150" s="240"/>
      <c r="F150" s="240"/>
      <c r="G150" s="240"/>
      <c r="H150" s="240"/>
      <c r="J150" s="240" t="s">
        <v>244</v>
      </c>
      <c r="K150" s="240"/>
      <c r="L150" s="240"/>
      <c r="M150" s="240"/>
      <c r="N150" s="240"/>
      <c r="O150" s="240"/>
      <c r="P150" s="240"/>
      <c r="Q150" s="240"/>
      <c r="S150" s="240" t="s">
        <v>244</v>
      </c>
      <c r="T150" s="240"/>
      <c r="U150" s="240"/>
      <c r="V150" s="240"/>
      <c r="W150" s="240"/>
      <c r="X150" s="240"/>
      <c r="Y150" s="240"/>
      <c r="Z150" s="240"/>
      <c r="AB150" s="240" t="s">
        <v>244</v>
      </c>
      <c r="AC150" s="240"/>
      <c r="AD150" s="240"/>
      <c r="AE150" s="240"/>
      <c r="AF150" s="240"/>
      <c r="AG150" s="240"/>
      <c r="AH150" s="240"/>
      <c r="AI150" s="240"/>
    </row>
    <row r="151" customFormat="false" ht="17.35" hidden="false" customHeight="false" outlineLevel="0" collapsed="false">
      <c r="A151" s="221"/>
      <c r="B151" s="331"/>
      <c r="C151" s="331"/>
      <c r="D151" s="331"/>
      <c r="E151" s="236"/>
      <c r="F151" s="236"/>
      <c r="G151" s="236"/>
      <c r="H151" s="11"/>
      <c r="J151" s="221"/>
      <c r="K151" s="331"/>
      <c r="L151" s="331"/>
      <c r="M151" s="331"/>
      <c r="N151" s="236"/>
      <c r="O151" s="236"/>
      <c r="P151" s="236"/>
      <c r="Q151" s="11"/>
      <c r="S151" s="221"/>
      <c r="T151" s="331"/>
      <c r="U151" s="331"/>
      <c r="V151" s="331"/>
      <c r="W151" s="236"/>
      <c r="X151" s="236"/>
      <c r="Y151" s="236"/>
      <c r="Z151" s="11"/>
      <c r="AB151" s="221"/>
      <c r="AC151" s="331"/>
      <c r="AD151" s="331"/>
      <c r="AE151" s="331"/>
      <c r="AF151" s="236"/>
      <c r="AG151" s="236"/>
      <c r="AH151" s="236"/>
      <c r="AI151" s="11"/>
    </row>
    <row r="152" customFormat="false" ht="17.35" hidden="false" customHeight="false" outlineLevel="0" collapsed="false">
      <c r="A152" s="221" t="s">
        <v>138</v>
      </c>
      <c r="B152" s="331"/>
      <c r="C152" s="331"/>
      <c r="D152" s="236"/>
      <c r="E152" s="112" t="n">
        <v>0</v>
      </c>
      <c r="F152" s="112"/>
      <c r="G152" s="112" t="n">
        <v>0</v>
      </c>
      <c r="H152" s="112"/>
      <c r="J152" s="221" t="s">
        <v>138</v>
      </c>
      <c r="K152" s="331"/>
      <c r="L152" s="331"/>
      <c r="M152" s="236"/>
      <c r="N152" s="112" t="n">
        <v>10000</v>
      </c>
      <c r="O152" s="112"/>
      <c r="P152" s="112" t="n">
        <v>5000</v>
      </c>
      <c r="Q152" s="112"/>
      <c r="S152" s="221" t="s">
        <v>138</v>
      </c>
      <c r="T152" s="331"/>
      <c r="U152" s="331"/>
      <c r="V152" s="236"/>
      <c r="W152" s="112" t="n">
        <v>10000</v>
      </c>
      <c r="X152" s="112"/>
      <c r="Y152" s="112" t="n">
        <v>5000</v>
      </c>
      <c r="Z152" s="112"/>
      <c r="AB152" s="221" t="s">
        <v>138</v>
      </c>
      <c r="AC152" s="331"/>
      <c r="AD152" s="331"/>
      <c r="AE152" s="236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1" t="s">
        <v>139</v>
      </c>
      <c r="B153" s="331"/>
      <c r="C153" s="331"/>
      <c r="D153" s="236"/>
      <c r="E153" s="210" t="n">
        <f aca="false">G153</f>
        <v>0</v>
      </c>
      <c r="F153" s="210"/>
      <c r="G153" s="112" t="n">
        <v>0</v>
      </c>
      <c r="H153" s="112"/>
      <c r="J153" s="221" t="s">
        <v>139</v>
      </c>
      <c r="K153" s="331"/>
      <c r="L153" s="331"/>
      <c r="M153" s="236"/>
      <c r="N153" s="210" t="n">
        <f aca="false">P153</f>
        <v>7000</v>
      </c>
      <c r="O153" s="210"/>
      <c r="P153" s="112" t="n">
        <v>7000</v>
      </c>
      <c r="Q153" s="112"/>
      <c r="S153" s="221" t="s">
        <v>139</v>
      </c>
      <c r="T153" s="331"/>
      <c r="U153" s="331"/>
      <c r="V153" s="236"/>
      <c r="W153" s="210" t="n">
        <f aca="false">Y153</f>
        <v>7000</v>
      </c>
      <c r="X153" s="210"/>
      <c r="Y153" s="112" t="n">
        <v>7000</v>
      </c>
      <c r="Z153" s="112"/>
      <c r="AB153" s="221" t="s">
        <v>139</v>
      </c>
      <c r="AC153" s="331"/>
      <c r="AD153" s="331"/>
      <c r="AE153" s="236"/>
      <c r="AF153" s="210" t="n">
        <f aca="false">AH153</f>
        <v>7000</v>
      </c>
      <c r="AG153" s="210"/>
      <c r="AH153" s="112" t="n">
        <v>7000</v>
      </c>
      <c r="AI153" s="112"/>
    </row>
    <row r="154" customFormat="false" ht="17.35" hidden="false" customHeight="false" outlineLevel="0" collapsed="false">
      <c r="A154" s="221" t="s">
        <v>140</v>
      </c>
      <c r="B154" s="331"/>
      <c r="C154" s="331"/>
      <c r="D154" s="236"/>
      <c r="E154" s="210" t="n">
        <f aca="false">E152-E153</f>
        <v>0</v>
      </c>
      <c r="F154" s="210"/>
      <c r="G154" s="115" t="n">
        <f aca="false">G152-G153</f>
        <v>0</v>
      </c>
      <c r="H154" s="115"/>
      <c r="J154" s="221" t="s">
        <v>140</v>
      </c>
      <c r="K154" s="331"/>
      <c r="L154" s="331"/>
      <c r="M154" s="236"/>
      <c r="N154" s="210" t="n">
        <f aca="false">N152-N153</f>
        <v>3000</v>
      </c>
      <c r="O154" s="210"/>
      <c r="P154" s="115" t="n">
        <f aca="false">P152-P153</f>
        <v>-2000</v>
      </c>
      <c r="Q154" s="115"/>
      <c r="S154" s="221" t="s">
        <v>140</v>
      </c>
      <c r="T154" s="331"/>
      <c r="U154" s="331"/>
      <c r="V154" s="236"/>
      <c r="W154" s="210" t="n">
        <f aca="false">W152-W153</f>
        <v>3000</v>
      </c>
      <c r="X154" s="210"/>
      <c r="Y154" s="115" t="n">
        <f aca="false">Y152-Y153</f>
        <v>-2000</v>
      </c>
      <c r="Z154" s="115"/>
      <c r="AB154" s="221" t="s">
        <v>140</v>
      </c>
      <c r="AC154" s="331"/>
      <c r="AD154" s="331"/>
      <c r="AE154" s="236"/>
      <c r="AF154" s="210" t="n">
        <f aca="false">AF152-AF153</f>
        <v>3000</v>
      </c>
      <c r="AG154" s="210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1" t="s">
        <v>141</v>
      </c>
      <c r="B155" s="331"/>
      <c r="C155" s="331"/>
      <c r="D155" s="236"/>
      <c r="E155" s="210" t="n">
        <f aca="false">E154-G154</f>
        <v>0</v>
      </c>
      <c r="F155" s="210"/>
      <c r="G155" s="236"/>
      <c r="H155" s="11"/>
      <c r="J155" s="221" t="s">
        <v>141</v>
      </c>
      <c r="K155" s="331"/>
      <c r="L155" s="331"/>
      <c r="M155" s="236"/>
      <c r="N155" s="210" t="n">
        <f aca="false">N154-P154</f>
        <v>5000</v>
      </c>
      <c r="O155" s="210"/>
      <c r="P155" s="236"/>
      <c r="Q155" s="11"/>
      <c r="S155" s="221" t="s">
        <v>141</v>
      </c>
      <c r="T155" s="331"/>
      <c r="U155" s="331"/>
      <c r="V155" s="236"/>
      <c r="W155" s="210" t="n">
        <f aca="false">W154-Y154</f>
        <v>5000</v>
      </c>
      <c r="X155" s="210"/>
      <c r="Y155" s="236"/>
      <c r="Z155" s="11"/>
      <c r="AB155" s="221" t="s">
        <v>141</v>
      </c>
      <c r="AC155" s="331"/>
      <c r="AD155" s="331"/>
      <c r="AE155" s="236"/>
      <c r="AF155" s="210" t="n">
        <f aca="false">AF154-AH154</f>
        <v>5000</v>
      </c>
      <c r="AG155" s="210"/>
      <c r="AH155" s="236"/>
      <c r="AI155" s="11"/>
    </row>
    <row r="156" customFormat="false" ht="17.35" hidden="false" customHeight="false" outlineLevel="0" collapsed="false">
      <c r="A156" s="221"/>
      <c r="B156" s="331"/>
      <c r="C156" s="331"/>
      <c r="D156" s="236"/>
      <c r="E156" s="331"/>
      <c r="F156" s="236"/>
      <c r="G156" s="236"/>
      <c r="H156" s="11"/>
      <c r="J156" s="221"/>
      <c r="K156" s="331"/>
      <c r="L156" s="331"/>
      <c r="M156" s="236"/>
      <c r="N156" s="331"/>
      <c r="O156" s="236"/>
      <c r="P156" s="236"/>
      <c r="Q156" s="11"/>
      <c r="S156" s="221"/>
      <c r="T156" s="331"/>
      <c r="U156" s="331"/>
      <c r="V156" s="236"/>
      <c r="W156" s="331"/>
      <c r="X156" s="236"/>
      <c r="Y156" s="236"/>
      <c r="Z156" s="11"/>
      <c r="AB156" s="221"/>
      <c r="AC156" s="331"/>
      <c r="AD156" s="331"/>
      <c r="AE156" s="236"/>
      <c r="AF156" s="331"/>
      <c r="AG156" s="236"/>
      <c r="AH156" s="236"/>
      <c r="AI156" s="11"/>
    </row>
    <row r="157" customFormat="false" ht="17.35" hidden="false" customHeight="false" outlineLevel="0" collapsed="false">
      <c r="A157" s="238" t="s">
        <v>245</v>
      </c>
      <c r="B157" s="239"/>
      <c r="C157" s="239"/>
      <c r="D157" s="262"/>
      <c r="E157" s="239"/>
      <c r="F157" s="262"/>
      <c r="G157" s="317" t="n">
        <f aca="false">A114</f>
        <v>0</v>
      </c>
      <c r="H157" s="317"/>
      <c r="J157" s="238" t="s">
        <v>245</v>
      </c>
      <c r="K157" s="239"/>
      <c r="L157" s="239"/>
      <c r="M157" s="262"/>
      <c r="N157" s="239"/>
      <c r="O157" s="262"/>
      <c r="P157" s="317" t="n">
        <f aca="false">J114</f>
        <v>1000</v>
      </c>
      <c r="Q157" s="317"/>
      <c r="S157" s="238" t="s">
        <v>245</v>
      </c>
      <c r="T157" s="239"/>
      <c r="U157" s="239"/>
      <c r="V157" s="262"/>
      <c r="W157" s="239"/>
      <c r="X157" s="262"/>
      <c r="Y157" s="317" t="n">
        <f aca="false">S114</f>
        <v>1000</v>
      </c>
      <c r="Z157" s="317"/>
      <c r="AB157" s="238" t="s">
        <v>245</v>
      </c>
      <c r="AC157" s="239"/>
      <c r="AD157" s="239"/>
      <c r="AE157" s="262"/>
      <c r="AF157" s="239"/>
      <c r="AG157" s="262"/>
      <c r="AH157" s="317" t="n">
        <f aca="false">AB114</f>
        <v>1000</v>
      </c>
      <c r="AI157" s="317"/>
    </row>
    <row r="158" customFormat="false" ht="19.7" hidden="false" customHeight="false" outlineLevel="0" collapsed="false">
      <c r="A158" s="318" t="s">
        <v>246</v>
      </c>
      <c r="B158" s="331"/>
      <c r="C158" s="331"/>
      <c r="D158" s="342"/>
      <c r="E158" s="331"/>
      <c r="F158" s="342"/>
      <c r="G158" s="319" t="n">
        <f aca="false">H147-G154-G157</f>
        <v>58525</v>
      </c>
      <c r="H158" s="319"/>
      <c r="J158" s="318" t="s">
        <v>246</v>
      </c>
      <c r="K158" s="331"/>
      <c r="L158" s="331"/>
      <c r="M158" s="342"/>
      <c r="N158" s="331"/>
      <c r="O158" s="342"/>
      <c r="P158" s="319" t="n">
        <f aca="false">Q147-P154-P157</f>
        <v>37655</v>
      </c>
      <c r="Q158" s="319"/>
      <c r="S158" s="318" t="s">
        <v>246</v>
      </c>
      <c r="T158" s="331"/>
      <c r="U158" s="331"/>
      <c r="V158" s="342"/>
      <c r="W158" s="331"/>
      <c r="X158" s="342"/>
      <c r="Y158" s="319" t="n">
        <f aca="false">Z147-Y154-Y157</f>
        <v>59384.43749</v>
      </c>
      <c r="Z158" s="319"/>
      <c r="AB158" s="318" t="s">
        <v>246</v>
      </c>
      <c r="AC158" s="331"/>
      <c r="AD158" s="331"/>
      <c r="AE158" s="342"/>
      <c r="AF158" s="331"/>
      <c r="AG158" s="342"/>
      <c r="AH158" s="319" t="n">
        <f aca="false">AI147-AH154-AH157</f>
        <v>45468.749</v>
      </c>
      <c r="AI158" s="319"/>
    </row>
    <row r="159" customFormat="false" ht="17.35" hidden="false" customHeight="false" outlineLevel="0" collapsed="false">
      <c r="A159" s="249" t="s">
        <v>52</v>
      </c>
      <c r="B159" s="250"/>
      <c r="C159" s="250"/>
      <c r="D159" s="278"/>
      <c r="E159" s="250"/>
      <c r="F159" s="278"/>
      <c r="G159" s="320" t="str">
        <f aca="false">B114</f>
        <v>239.99</v>
      </c>
      <c r="H159" s="320"/>
      <c r="J159" s="249" t="s">
        <v>52</v>
      </c>
      <c r="K159" s="250"/>
      <c r="L159" s="250"/>
      <c r="M159" s="278"/>
      <c r="N159" s="250"/>
      <c r="O159" s="278"/>
      <c r="P159" s="320" t="n">
        <f aca="false">K114</f>
        <v>239.99</v>
      </c>
      <c r="Q159" s="320"/>
      <c r="S159" s="249" t="s">
        <v>52</v>
      </c>
      <c r="T159" s="250"/>
      <c r="U159" s="250"/>
      <c r="V159" s="278"/>
      <c r="W159" s="250"/>
      <c r="X159" s="278"/>
      <c r="Y159" s="320" t="n">
        <f aca="false">T114</f>
        <v>199.99</v>
      </c>
      <c r="Z159" s="320"/>
      <c r="AB159" s="249" t="s">
        <v>52</v>
      </c>
      <c r="AC159" s="250"/>
      <c r="AD159" s="250"/>
      <c r="AE159" s="278"/>
      <c r="AF159" s="250"/>
      <c r="AG159" s="278"/>
      <c r="AH159" s="320" t="n">
        <f aca="false">AC114</f>
        <v>239.99</v>
      </c>
      <c r="AI159" s="320"/>
    </row>
    <row r="160" customFormat="false" ht="17.35" hidden="false" customHeight="false" outlineLevel="0" collapsed="false">
      <c r="A160" s="221"/>
      <c r="B160" s="331"/>
      <c r="C160" s="331"/>
      <c r="D160" s="331"/>
      <c r="E160" s="236"/>
      <c r="F160" s="236"/>
      <c r="G160" s="236"/>
      <c r="H160" s="11"/>
      <c r="J160" s="221"/>
      <c r="K160" s="331"/>
      <c r="L160" s="331"/>
      <c r="M160" s="331"/>
      <c r="N160" s="236"/>
      <c r="O160" s="236"/>
      <c r="P160" s="236"/>
      <c r="Q160" s="11"/>
      <c r="S160" s="221"/>
      <c r="T160" s="331"/>
      <c r="U160" s="331"/>
      <c r="V160" s="331"/>
      <c r="W160" s="236"/>
      <c r="X160" s="236"/>
      <c r="Y160" s="236"/>
      <c r="Z160" s="11"/>
      <c r="AB160" s="221"/>
      <c r="AC160" s="331"/>
      <c r="AD160" s="331"/>
      <c r="AE160" s="331"/>
      <c r="AF160" s="236"/>
      <c r="AG160" s="236"/>
      <c r="AH160" s="236"/>
      <c r="AI160" s="11"/>
    </row>
    <row r="161" customFormat="false" ht="17.35" hidden="false" customHeight="false" outlineLevel="0" collapsed="false">
      <c r="A161" s="221"/>
      <c r="B161" s="331"/>
      <c r="C161" s="331"/>
      <c r="D161" s="331"/>
      <c r="E161" s="236"/>
      <c r="F161" s="236"/>
      <c r="G161" s="236"/>
      <c r="H161" s="11"/>
      <c r="J161" s="221"/>
      <c r="K161" s="331"/>
      <c r="L161" s="331"/>
      <c r="M161" s="331"/>
      <c r="N161" s="236"/>
      <c r="O161" s="236"/>
      <c r="P161" s="236"/>
      <c r="Q161" s="11"/>
      <c r="S161" s="221"/>
      <c r="T161" s="331"/>
      <c r="U161" s="331"/>
      <c r="V161" s="331"/>
      <c r="W161" s="236"/>
      <c r="X161" s="236"/>
      <c r="Y161" s="236"/>
      <c r="Z161" s="11"/>
      <c r="AB161" s="221"/>
      <c r="AC161" s="331"/>
      <c r="AD161" s="331"/>
      <c r="AE161" s="331"/>
      <c r="AF161" s="236"/>
      <c r="AG161" s="236"/>
      <c r="AH161" s="236"/>
      <c r="AI161" s="11"/>
    </row>
    <row r="162" customFormat="false" ht="22.05" hidden="false" customHeight="false" outlineLevel="0" collapsed="false">
      <c r="A162" s="240" t="s">
        <v>247</v>
      </c>
      <c r="B162" s="240"/>
      <c r="C162" s="240"/>
      <c r="D162" s="240"/>
      <c r="E162" s="240"/>
      <c r="F162" s="240"/>
      <c r="G162" s="240"/>
      <c r="H162" s="240"/>
      <c r="J162" s="240" t="s">
        <v>247</v>
      </c>
      <c r="K162" s="240"/>
      <c r="L162" s="240"/>
      <c r="M162" s="240"/>
      <c r="N162" s="240"/>
      <c r="O162" s="240"/>
      <c r="P162" s="240"/>
      <c r="Q162" s="240"/>
      <c r="S162" s="240" t="s">
        <v>247</v>
      </c>
      <c r="T162" s="240"/>
      <c r="U162" s="240"/>
      <c r="V162" s="240"/>
      <c r="W162" s="240"/>
      <c r="X162" s="240"/>
      <c r="Y162" s="240"/>
      <c r="Z162" s="240"/>
      <c r="AB162" s="240" t="s">
        <v>247</v>
      </c>
      <c r="AC162" s="240"/>
      <c r="AD162" s="240"/>
      <c r="AE162" s="240"/>
      <c r="AF162" s="240"/>
      <c r="AG162" s="240"/>
      <c r="AH162" s="240"/>
      <c r="AI162" s="240"/>
    </row>
    <row r="163" customFormat="false" ht="17.35" hidden="false" customHeight="false" outlineLevel="0" collapsed="false">
      <c r="A163" s="221"/>
      <c r="B163" s="331"/>
      <c r="C163" s="331"/>
      <c r="D163" s="331"/>
      <c r="E163" s="236"/>
      <c r="F163" s="236"/>
      <c r="G163" s="236"/>
      <c r="H163" s="11"/>
      <c r="J163" s="221"/>
      <c r="K163" s="331"/>
      <c r="L163" s="331"/>
      <c r="M163" s="331"/>
      <c r="N163" s="236"/>
      <c r="O163" s="236"/>
      <c r="P163" s="236"/>
      <c r="Q163" s="11"/>
      <c r="S163" s="221"/>
      <c r="T163" s="331"/>
      <c r="U163" s="331"/>
      <c r="V163" s="331"/>
      <c r="W163" s="236"/>
      <c r="X163" s="236"/>
      <c r="Y163" s="236"/>
      <c r="Z163" s="11"/>
      <c r="AB163" s="221"/>
      <c r="AC163" s="331"/>
      <c r="AD163" s="331"/>
      <c r="AE163" s="331"/>
      <c r="AF163" s="236"/>
      <c r="AG163" s="236"/>
      <c r="AH163" s="236"/>
      <c r="AI163" s="11"/>
    </row>
    <row r="164" customFormat="false" ht="17.35" hidden="false" customHeight="false" outlineLevel="0" collapsed="false">
      <c r="A164" s="221" t="s">
        <v>145</v>
      </c>
      <c r="B164" s="117" t="n">
        <v>0</v>
      </c>
      <c r="C164" s="117"/>
      <c r="D164" s="331"/>
      <c r="E164" s="236"/>
      <c r="F164" s="236"/>
      <c r="G164" s="236"/>
      <c r="H164" s="11"/>
      <c r="J164" s="221" t="s">
        <v>145</v>
      </c>
      <c r="K164" s="117" t="n">
        <v>0</v>
      </c>
      <c r="L164" s="117"/>
      <c r="M164" s="331"/>
      <c r="N164" s="236"/>
      <c r="O164" s="236"/>
      <c r="P164" s="236"/>
      <c r="Q164" s="11"/>
      <c r="S164" s="221" t="s">
        <v>145</v>
      </c>
      <c r="T164" s="117" t="n">
        <v>0</v>
      </c>
      <c r="U164" s="117"/>
      <c r="V164" s="331"/>
      <c r="W164" s="236"/>
      <c r="X164" s="236"/>
      <c r="Y164" s="236"/>
      <c r="Z164" s="11"/>
      <c r="AB164" s="221" t="s">
        <v>145</v>
      </c>
      <c r="AC164" s="117" t="n">
        <v>0</v>
      </c>
      <c r="AD164" s="117"/>
      <c r="AE164" s="331"/>
      <c r="AF164" s="236"/>
      <c r="AG164" s="236"/>
      <c r="AH164" s="236"/>
      <c r="AI164" s="11"/>
    </row>
    <row r="165" customFormat="false" ht="17.35" hidden="false" customHeight="false" outlineLevel="0" collapsed="false">
      <c r="A165" s="221"/>
      <c r="B165" s="331"/>
      <c r="C165" s="331"/>
      <c r="D165" s="331"/>
      <c r="E165" s="236"/>
      <c r="F165" s="236"/>
      <c r="G165" s="236"/>
      <c r="H165" s="11"/>
      <c r="J165" s="221"/>
      <c r="K165" s="331"/>
      <c r="L165" s="331"/>
      <c r="M165" s="331"/>
      <c r="N165" s="236"/>
      <c r="O165" s="236"/>
      <c r="P165" s="236"/>
      <c r="Q165" s="11"/>
      <c r="S165" s="221"/>
      <c r="T165" s="331"/>
      <c r="U165" s="331"/>
      <c r="V165" s="331"/>
      <c r="W165" s="236"/>
      <c r="X165" s="236"/>
      <c r="Y165" s="236"/>
      <c r="Z165" s="11"/>
      <c r="AB165" s="221"/>
      <c r="AC165" s="331"/>
      <c r="AD165" s="331"/>
      <c r="AE165" s="331"/>
      <c r="AF165" s="236"/>
      <c r="AG165" s="236"/>
      <c r="AH165" s="236"/>
      <c r="AI165" s="11"/>
    </row>
    <row r="166" customFormat="false" ht="17.35" hidden="false" customHeight="false" outlineLevel="0" collapsed="false">
      <c r="A166" s="321" t="s">
        <v>248</v>
      </c>
      <c r="B166" s="361" t="s">
        <v>249</v>
      </c>
      <c r="C166" s="361"/>
      <c r="D166" s="361"/>
      <c r="E166" s="361" t="s">
        <v>250</v>
      </c>
      <c r="F166" s="236"/>
      <c r="G166" s="236"/>
      <c r="H166" s="11"/>
      <c r="J166" s="321" t="s">
        <v>248</v>
      </c>
      <c r="K166" s="361" t="s">
        <v>249</v>
      </c>
      <c r="L166" s="361"/>
      <c r="M166" s="361"/>
      <c r="N166" s="361" t="s">
        <v>250</v>
      </c>
      <c r="O166" s="236"/>
      <c r="P166" s="236"/>
      <c r="Q166" s="11"/>
      <c r="S166" s="321" t="s">
        <v>248</v>
      </c>
      <c r="T166" s="361" t="s">
        <v>249</v>
      </c>
      <c r="U166" s="361"/>
      <c r="V166" s="361"/>
      <c r="W166" s="361" t="s">
        <v>250</v>
      </c>
      <c r="X166" s="236"/>
      <c r="Y166" s="236"/>
      <c r="Z166" s="11"/>
      <c r="AB166" s="321" t="s">
        <v>248</v>
      </c>
      <c r="AC166" s="361" t="s">
        <v>249</v>
      </c>
      <c r="AD166" s="361"/>
      <c r="AE166" s="361"/>
      <c r="AF166" s="361" t="s">
        <v>250</v>
      </c>
      <c r="AG166" s="236"/>
      <c r="AH166" s="236"/>
      <c r="AI166" s="11"/>
    </row>
    <row r="167" customFormat="false" ht="17.35" hidden="false" customHeight="false" outlineLevel="0" collapsed="false">
      <c r="A167" s="323" t="n">
        <f aca="false">B95</f>
        <v>1218.7621911032</v>
      </c>
      <c r="B167" s="214" t="n">
        <f aca="false">B94</f>
        <v>42.3771428571428</v>
      </c>
      <c r="C167" s="361"/>
      <c r="D167" s="361"/>
      <c r="E167" s="214" t="n">
        <f aca="false">B96</f>
        <v>1261.13933396034</v>
      </c>
      <c r="F167" s="236"/>
      <c r="G167" s="236"/>
      <c r="H167" s="11"/>
      <c r="J167" s="323" t="n">
        <f aca="false">K95</f>
        <v>1477.31306457009</v>
      </c>
      <c r="K167" s="214" t="n">
        <f aca="false">K94</f>
        <v>44.6333333333333</v>
      </c>
      <c r="L167" s="361"/>
      <c r="M167" s="361"/>
      <c r="N167" s="214" t="n">
        <f aca="false">K96</f>
        <v>1521.94639790342</v>
      </c>
      <c r="O167" s="236"/>
      <c r="P167" s="236"/>
      <c r="Q167" s="11"/>
      <c r="S167" s="323" t="n">
        <f aca="false">T95</f>
        <v>1408.20027188803</v>
      </c>
      <c r="T167" s="214" t="n">
        <f aca="false">T94</f>
        <v>35.3142857142857</v>
      </c>
      <c r="U167" s="361"/>
      <c r="V167" s="361"/>
      <c r="W167" s="214" t="n">
        <f aca="false">T96</f>
        <v>1443.51455760232</v>
      </c>
      <c r="X167" s="236"/>
      <c r="Y167" s="236"/>
      <c r="Z167" s="11"/>
      <c r="AB167" s="323" t="n">
        <f aca="false">AC95</f>
        <v>927.687248290581</v>
      </c>
      <c r="AC167" s="214" t="n">
        <f aca="false">AC94</f>
        <v>42.3771428571428</v>
      </c>
      <c r="AD167" s="361"/>
      <c r="AE167" s="361"/>
      <c r="AF167" s="214" t="n">
        <f aca="false">AC96</f>
        <v>970.064391147723</v>
      </c>
      <c r="AG167" s="236"/>
      <c r="AH167" s="236"/>
      <c r="AI167" s="11"/>
    </row>
    <row r="168" customFormat="false" ht="17.35" hidden="false" customHeight="false" outlineLevel="0" collapsed="false">
      <c r="A168" s="221"/>
      <c r="B168" s="331"/>
      <c r="C168" s="331"/>
      <c r="D168" s="331"/>
      <c r="E168" s="236"/>
      <c r="F168" s="236"/>
      <c r="G168" s="236"/>
      <c r="H168" s="11"/>
      <c r="J168" s="221"/>
      <c r="K168" s="331"/>
      <c r="L168" s="331"/>
      <c r="M168" s="331"/>
      <c r="N168" s="236"/>
      <c r="O168" s="236"/>
      <c r="P168" s="236"/>
      <c r="Q168" s="11"/>
      <c r="S168" s="221"/>
      <c r="T168" s="331"/>
      <c r="U168" s="331"/>
      <c r="V168" s="331"/>
      <c r="W168" s="236"/>
      <c r="X168" s="236"/>
      <c r="Y168" s="236"/>
      <c r="Z168" s="11"/>
      <c r="AB168" s="221"/>
      <c r="AC168" s="331"/>
      <c r="AD168" s="331"/>
      <c r="AE168" s="331"/>
      <c r="AF168" s="236"/>
      <c r="AG168" s="236"/>
      <c r="AH168" s="236"/>
      <c r="AI168" s="11"/>
    </row>
    <row r="169" customFormat="false" ht="17.35" hidden="false" customHeight="false" outlineLevel="0" collapsed="false">
      <c r="A169" s="221" t="s">
        <v>81</v>
      </c>
      <c r="B169" s="331" t="s">
        <v>82</v>
      </c>
      <c r="C169" s="331"/>
      <c r="D169" s="236"/>
      <c r="E169" s="331" t="s">
        <v>251</v>
      </c>
      <c r="F169" s="236"/>
      <c r="G169" s="236"/>
      <c r="H169" s="11"/>
      <c r="J169" s="221" t="s">
        <v>81</v>
      </c>
      <c r="K169" s="331" t="s">
        <v>82</v>
      </c>
      <c r="L169" s="331"/>
      <c r="M169" s="236"/>
      <c r="N169" s="331" t="s">
        <v>251</v>
      </c>
      <c r="O169" s="236"/>
      <c r="P169" s="236"/>
      <c r="Q169" s="11"/>
      <c r="S169" s="221" t="s">
        <v>81</v>
      </c>
      <c r="T169" s="331" t="s">
        <v>82</v>
      </c>
      <c r="U169" s="331"/>
      <c r="V169" s="236"/>
      <c r="W169" s="331" t="s">
        <v>251</v>
      </c>
      <c r="X169" s="236"/>
      <c r="Y169" s="236"/>
      <c r="Z169" s="11"/>
      <c r="AB169" s="221" t="s">
        <v>81</v>
      </c>
      <c r="AC169" s="331" t="s">
        <v>82</v>
      </c>
      <c r="AD169" s="331"/>
      <c r="AE169" s="236"/>
      <c r="AF169" s="331" t="s">
        <v>251</v>
      </c>
      <c r="AG169" s="236"/>
      <c r="AH169" s="236"/>
      <c r="AI169" s="11"/>
    </row>
    <row r="170" customFormat="false" ht="17.35" hidden="false" customHeight="false" outlineLevel="0" collapsed="false">
      <c r="A170" s="324" t="n">
        <f aca="false">B29</f>
        <v>0</v>
      </c>
      <c r="B170" s="161" t="str">
        <f aca="false">B30</f>
        <v>0</v>
      </c>
      <c r="C170" s="362"/>
      <c r="D170" s="236"/>
      <c r="E170" s="60" t="n">
        <f aca="false">IF(A111="YES",A40, 0)</f>
        <v>27500</v>
      </c>
      <c r="F170" s="236"/>
      <c r="G170" s="236"/>
      <c r="H170" s="11"/>
      <c r="J170" s="324" t="n">
        <f aca="false">K29</f>
        <v>36</v>
      </c>
      <c r="K170" s="161" t="n">
        <f aca="false">K30</f>
        <v>10000</v>
      </c>
      <c r="L170" s="362"/>
      <c r="M170" s="236"/>
      <c r="N170" s="60" t="n">
        <f aca="false">IF(A111="YES", A40, 0)</f>
        <v>27500</v>
      </c>
      <c r="O170" s="236"/>
      <c r="P170" s="236"/>
      <c r="Q170" s="11"/>
      <c r="S170" s="324" t="n">
        <f aca="false">K29</f>
        <v>36</v>
      </c>
      <c r="T170" s="161" t="n">
        <f aca="false">K30</f>
        <v>10000</v>
      </c>
      <c r="U170" s="362"/>
      <c r="V170" s="236"/>
      <c r="W170" s="60" t="n">
        <f aca="false">IF(A111="YES", A40, 0)</f>
        <v>27500</v>
      </c>
      <c r="X170" s="236"/>
      <c r="Y170" s="236"/>
      <c r="Z170" s="11"/>
      <c r="AB170" s="324" t="n">
        <f aca="false">K29</f>
        <v>36</v>
      </c>
      <c r="AC170" s="161" t="n">
        <f aca="false">K30</f>
        <v>10000</v>
      </c>
      <c r="AD170" s="362"/>
      <c r="AE170" s="236"/>
      <c r="AF170" s="60" t="n">
        <f aca="false">IF(A111="YES", A40, 0)</f>
        <v>27500</v>
      </c>
      <c r="AG170" s="236"/>
      <c r="AH170" s="236"/>
      <c r="AI170" s="11"/>
    </row>
    <row r="171" customFormat="false" ht="17.35" hidden="false" customHeight="false" outlineLevel="0" collapsed="false">
      <c r="A171" s="221"/>
      <c r="B171" s="331"/>
      <c r="C171" s="331"/>
      <c r="D171" s="236"/>
      <c r="E171" s="331"/>
      <c r="F171" s="236"/>
      <c r="G171" s="236"/>
      <c r="H171" s="11"/>
      <c r="J171" s="221"/>
      <c r="K171" s="331"/>
      <c r="L171" s="331"/>
      <c r="M171" s="236"/>
      <c r="N171" s="331"/>
      <c r="O171" s="236"/>
      <c r="P171" s="236"/>
      <c r="Q171" s="11"/>
      <c r="S171" s="221"/>
      <c r="T171" s="331"/>
      <c r="U171" s="331"/>
      <c r="V171" s="236"/>
      <c r="W171" s="331"/>
      <c r="X171" s="236"/>
      <c r="Y171" s="236"/>
      <c r="Z171" s="11"/>
      <c r="AB171" s="221"/>
      <c r="AC171" s="331"/>
      <c r="AD171" s="331"/>
      <c r="AE171" s="236"/>
      <c r="AF171" s="331"/>
      <c r="AG171" s="236"/>
      <c r="AH171" s="236"/>
      <c r="AI171" s="11"/>
    </row>
    <row r="172" customFormat="false" ht="17.35" hidden="false" customHeight="false" outlineLevel="0" collapsed="false">
      <c r="A172" s="221" t="s">
        <v>252</v>
      </c>
      <c r="B172" s="331" t="s">
        <v>253</v>
      </c>
      <c r="C172" s="331"/>
      <c r="D172" s="236"/>
      <c r="E172" s="331" t="s">
        <v>254</v>
      </c>
      <c r="F172" s="236"/>
      <c r="G172" s="236"/>
      <c r="H172" s="11"/>
      <c r="J172" s="221" t="s">
        <v>252</v>
      </c>
      <c r="K172" s="331" t="s">
        <v>253</v>
      </c>
      <c r="L172" s="331"/>
      <c r="M172" s="236"/>
      <c r="N172" s="331" t="s">
        <v>254</v>
      </c>
      <c r="O172" s="236"/>
      <c r="P172" s="236"/>
      <c r="Q172" s="11"/>
      <c r="S172" s="221" t="s">
        <v>252</v>
      </c>
      <c r="T172" s="331" t="s">
        <v>253</v>
      </c>
      <c r="U172" s="331"/>
      <c r="V172" s="236"/>
      <c r="W172" s="331" t="s">
        <v>254</v>
      </c>
      <c r="X172" s="236"/>
      <c r="Y172" s="236"/>
      <c r="Z172" s="11"/>
      <c r="AB172" s="221" t="s">
        <v>252</v>
      </c>
      <c r="AC172" s="331" t="s">
        <v>253</v>
      </c>
      <c r="AD172" s="331"/>
      <c r="AE172" s="236"/>
      <c r="AF172" s="331" t="s">
        <v>254</v>
      </c>
      <c r="AG172" s="236"/>
      <c r="AH172" s="236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5" t="n">
        <f aca="false">H137</f>
        <v>9647.5</v>
      </c>
      <c r="C173" s="363"/>
      <c r="D173" s="236"/>
      <c r="E173" s="60" t="n">
        <f aca="false">H139+H140</f>
        <v>640</v>
      </c>
      <c r="F173" s="236"/>
      <c r="G173" s="236"/>
      <c r="H173" s="11"/>
      <c r="J173" s="125" t="n">
        <f aca="false">Q141-Q137-Q139-Q140</f>
        <v>30012.5</v>
      </c>
      <c r="K173" s="215" t="n">
        <f aca="false">Q137</f>
        <v>6002.5</v>
      </c>
      <c r="L173" s="363"/>
      <c r="M173" s="236"/>
      <c r="N173" s="60" t="n">
        <f aca="false">Q139+Q140</f>
        <v>640</v>
      </c>
      <c r="O173" s="236"/>
      <c r="P173" s="236"/>
      <c r="Q173" s="11"/>
      <c r="S173" s="125" t="n">
        <f aca="false">Z141-Z137-Z139-Z140</f>
        <v>48120.364575</v>
      </c>
      <c r="T173" s="215" t="n">
        <f aca="false">Z137</f>
        <v>9624.072915</v>
      </c>
      <c r="U173" s="363"/>
      <c r="V173" s="236"/>
      <c r="W173" s="60" t="n">
        <f aca="false">Z139+Z140</f>
        <v>640</v>
      </c>
      <c r="X173" s="236"/>
      <c r="Y173" s="236"/>
      <c r="Z173" s="11"/>
      <c r="AB173" s="125" t="n">
        <f aca="false">AI141-AI137-AI139-AI140</f>
        <v>36523.9575</v>
      </c>
      <c r="AC173" s="215" t="n">
        <f aca="false">AI137</f>
        <v>7304.7915</v>
      </c>
      <c r="AD173" s="363"/>
      <c r="AE173" s="236"/>
      <c r="AF173" s="60" t="n">
        <f aca="false">AI139+AI140</f>
        <v>640</v>
      </c>
      <c r="AG173" s="236"/>
      <c r="AH173" s="236"/>
      <c r="AI173" s="11"/>
    </row>
    <row r="174" customFormat="false" ht="17.35" hidden="false" customHeight="false" outlineLevel="0" collapsed="false">
      <c r="A174" s="221"/>
      <c r="B174" s="331"/>
      <c r="C174" s="331"/>
      <c r="D174" s="236"/>
      <c r="E174" s="331"/>
      <c r="F174" s="236"/>
      <c r="G174" s="236"/>
      <c r="H174" s="11"/>
      <c r="J174" s="221"/>
      <c r="K174" s="331"/>
      <c r="L174" s="331"/>
      <c r="M174" s="236"/>
      <c r="N174" s="331"/>
      <c r="O174" s="236"/>
      <c r="P174" s="236"/>
      <c r="Q174" s="11"/>
      <c r="S174" s="221"/>
      <c r="T174" s="331"/>
      <c r="U174" s="331"/>
      <c r="V174" s="236"/>
      <c r="W174" s="331"/>
      <c r="X174" s="236"/>
      <c r="Y174" s="236"/>
      <c r="Z174" s="11"/>
      <c r="AB174" s="221"/>
      <c r="AC174" s="331"/>
      <c r="AD174" s="331"/>
      <c r="AE174" s="236"/>
      <c r="AF174" s="331"/>
      <c r="AG174" s="236"/>
      <c r="AH174" s="236"/>
      <c r="AI174" s="11"/>
    </row>
    <row r="175" customFormat="false" ht="17.35" hidden="false" customHeight="false" outlineLevel="0" collapsed="false">
      <c r="A175" s="221" t="s">
        <v>255</v>
      </c>
      <c r="B175" s="331" t="s">
        <v>142</v>
      </c>
      <c r="C175" s="331"/>
      <c r="D175" s="236"/>
      <c r="E175" s="331" t="s">
        <v>231</v>
      </c>
      <c r="F175" s="236"/>
      <c r="G175" s="236"/>
      <c r="H175" s="11"/>
      <c r="J175" s="221" t="s">
        <v>255</v>
      </c>
      <c r="K175" s="331" t="s">
        <v>142</v>
      </c>
      <c r="L175" s="331"/>
      <c r="M175" s="236"/>
      <c r="N175" s="331" t="s">
        <v>231</v>
      </c>
      <c r="O175" s="236"/>
      <c r="P175" s="236"/>
      <c r="Q175" s="11"/>
      <c r="S175" s="221" t="s">
        <v>255</v>
      </c>
      <c r="T175" s="331" t="s">
        <v>142</v>
      </c>
      <c r="U175" s="331"/>
      <c r="V175" s="236"/>
      <c r="W175" s="331" t="s">
        <v>231</v>
      </c>
      <c r="X175" s="236"/>
      <c r="Y175" s="236"/>
      <c r="Z175" s="11"/>
      <c r="AB175" s="221" t="s">
        <v>255</v>
      </c>
      <c r="AC175" s="331" t="s">
        <v>142</v>
      </c>
      <c r="AD175" s="331"/>
      <c r="AE175" s="236"/>
      <c r="AF175" s="331" t="s">
        <v>231</v>
      </c>
      <c r="AG175" s="236"/>
      <c r="AH175" s="236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5" t="n">
        <f aca="false">B111</f>
        <v>0</v>
      </c>
      <c r="C176" s="215"/>
      <c r="D176" s="236"/>
      <c r="E176" s="215" t="n">
        <f aca="false">E111</f>
        <v>0</v>
      </c>
      <c r="F176" s="236"/>
      <c r="G176" s="236"/>
      <c r="H176" s="130"/>
      <c r="J176" s="125" t="n">
        <f aca="false">Q141</f>
        <v>36655</v>
      </c>
      <c r="K176" s="215" t="n">
        <f aca="false">K111</f>
        <v>1000</v>
      </c>
      <c r="L176" s="215"/>
      <c r="M176" s="236"/>
      <c r="N176" s="215" t="n">
        <f aca="false">N111</f>
        <v>0</v>
      </c>
      <c r="O176" s="236"/>
      <c r="P176" s="236"/>
      <c r="Q176" s="130"/>
      <c r="S176" s="125" t="n">
        <f aca="false">Z141</f>
        <v>58384.43749</v>
      </c>
      <c r="T176" s="215" t="n">
        <f aca="false">T111</f>
        <v>1000</v>
      </c>
      <c r="U176" s="215"/>
      <c r="V176" s="236"/>
      <c r="W176" s="215" t="n">
        <f aca="false">W111</f>
        <v>0</v>
      </c>
      <c r="X176" s="236"/>
      <c r="Y176" s="236"/>
      <c r="Z176" s="130"/>
      <c r="AB176" s="125" t="n">
        <f aca="false">AI141</f>
        <v>44468.749</v>
      </c>
      <c r="AC176" s="215" t="n">
        <f aca="false">AC111</f>
        <v>1000</v>
      </c>
      <c r="AD176" s="215"/>
      <c r="AE176" s="236"/>
      <c r="AF176" s="215" t="n">
        <f aca="false">AF111</f>
        <v>0</v>
      </c>
      <c r="AG176" s="236"/>
      <c r="AH176" s="236"/>
      <c r="AI176" s="130"/>
    </row>
    <row r="177" customFormat="false" ht="17.35" hidden="false" customHeight="false" outlineLevel="0" collapsed="false">
      <c r="A177" s="221"/>
      <c r="B177" s="331"/>
      <c r="C177" s="331"/>
      <c r="D177" s="236"/>
      <c r="E177" s="331"/>
      <c r="F177" s="236"/>
      <c r="G177" s="236"/>
      <c r="H177" s="11"/>
      <c r="J177" s="221"/>
      <c r="K177" s="331"/>
      <c r="L177" s="331"/>
      <c r="M177" s="236"/>
      <c r="N177" s="331"/>
      <c r="O177" s="236"/>
      <c r="P177" s="236"/>
      <c r="Q177" s="11"/>
      <c r="S177" s="221"/>
      <c r="T177" s="331"/>
      <c r="U177" s="331"/>
      <c r="V177" s="236"/>
      <c r="W177" s="331"/>
      <c r="X177" s="236"/>
      <c r="Y177" s="236"/>
      <c r="Z177" s="11"/>
      <c r="AB177" s="221"/>
      <c r="AC177" s="331"/>
      <c r="AD177" s="331"/>
      <c r="AE177" s="236"/>
      <c r="AF177" s="331"/>
      <c r="AG177" s="236"/>
      <c r="AH177" s="236"/>
      <c r="AI177" s="11"/>
    </row>
    <row r="178" customFormat="false" ht="17.35" hidden="false" customHeight="false" outlineLevel="0" collapsed="false">
      <c r="A178" s="221" t="s">
        <v>232</v>
      </c>
      <c r="B178" s="331" t="s">
        <v>138</v>
      </c>
      <c r="C178" s="331"/>
      <c r="D178" s="236"/>
      <c r="E178" s="331" t="s">
        <v>246</v>
      </c>
      <c r="F178" s="236"/>
      <c r="G178" s="236"/>
      <c r="H178" s="11"/>
      <c r="J178" s="221" t="s">
        <v>232</v>
      </c>
      <c r="K178" s="331" t="s">
        <v>138</v>
      </c>
      <c r="L178" s="331"/>
      <c r="M178" s="236"/>
      <c r="N178" s="331" t="s">
        <v>246</v>
      </c>
      <c r="O178" s="236"/>
      <c r="P178" s="236"/>
      <c r="Q178" s="11"/>
      <c r="S178" s="221" t="s">
        <v>232</v>
      </c>
      <c r="T178" s="331" t="s">
        <v>138</v>
      </c>
      <c r="U178" s="331"/>
      <c r="V178" s="236"/>
      <c r="W178" s="331" t="s">
        <v>246</v>
      </c>
      <c r="X178" s="236"/>
      <c r="Y178" s="236"/>
      <c r="Z178" s="11"/>
      <c r="AB178" s="221" t="s">
        <v>232</v>
      </c>
      <c r="AC178" s="331" t="s">
        <v>138</v>
      </c>
      <c r="AD178" s="331"/>
      <c r="AE178" s="236"/>
      <c r="AF178" s="331" t="s">
        <v>246</v>
      </c>
      <c r="AG178" s="236"/>
      <c r="AH178" s="236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5" t="n">
        <f aca="false">G154</f>
        <v>0</v>
      </c>
      <c r="C179" s="215"/>
      <c r="D179" s="236"/>
      <c r="E179" s="215" t="n">
        <f aca="false">A176-A179-B179</f>
        <v>58525</v>
      </c>
      <c r="F179" s="236"/>
      <c r="G179" s="236"/>
      <c r="H179" s="130"/>
      <c r="J179" s="129" t="n">
        <f aca="false">K176+N176</f>
        <v>1000</v>
      </c>
      <c r="K179" s="215" t="n">
        <f aca="false">P154</f>
        <v>-2000</v>
      </c>
      <c r="L179" s="215"/>
      <c r="M179" s="236"/>
      <c r="N179" s="215" t="n">
        <f aca="false">J176-J179-K179</f>
        <v>37655</v>
      </c>
      <c r="O179" s="236"/>
      <c r="P179" s="236"/>
      <c r="Q179" s="130"/>
      <c r="S179" s="129" t="n">
        <f aca="false">T176+W176</f>
        <v>1000</v>
      </c>
      <c r="T179" s="215" t="n">
        <f aca="false">Y154</f>
        <v>-2000</v>
      </c>
      <c r="U179" s="215"/>
      <c r="V179" s="236"/>
      <c r="W179" s="215" t="n">
        <f aca="false">S176-S179-T179</f>
        <v>59384.43749</v>
      </c>
      <c r="X179" s="236"/>
      <c r="Y179" s="236"/>
      <c r="Z179" s="130"/>
      <c r="AB179" s="129" t="n">
        <f aca="false">AC176+AF176</f>
        <v>1000</v>
      </c>
      <c r="AC179" s="215" t="n">
        <f aca="false">AH154</f>
        <v>-2000</v>
      </c>
      <c r="AD179" s="215"/>
      <c r="AE179" s="236"/>
      <c r="AF179" s="215" t="n">
        <f aca="false">AB176-AB179-AC179</f>
        <v>45468.749</v>
      </c>
      <c r="AG179" s="236"/>
      <c r="AH179" s="236"/>
      <c r="AI179" s="130"/>
    </row>
    <row r="180" customFormat="false" ht="17.35" hidden="false" customHeight="false" outlineLevel="0" collapsed="false">
      <c r="A180" s="221"/>
      <c r="B180" s="331"/>
      <c r="C180" s="331"/>
      <c r="D180" s="236"/>
      <c r="E180" s="331"/>
      <c r="F180" s="236"/>
      <c r="G180" s="236"/>
      <c r="H180" s="11"/>
      <c r="J180" s="221"/>
      <c r="K180" s="331"/>
      <c r="L180" s="331"/>
      <c r="M180" s="236"/>
      <c r="N180" s="331"/>
      <c r="O180" s="236"/>
      <c r="P180" s="236"/>
      <c r="Q180" s="11"/>
      <c r="S180" s="221"/>
      <c r="T180" s="331"/>
      <c r="U180" s="331"/>
      <c r="V180" s="236"/>
      <c r="W180" s="331"/>
      <c r="X180" s="236"/>
      <c r="Y180" s="236"/>
      <c r="Z180" s="11"/>
      <c r="AB180" s="221"/>
      <c r="AC180" s="331"/>
      <c r="AD180" s="331"/>
      <c r="AE180" s="236"/>
      <c r="AF180" s="331"/>
      <c r="AG180" s="236"/>
      <c r="AH180" s="236"/>
      <c r="AI180" s="11"/>
    </row>
    <row r="181" customFormat="false" ht="17.35" hidden="false" customHeight="false" outlineLevel="0" collapsed="false">
      <c r="A181" s="221" t="s">
        <v>256</v>
      </c>
      <c r="B181" s="331" t="s">
        <v>52</v>
      </c>
      <c r="C181" s="331"/>
      <c r="D181" s="236"/>
      <c r="E181" s="331" t="s">
        <v>257</v>
      </c>
      <c r="F181" s="236"/>
      <c r="G181" s="236"/>
      <c r="H181" s="11"/>
      <c r="J181" s="221" t="s">
        <v>256</v>
      </c>
      <c r="K181" s="331" t="s">
        <v>52</v>
      </c>
      <c r="L181" s="331"/>
      <c r="M181" s="236"/>
      <c r="N181" s="331" t="s">
        <v>257</v>
      </c>
      <c r="O181" s="236"/>
      <c r="P181" s="236"/>
      <c r="Q181" s="11"/>
      <c r="S181" s="221" t="s">
        <v>256</v>
      </c>
      <c r="T181" s="331" t="s">
        <v>52</v>
      </c>
      <c r="U181" s="331"/>
      <c r="V181" s="236"/>
      <c r="W181" s="331" t="s">
        <v>257</v>
      </c>
      <c r="X181" s="236"/>
      <c r="Y181" s="236"/>
      <c r="Z181" s="11"/>
      <c r="AB181" s="221" t="s">
        <v>256</v>
      </c>
      <c r="AC181" s="331" t="s">
        <v>52</v>
      </c>
      <c r="AD181" s="331"/>
      <c r="AE181" s="236"/>
      <c r="AF181" s="331" t="s">
        <v>257</v>
      </c>
      <c r="AG181" s="236"/>
      <c r="AH181" s="236"/>
      <c r="AI181" s="11"/>
    </row>
    <row r="182" customFormat="false" ht="17.35" hidden="false" customHeight="false" outlineLevel="0" collapsed="false">
      <c r="A182" s="129" t="n">
        <f aca="false">(A167*B59)+E185-E179-A185</f>
        <v>11631.676688612</v>
      </c>
      <c r="B182" s="215" t="str">
        <f aca="false">B114</f>
        <v>239.99</v>
      </c>
      <c r="C182" s="215"/>
      <c r="D182" s="236"/>
      <c r="E182" s="215" t="n">
        <f aca="false">E179+A182+B182+A185</f>
        <v>70406.6666886121</v>
      </c>
      <c r="F182" s="236"/>
      <c r="G182" s="236"/>
      <c r="H182" s="130"/>
      <c r="J182" s="129" t="n">
        <f aca="false">(J167*K59)+N185-N179-J185</f>
        <v>41550.9572599531</v>
      </c>
      <c r="K182" s="215" t="n">
        <f aca="false">K114</f>
        <v>239.99</v>
      </c>
      <c r="L182" s="215"/>
      <c r="M182" s="236"/>
      <c r="N182" s="215" t="n">
        <f aca="false">N179+J182+K182+J185</f>
        <v>79465.9472599531</v>
      </c>
      <c r="O182" s="236"/>
      <c r="P182" s="236"/>
      <c r="Q182" s="130"/>
      <c r="S182" s="129" t="n">
        <f aca="false">(S167*T59)+W185-W179-S185</f>
        <v>17402.5720260811</v>
      </c>
      <c r="T182" s="215" t="n">
        <f aca="false">T114</f>
        <v>199.99</v>
      </c>
      <c r="U182" s="215"/>
      <c r="V182" s="236"/>
      <c r="W182" s="215" t="n">
        <f aca="false">W179+S182+T182+S185</f>
        <v>76996.9995160811</v>
      </c>
      <c r="X182" s="236"/>
      <c r="Y182" s="236"/>
      <c r="Z182" s="130"/>
      <c r="AB182" s="129" t="n">
        <f aca="false">(AB167*AC59)+AF185-AF179-AB185</f>
        <v>14500.3046901703</v>
      </c>
      <c r="AC182" s="215" t="n">
        <f aca="false">AC114</f>
        <v>239.99</v>
      </c>
      <c r="AD182" s="215"/>
      <c r="AE182" s="236"/>
      <c r="AF182" s="215" t="n">
        <f aca="false">AF179+AB182+AC182+AB185</f>
        <v>60219.0436901703</v>
      </c>
      <c r="AG182" s="236"/>
      <c r="AH182" s="236"/>
      <c r="AI182" s="130"/>
    </row>
    <row r="183" customFormat="false" ht="17.35" hidden="false" customHeight="false" outlineLevel="0" collapsed="false">
      <c r="A183" s="221"/>
      <c r="B183" s="331"/>
      <c r="C183" s="331"/>
      <c r="D183" s="236"/>
      <c r="E183" s="331"/>
      <c r="F183" s="236"/>
      <c r="G183" s="236"/>
      <c r="H183" s="11"/>
      <c r="J183" s="221"/>
      <c r="K183" s="331"/>
      <c r="L183" s="331"/>
      <c r="M183" s="236"/>
      <c r="N183" s="331"/>
      <c r="O183" s="236"/>
      <c r="P183" s="236"/>
      <c r="Q183" s="11"/>
      <c r="S183" s="221"/>
      <c r="T183" s="331"/>
      <c r="U183" s="331"/>
      <c r="V183" s="236"/>
      <c r="W183" s="331"/>
      <c r="X183" s="236"/>
      <c r="Y183" s="236"/>
      <c r="Z183" s="11"/>
      <c r="AB183" s="221"/>
      <c r="AC183" s="331"/>
      <c r="AD183" s="331"/>
      <c r="AE183" s="236"/>
      <c r="AF183" s="331"/>
      <c r="AG183" s="236"/>
      <c r="AH183" s="236"/>
      <c r="AI183" s="11"/>
    </row>
    <row r="184" customFormat="false" ht="17.35" hidden="false" customHeight="false" outlineLevel="0" collapsed="false">
      <c r="A184" s="221" t="s">
        <v>258</v>
      </c>
      <c r="B184" s="331" t="s">
        <v>259</v>
      </c>
      <c r="C184" s="331"/>
      <c r="D184" s="236"/>
      <c r="E184" s="331" t="s">
        <v>260</v>
      </c>
      <c r="F184" s="236"/>
      <c r="G184" s="236"/>
      <c r="H184" s="11"/>
      <c r="J184" s="221" t="s">
        <v>258</v>
      </c>
      <c r="K184" s="331" t="s">
        <v>259</v>
      </c>
      <c r="L184" s="331"/>
      <c r="M184" s="236"/>
      <c r="N184" s="331" t="s">
        <v>260</v>
      </c>
      <c r="O184" s="236"/>
      <c r="P184" s="236"/>
      <c r="Q184" s="11"/>
      <c r="S184" s="221" t="s">
        <v>258</v>
      </c>
      <c r="T184" s="331" t="s">
        <v>259</v>
      </c>
      <c r="U184" s="331"/>
      <c r="V184" s="236"/>
      <c r="W184" s="331" t="s">
        <v>260</v>
      </c>
      <c r="X184" s="236"/>
      <c r="Y184" s="236"/>
      <c r="Z184" s="11"/>
      <c r="AB184" s="221" t="s">
        <v>258</v>
      </c>
      <c r="AC184" s="331" t="s">
        <v>259</v>
      </c>
      <c r="AD184" s="331"/>
      <c r="AE184" s="236"/>
      <c r="AF184" s="331" t="s">
        <v>260</v>
      </c>
      <c r="AG184" s="236"/>
      <c r="AH184" s="236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5" t="n">
        <f aca="false">A179+B182</f>
        <v>239.99</v>
      </c>
      <c r="C185" s="215"/>
      <c r="D185" s="236"/>
      <c r="E185" s="215" t="n">
        <f aca="false">E170+A185</f>
        <v>27510</v>
      </c>
      <c r="F185" s="236"/>
      <c r="G185" s="236"/>
      <c r="H185" s="130"/>
      <c r="J185" s="129" t="n">
        <f aca="false">K60</f>
        <v>20</v>
      </c>
      <c r="K185" s="215" t="n">
        <f aca="false">J179+K182</f>
        <v>1239.99</v>
      </c>
      <c r="L185" s="215"/>
      <c r="M185" s="236"/>
      <c r="N185" s="215" t="n">
        <f aca="false">N170+J185</f>
        <v>27520</v>
      </c>
      <c r="O185" s="236"/>
      <c r="P185" s="236"/>
      <c r="Q185" s="130"/>
      <c r="S185" s="129" t="n">
        <f aca="false">T60</f>
        <v>10</v>
      </c>
      <c r="T185" s="215" t="n">
        <f aca="false">S179+T182</f>
        <v>1199.99</v>
      </c>
      <c r="U185" s="215"/>
      <c r="V185" s="236"/>
      <c r="W185" s="215" t="n">
        <f aca="false">W170+S185</f>
        <v>27510</v>
      </c>
      <c r="X185" s="236"/>
      <c r="Y185" s="236"/>
      <c r="Z185" s="130"/>
      <c r="AB185" s="129" t="n">
        <f aca="false">AC60</f>
        <v>10</v>
      </c>
      <c r="AC185" s="215" t="n">
        <f aca="false">AB179+AC182</f>
        <v>1239.99</v>
      </c>
      <c r="AD185" s="215"/>
      <c r="AE185" s="236"/>
      <c r="AF185" s="215" t="n">
        <f aca="false">AF170+AB185</f>
        <v>27510</v>
      </c>
      <c r="AG185" s="236"/>
      <c r="AH185" s="236"/>
      <c r="AI185" s="130"/>
    </row>
    <row r="186" customFormat="false" ht="17.35" hidden="false" customHeight="false" outlineLevel="0" collapsed="false">
      <c r="A186" s="221"/>
      <c r="B186" s="331"/>
      <c r="C186" s="331"/>
      <c r="D186" s="331"/>
      <c r="E186" s="236"/>
      <c r="F186" s="236"/>
      <c r="G186" s="236"/>
      <c r="H186" s="11"/>
      <c r="J186" s="221"/>
      <c r="K186" s="331"/>
      <c r="L186" s="331"/>
      <c r="M186" s="331"/>
      <c r="N186" s="236"/>
      <c r="O186" s="236"/>
      <c r="P186" s="236"/>
      <c r="Q186" s="11"/>
      <c r="S186" s="221"/>
      <c r="T186" s="331"/>
      <c r="U186" s="331"/>
      <c r="V186" s="331"/>
      <c r="W186" s="236"/>
      <c r="X186" s="12"/>
      <c r="Y186" s="12"/>
      <c r="Z186" s="11"/>
      <c r="AB186" s="221"/>
      <c r="AC186" s="331"/>
      <c r="AD186" s="331"/>
      <c r="AE186" s="331"/>
      <c r="AF186" s="236"/>
      <c r="AG186" s="236"/>
      <c r="AH186" s="236"/>
      <c r="AI186" s="11"/>
    </row>
    <row r="187" customFormat="false" ht="17.35" hidden="false" customHeight="false" outlineLevel="0" collapsed="false">
      <c r="A187" s="221" t="s">
        <v>261</v>
      </c>
      <c r="B187" s="331" t="s">
        <v>262</v>
      </c>
      <c r="C187" s="331"/>
      <c r="D187" s="331"/>
      <c r="E187" s="210" t="s">
        <v>263</v>
      </c>
      <c r="F187" s="236"/>
      <c r="G187" s="236"/>
      <c r="H187" s="11"/>
      <c r="J187" s="221" t="s">
        <v>261</v>
      </c>
      <c r="K187" s="331" t="s">
        <v>262</v>
      </c>
      <c r="L187" s="331"/>
      <c r="M187" s="331"/>
      <c r="N187" s="210" t="s">
        <v>263</v>
      </c>
      <c r="O187" s="236"/>
      <c r="P187" s="236"/>
      <c r="Q187" s="11"/>
      <c r="S187" s="221" t="s">
        <v>261</v>
      </c>
      <c r="T187" s="331" t="s">
        <v>262</v>
      </c>
      <c r="U187" s="331"/>
      <c r="V187" s="331"/>
      <c r="W187" s="210" t="s">
        <v>263</v>
      </c>
      <c r="X187" s="12"/>
      <c r="Y187" s="12"/>
      <c r="Z187" s="11"/>
      <c r="AB187" s="221" t="s">
        <v>261</v>
      </c>
      <c r="AC187" s="331" t="s">
        <v>262</v>
      </c>
      <c r="AD187" s="331"/>
      <c r="AE187" s="331"/>
      <c r="AF187" s="210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5" t="n">
        <f aca="false">(G158*B67)/1.2</f>
        <v>182.890625</v>
      </c>
      <c r="C188" s="331"/>
      <c r="D188" s="331"/>
      <c r="E188" s="215" t="n">
        <f aca="false">(E40*A108)*0.1</f>
        <v>20.6</v>
      </c>
      <c r="F188" s="236"/>
      <c r="G188" s="236"/>
      <c r="H188" s="11"/>
      <c r="J188" s="129" t="n">
        <f aca="false">IF(N105="YES", H15*0.000002, 0)</f>
        <v>0.11705</v>
      </c>
      <c r="K188" s="215" t="n">
        <f aca="false">(P158*K67)/1.2</f>
        <v>2353.4375</v>
      </c>
      <c r="L188" s="331"/>
      <c r="M188" s="331"/>
      <c r="N188" s="215" t="n">
        <f aca="false">(E40*J108)*0.1</f>
        <v>30.9</v>
      </c>
      <c r="O188" s="236"/>
      <c r="P188" s="236"/>
      <c r="Q188" s="11"/>
      <c r="S188" s="129" t="n">
        <f aca="false">IF(W105="YES", Z15*0.000002, 0)</f>
        <v>0</v>
      </c>
      <c r="T188" s="215" t="n">
        <f aca="false">(Y158*T67)/1.2</f>
        <v>494.870312416667</v>
      </c>
      <c r="U188" s="331"/>
      <c r="V188" s="331"/>
      <c r="W188" s="215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5" t="n">
        <f aca="false">(AH158*AC67)/1.2</f>
        <v>378.906241666667</v>
      </c>
      <c r="AD188" s="331"/>
      <c r="AE188" s="331"/>
      <c r="AF188" s="215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5"/>
      <c r="C189" s="331"/>
      <c r="D189" s="331"/>
      <c r="E189" s="236"/>
      <c r="F189" s="236"/>
      <c r="G189" s="236"/>
      <c r="H189" s="11"/>
      <c r="J189" s="129"/>
      <c r="K189" s="215"/>
      <c r="L189" s="331"/>
      <c r="M189" s="331"/>
      <c r="N189" s="236"/>
      <c r="O189" s="236"/>
      <c r="P189" s="236"/>
      <c r="Q189" s="11"/>
      <c r="S189" s="129"/>
      <c r="T189" s="215"/>
      <c r="U189" s="331"/>
      <c r="V189" s="331"/>
      <c r="W189" s="236"/>
      <c r="X189" s="12"/>
      <c r="Y189" s="12"/>
      <c r="Z189" s="11"/>
      <c r="AB189" s="129"/>
      <c r="AC189" s="215"/>
      <c r="AD189" s="331"/>
      <c r="AE189" s="331"/>
      <c r="AF189" s="236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10" t="s">
        <v>265</v>
      </c>
      <c r="C190" s="331"/>
      <c r="D190" s="331"/>
      <c r="E190" s="210" t="s">
        <v>266</v>
      </c>
      <c r="F190" s="236"/>
      <c r="G190" s="236"/>
      <c r="H190" s="11"/>
      <c r="J190" s="131" t="s">
        <v>264</v>
      </c>
      <c r="K190" s="210" t="s">
        <v>265</v>
      </c>
      <c r="L190" s="331"/>
      <c r="M190" s="331"/>
      <c r="N190" s="210" t="s">
        <v>266</v>
      </c>
      <c r="O190" s="236"/>
      <c r="P190" s="236"/>
      <c r="Q190" s="11"/>
      <c r="S190" s="131" t="s">
        <v>264</v>
      </c>
      <c r="T190" s="210" t="s">
        <v>265</v>
      </c>
      <c r="U190" s="331"/>
      <c r="V190" s="331"/>
      <c r="W190" s="210" t="s">
        <v>266</v>
      </c>
      <c r="X190" s="12"/>
      <c r="Y190" s="12"/>
      <c r="Z190" s="11"/>
      <c r="AB190" s="131" t="s">
        <v>264</v>
      </c>
      <c r="AC190" s="210" t="s">
        <v>265</v>
      </c>
      <c r="AD190" s="331"/>
      <c r="AE190" s="331"/>
      <c r="AF190" s="210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5" t="n">
        <f aca="false">B188+E188+A191</f>
        <v>343.480625</v>
      </c>
      <c r="C191" s="331"/>
      <c r="D191" s="331"/>
      <c r="E191" s="215" t="n">
        <f aca="false">H148</f>
        <v>-21870</v>
      </c>
      <c r="F191" s="236"/>
      <c r="G191" s="236"/>
      <c r="H191" s="11"/>
      <c r="J191" s="129" t="n">
        <f aca="false">K185-100</f>
        <v>1139.99</v>
      </c>
      <c r="K191" s="215" t="n">
        <f aca="false">K188+N188+J191</f>
        <v>3524.3275</v>
      </c>
      <c r="L191" s="331"/>
      <c r="M191" s="331"/>
      <c r="N191" s="215" t="n">
        <f aca="false">Q148</f>
        <v>-21870</v>
      </c>
      <c r="O191" s="236"/>
      <c r="P191" s="236"/>
      <c r="Q191" s="11"/>
      <c r="S191" s="129" t="n">
        <f aca="false">T185-100</f>
        <v>1099.99</v>
      </c>
      <c r="T191" s="215" t="n">
        <f aca="false">T188+W188+S191</f>
        <v>1615.46031241667</v>
      </c>
      <c r="U191" s="331"/>
      <c r="V191" s="331"/>
      <c r="W191" s="215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5" t="n">
        <f aca="false">AC188+AF188+AB191</f>
        <v>1539.49624166667</v>
      </c>
      <c r="AD191" s="331"/>
      <c r="AE191" s="331"/>
      <c r="AF191" s="215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1"/>
      <c r="B192" s="331"/>
      <c r="C192" s="331"/>
      <c r="D192" s="331"/>
      <c r="E192" s="236"/>
      <c r="F192" s="236"/>
      <c r="G192" s="236"/>
      <c r="H192" s="11"/>
      <c r="J192" s="221"/>
      <c r="K192" s="331"/>
      <c r="L192" s="331"/>
      <c r="M192" s="331"/>
      <c r="N192" s="236"/>
      <c r="O192" s="236"/>
      <c r="P192" s="236"/>
      <c r="Q192" s="11"/>
      <c r="S192" s="221"/>
      <c r="T192" s="331"/>
      <c r="U192" s="331"/>
      <c r="V192" s="331"/>
      <c r="W192" s="236"/>
      <c r="X192" s="236"/>
      <c r="Y192" s="236"/>
      <c r="Z192" s="11"/>
      <c r="AB192" s="221"/>
      <c r="AC192" s="331"/>
      <c r="AD192" s="331"/>
      <c r="AE192" s="331"/>
      <c r="AF192" s="236"/>
      <c r="AG192" s="236"/>
      <c r="AH192" s="236"/>
      <c r="AI192" s="11"/>
    </row>
    <row r="193" customFormat="false" ht="17.35" hidden="false" customHeight="false" outlineLevel="0" collapsed="false">
      <c r="A193" s="254" t="s">
        <v>267</v>
      </c>
      <c r="B193" s="331"/>
      <c r="C193" s="331"/>
      <c r="D193" s="255"/>
      <c r="E193" s="255"/>
      <c r="F193" s="255"/>
      <c r="G193" s="255"/>
      <c r="H193" s="256"/>
      <c r="J193" s="254" t="s">
        <v>267</v>
      </c>
      <c r="K193" s="331"/>
      <c r="L193" s="331"/>
      <c r="M193" s="255"/>
      <c r="N193" s="255"/>
      <c r="O193" s="255"/>
      <c r="P193" s="255"/>
      <c r="Q193" s="256"/>
      <c r="S193" s="254" t="s">
        <v>267</v>
      </c>
      <c r="T193" s="331"/>
      <c r="U193" s="331"/>
      <c r="V193" s="255"/>
      <c r="W193" s="255"/>
      <c r="X193" s="255"/>
      <c r="Y193" s="255"/>
      <c r="Z193" s="256"/>
      <c r="AB193" s="254" t="s">
        <v>267</v>
      </c>
      <c r="AC193" s="331"/>
      <c r="AD193" s="331"/>
      <c r="AE193" s="255"/>
      <c r="AF193" s="255"/>
      <c r="AG193" s="255"/>
      <c r="AH193" s="255"/>
      <c r="AI193" s="256"/>
    </row>
    <row r="194" customFormat="false" ht="17.35" hidden="false" customHeight="false" outlineLevel="0" collapsed="false">
      <c r="A194" s="221"/>
      <c r="B194" s="257"/>
      <c r="C194" s="257"/>
      <c r="D194" s="331"/>
      <c r="E194" s="236"/>
      <c r="F194" s="236"/>
      <c r="G194" s="236"/>
      <c r="H194" s="11"/>
      <c r="J194" s="221"/>
      <c r="K194" s="257"/>
      <c r="L194" s="257"/>
      <c r="M194" s="331"/>
      <c r="N194" s="236"/>
      <c r="O194" s="236"/>
      <c r="P194" s="236"/>
      <c r="Q194" s="11"/>
      <c r="S194" s="221"/>
      <c r="T194" s="257"/>
      <c r="U194" s="257"/>
      <c r="V194" s="331"/>
      <c r="W194" s="236"/>
      <c r="X194" s="236"/>
      <c r="Y194" s="236"/>
      <c r="Z194" s="11"/>
      <c r="AB194" s="221"/>
      <c r="AC194" s="257"/>
      <c r="AD194" s="257"/>
      <c r="AE194" s="331"/>
      <c r="AF194" s="236"/>
      <c r="AG194" s="236"/>
      <c r="AH194" s="236"/>
      <c r="AI194" s="11"/>
    </row>
    <row r="195" customFormat="false" ht="19.7" hidden="false" customHeight="false" outlineLevel="0" collapsed="false">
      <c r="A195" s="326" t="s">
        <v>81</v>
      </c>
      <c r="B195" s="259" t="s">
        <v>82</v>
      </c>
      <c r="C195" s="259"/>
      <c r="D195" s="259"/>
      <c r="E195" s="236"/>
      <c r="F195" s="236"/>
      <c r="G195" s="236"/>
      <c r="H195" s="11"/>
      <c r="J195" s="326" t="s">
        <v>81</v>
      </c>
      <c r="K195" s="259" t="s">
        <v>82</v>
      </c>
      <c r="L195" s="259"/>
      <c r="M195" s="259"/>
      <c r="N195" s="236"/>
      <c r="O195" s="236"/>
      <c r="P195" s="236"/>
      <c r="Q195" s="11"/>
      <c r="S195" s="326" t="s">
        <v>81</v>
      </c>
      <c r="T195" s="259" t="s">
        <v>82</v>
      </c>
      <c r="U195" s="259"/>
      <c r="V195" s="259"/>
      <c r="W195" s="236"/>
      <c r="X195" s="236"/>
      <c r="Y195" s="236"/>
      <c r="Z195" s="11"/>
      <c r="AB195" s="326" t="s">
        <v>81</v>
      </c>
      <c r="AC195" s="259" t="s">
        <v>82</v>
      </c>
      <c r="AD195" s="259"/>
      <c r="AE195" s="259"/>
      <c r="AF195" s="236"/>
      <c r="AG195" s="236"/>
      <c r="AH195" s="236"/>
      <c r="AI195" s="11"/>
    </row>
    <row r="196" customFormat="false" ht="19.5" hidden="false" customHeight="true" outlineLevel="0" collapsed="false">
      <c r="A196" s="326"/>
      <c r="B196" s="260" t="n">
        <f aca="false">K30</f>
        <v>10000</v>
      </c>
      <c r="C196" s="260"/>
      <c r="D196" s="260"/>
      <c r="E196" s="236"/>
      <c r="F196" s="236"/>
      <c r="G196" s="236"/>
      <c r="H196" s="11"/>
      <c r="J196" s="326"/>
      <c r="K196" s="260" t="n">
        <f aca="false">K30</f>
        <v>10000</v>
      </c>
      <c r="L196" s="260"/>
      <c r="M196" s="260"/>
      <c r="N196" s="236"/>
      <c r="O196" s="236"/>
      <c r="P196" s="236"/>
      <c r="Q196" s="11"/>
      <c r="S196" s="326"/>
      <c r="T196" s="260" t="n">
        <f aca="false">K30</f>
        <v>10000</v>
      </c>
      <c r="U196" s="260"/>
      <c r="V196" s="260"/>
      <c r="W196" s="236"/>
      <c r="X196" s="236"/>
      <c r="Y196" s="236"/>
      <c r="Z196" s="11"/>
      <c r="AB196" s="326"/>
      <c r="AC196" s="260" t="n">
        <f aca="false">K30</f>
        <v>10000</v>
      </c>
      <c r="AD196" s="260"/>
      <c r="AE196" s="260"/>
      <c r="AF196" s="236"/>
      <c r="AG196" s="236"/>
      <c r="AH196" s="236"/>
      <c r="AI196" s="11"/>
    </row>
    <row r="197" customFormat="false" ht="17.35" hidden="false" customHeight="false" outlineLevel="0" collapsed="false">
      <c r="A197" s="261" t="n">
        <f aca="false">K29</f>
        <v>36</v>
      </c>
      <c r="B197" s="75" t="n">
        <f aca="false">B96</f>
        <v>1261.13933396034</v>
      </c>
      <c r="C197" s="75"/>
      <c r="D197" s="75"/>
      <c r="E197" s="236"/>
      <c r="F197" s="236"/>
      <c r="G197" s="236"/>
      <c r="H197" s="11"/>
      <c r="J197" s="261" t="n">
        <f aca="false">K29</f>
        <v>36</v>
      </c>
      <c r="K197" s="75" t="n">
        <f aca="false">K96</f>
        <v>1521.94639790342</v>
      </c>
      <c r="L197" s="75"/>
      <c r="M197" s="75"/>
      <c r="N197" s="236"/>
      <c r="O197" s="236"/>
      <c r="P197" s="236"/>
      <c r="Q197" s="11"/>
      <c r="S197" s="261" t="n">
        <f aca="false">K29</f>
        <v>36</v>
      </c>
      <c r="T197" s="75" t="n">
        <f aca="false">T96</f>
        <v>1443.51455760232</v>
      </c>
      <c r="U197" s="75"/>
      <c r="V197" s="75"/>
      <c r="W197" s="236"/>
      <c r="X197" s="236"/>
      <c r="Y197" s="236"/>
      <c r="Z197" s="11"/>
      <c r="AB197" s="261" t="n">
        <f aca="false">K29</f>
        <v>36</v>
      </c>
      <c r="AC197" s="75" t="n">
        <f aca="false">AC96</f>
        <v>970.064391147723</v>
      </c>
      <c r="AD197" s="75"/>
      <c r="AE197" s="75"/>
      <c r="AF197" s="236"/>
      <c r="AG197" s="236"/>
      <c r="AH197" s="236"/>
      <c r="AI197" s="11"/>
    </row>
    <row r="198" customFormat="false" ht="17.35" hidden="false" customHeight="false" outlineLevel="0" collapsed="false">
      <c r="A198" s="221"/>
      <c r="B198" s="331"/>
      <c r="C198" s="331"/>
      <c r="D198" s="331"/>
      <c r="E198" s="236"/>
      <c r="F198" s="236"/>
      <c r="G198" s="236"/>
      <c r="H198" s="11"/>
      <c r="J198" s="221"/>
      <c r="K198" s="331"/>
      <c r="L198" s="331"/>
      <c r="M198" s="331"/>
      <c r="N198" s="236"/>
      <c r="O198" s="236"/>
      <c r="P198" s="236"/>
      <c r="Q198" s="11"/>
      <c r="S198" s="221"/>
      <c r="T198" s="331"/>
      <c r="U198" s="331"/>
      <c r="V198" s="331"/>
      <c r="W198" s="236"/>
      <c r="X198" s="236"/>
      <c r="Y198" s="236"/>
      <c r="Z198" s="11"/>
      <c r="AB198" s="221"/>
      <c r="AC198" s="331"/>
      <c r="AD198" s="331"/>
      <c r="AE198" s="331"/>
      <c r="AF198" s="236"/>
      <c r="AG198" s="236"/>
      <c r="AH198" s="236"/>
      <c r="AI198" s="11"/>
    </row>
    <row r="199" customFormat="false" ht="17.35" hidden="false" customHeight="false" outlineLevel="0" collapsed="false">
      <c r="A199" s="221"/>
      <c r="B199" s="331"/>
      <c r="C199" s="331"/>
      <c r="D199" s="331"/>
      <c r="E199" s="236"/>
      <c r="F199" s="236"/>
      <c r="G199" s="236"/>
      <c r="H199" s="11"/>
      <c r="J199" s="221"/>
      <c r="K199" s="331"/>
      <c r="L199" s="331"/>
      <c r="M199" s="331"/>
      <c r="N199" s="236"/>
      <c r="O199" s="236"/>
      <c r="P199" s="236"/>
      <c r="Q199" s="11"/>
      <c r="S199" s="221"/>
      <c r="T199" s="331"/>
      <c r="U199" s="331"/>
      <c r="V199" s="331"/>
      <c r="W199" s="236"/>
      <c r="X199" s="236"/>
      <c r="Y199" s="236"/>
      <c r="Z199" s="11"/>
      <c r="AB199" s="221"/>
      <c r="AC199" s="331"/>
      <c r="AD199" s="331"/>
      <c r="AE199" s="331"/>
      <c r="AF199" s="236"/>
      <c r="AG199" s="236"/>
      <c r="AH199" s="236"/>
      <c r="AI199" s="11"/>
    </row>
    <row r="200" customFormat="false" ht="17.35" hidden="false" customHeight="false" outlineLevel="0" collapsed="false">
      <c r="A200" s="221"/>
      <c r="B200" s="331"/>
      <c r="C200" s="331"/>
      <c r="D200" s="331"/>
      <c r="E200" s="236"/>
      <c r="F200" s="236"/>
      <c r="G200" s="236"/>
      <c r="H200" s="11"/>
      <c r="J200" s="221"/>
      <c r="K200" s="331"/>
      <c r="L200" s="331"/>
      <c r="M200" s="331"/>
      <c r="N200" s="236"/>
      <c r="O200" s="236"/>
      <c r="P200" s="236"/>
      <c r="Q200" s="11"/>
      <c r="S200" s="221"/>
      <c r="T200" s="331"/>
      <c r="U200" s="331"/>
      <c r="V200" s="331"/>
      <c r="W200" s="236"/>
      <c r="X200" s="236"/>
      <c r="Y200" s="236"/>
      <c r="Z200" s="11"/>
      <c r="AB200" s="221"/>
      <c r="AC200" s="331"/>
      <c r="AD200" s="331"/>
      <c r="AE200" s="331"/>
      <c r="AF200" s="236"/>
      <c r="AG200" s="236"/>
      <c r="AH200" s="236"/>
      <c r="AI200" s="11"/>
    </row>
    <row r="201" customFormat="false" ht="17.35" hidden="false" customHeight="false" outlineLevel="0" collapsed="false">
      <c r="A201" s="221"/>
      <c r="B201" s="331"/>
      <c r="C201" s="331"/>
      <c r="D201" s="331"/>
      <c r="E201" s="236"/>
      <c r="F201" s="236"/>
      <c r="G201" s="236"/>
      <c r="H201" s="11"/>
      <c r="J201" s="221"/>
      <c r="K201" s="331"/>
      <c r="L201" s="331"/>
      <c r="M201" s="331"/>
      <c r="N201" s="236"/>
      <c r="O201" s="236"/>
      <c r="P201" s="236"/>
      <c r="Q201" s="11"/>
      <c r="S201" s="221"/>
      <c r="T201" s="331"/>
      <c r="U201" s="331"/>
      <c r="V201" s="331"/>
      <c r="W201" s="236"/>
      <c r="X201" s="236"/>
      <c r="Y201" s="236"/>
      <c r="Z201" s="11"/>
      <c r="AB201" s="221"/>
      <c r="AC201" s="331"/>
      <c r="AD201" s="331"/>
      <c r="AE201" s="331"/>
      <c r="AF201" s="236"/>
      <c r="AG201" s="236"/>
      <c r="AH201" s="236"/>
      <c r="AI201" s="11"/>
    </row>
    <row r="202" customFormat="false" ht="17.35" hidden="false" customHeight="false" outlineLevel="0" collapsed="false">
      <c r="A202" s="249"/>
      <c r="B202" s="250"/>
      <c r="C202" s="250"/>
      <c r="D202" s="250"/>
      <c r="E202" s="250"/>
      <c r="F202" s="250"/>
      <c r="G202" s="250"/>
      <c r="H202" s="84"/>
      <c r="J202" s="249"/>
      <c r="K202" s="250"/>
      <c r="L202" s="250"/>
      <c r="M202" s="250"/>
      <c r="N202" s="250"/>
      <c r="O202" s="250"/>
      <c r="P202" s="250"/>
      <c r="Q202" s="84"/>
      <c r="S202" s="249"/>
      <c r="T202" s="250"/>
      <c r="U202" s="250"/>
      <c r="V202" s="250"/>
      <c r="W202" s="250"/>
      <c r="X202" s="250"/>
      <c r="Y202" s="250"/>
      <c r="Z202" s="84"/>
      <c r="AB202" s="249"/>
      <c r="AC202" s="250"/>
      <c r="AD202" s="250"/>
      <c r="AE202" s="250"/>
      <c r="AF202" s="250"/>
      <c r="AG202" s="250"/>
      <c r="AH202" s="250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B30" colorId="64" zoomScale="75" zoomScaleNormal="75" zoomScalePageLayoutView="100" workbookViewId="0">
      <selection pane="topLeft" activeCell="M30" activeCellId="0" sqref="M30"/>
    </sheetView>
  </sheetViews>
  <sheetFormatPr defaultColWidth="10.87890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374" t="n">
        <v>46854.17</v>
      </c>
      <c r="C3" s="139" t="n">
        <v>0</v>
      </c>
      <c r="D3" s="374" t="n">
        <v>833.33</v>
      </c>
      <c r="E3" s="140" t="n">
        <v>0</v>
      </c>
      <c r="F3" s="135"/>
      <c r="G3" s="135" t="n">
        <v>25000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0" t="n">
        <v>0</v>
      </c>
      <c r="C4" s="0" t="n">
        <v>0</v>
      </c>
      <c r="D4" s="0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37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376" t="n">
        <f aca="false">G9*100/B3</f>
        <v>-222.685622218897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7" t="n">
        <f aca="false">(B7+C7+D7+E3)</f>
        <v>47687.5</v>
      </c>
      <c r="F9" s="135"/>
      <c r="G9" s="375" t="n">
        <f aca="false">E9-G11</f>
        <v>-104337.5</v>
      </c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37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 E9 + E10 ) * 0.2</f>
        <v>9647.5</v>
      </c>
      <c r="F11" s="135"/>
      <c r="G11" s="375" t="n">
        <f aca="false">G13/1.2</f>
        <v>152025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375" t="n">
        <f aca="false">G15-E14-E13-E12</f>
        <v>182430</v>
      </c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78" t="n">
        <f aca="false">(E9+E10+E13+E14+E11) - E12</f>
        <v>58525</v>
      </c>
      <c r="F15" s="135"/>
      <c r="G15" s="149" t="n">
        <v>183070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379" t="n">
        <f aca="false">(B3+C3+E10)*1.2</f>
        <v>56885.004</v>
      </c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 t="n">
        <v>0</v>
      </c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8.75" hidden="false" customHeight="tru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154" t="s">
        <v>130</v>
      </c>
      <c r="B26" s="156" t="s">
        <v>25</v>
      </c>
      <c r="C26" s="145"/>
      <c r="D26" s="145"/>
      <c r="E26" s="146"/>
      <c r="F26" s="135"/>
      <c r="G26" s="152" t="s">
        <v>30</v>
      </c>
      <c r="H26" s="152" t="s">
        <v>31</v>
      </c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32</v>
      </c>
      <c r="H27" s="153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5"/>
      <c r="G28" s="153" t="s">
        <v>36</v>
      </c>
      <c r="H28" s="153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38"/>
      <c r="B29" s="145"/>
      <c r="C29" s="145"/>
      <c r="D29" s="145"/>
      <c r="E29" s="146"/>
      <c r="F29" s="135"/>
      <c r="G29" s="152" t="s">
        <v>38</v>
      </c>
      <c r="H29" s="380" t="n">
        <v>36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 t="s">
        <v>145</v>
      </c>
      <c r="B30" s="117" t="s">
        <v>278</v>
      </c>
      <c r="C30" s="117"/>
      <c r="D30" s="145"/>
      <c r="E30" s="146"/>
      <c r="F30" s="135"/>
      <c r="G30" s="152" t="s">
        <v>39</v>
      </c>
      <c r="H30" s="380" t="n">
        <v>10000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38"/>
      <c r="B31" s="145"/>
      <c r="C31" s="145"/>
      <c r="D31" s="145"/>
      <c r="E31" s="146"/>
      <c r="F31" s="135"/>
      <c r="G31" s="152" t="s">
        <v>43</v>
      </c>
      <c r="H31" s="365" t="n">
        <v>27500</v>
      </c>
      <c r="I31" s="165" t="n">
        <f aca="false">IF(C107="YES",H31,0)</f>
        <v>27500</v>
      </c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38" t="s">
        <v>81</v>
      </c>
      <c r="B32" s="145" t="s">
        <v>82</v>
      </c>
      <c r="C32" s="145"/>
      <c r="D32" s="381" t="s">
        <v>279</v>
      </c>
      <c r="E32" s="146"/>
      <c r="F32" s="135"/>
      <c r="G32" s="152" t="s">
        <v>46</v>
      </c>
      <c r="I32" s="365" t="n">
        <v>1030</v>
      </c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2" t="n">
        <f aca="false">H48</f>
        <v>951.531975672137</v>
      </c>
      <c r="E33" s="146"/>
      <c r="F33" s="135"/>
      <c r="G33" s="153" t="s">
        <v>280</v>
      </c>
      <c r="H33" s="383" t="n">
        <f aca="false">E21-E11+((E16*20%)+(E19*20%)+(E20*20%))</f>
        <v>48877.5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138"/>
      <c r="B34" s="145"/>
      <c r="C34" s="145"/>
      <c r="D34" s="145"/>
      <c r="E34" s="146"/>
      <c r="F34" s="135"/>
      <c r="G34" s="135" t="s">
        <v>305</v>
      </c>
      <c r="H34" s="135" t="n">
        <f aca="false">H29</f>
        <v>36</v>
      </c>
      <c r="I34" s="135" t="n">
        <v>43957.29</v>
      </c>
      <c r="J34" s="135" t="n">
        <v>841.24</v>
      </c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38" t="s">
        <v>281</v>
      </c>
      <c r="B35" s="145" t="s">
        <v>282</v>
      </c>
      <c r="C35" s="145"/>
      <c r="D35" s="145" t="s">
        <v>283</v>
      </c>
      <c r="E35" s="146"/>
      <c r="F35" s="135"/>
      <c r="G35" s="162" t="s">
        <v>50</v>
      </c>
      <c r="H35" s="163" t="n">
        <v>0.065</v>
      </c>
      <c r="I35" s="135" t="n">
        <v>46215.83</v>
      </c>
      <c r="J35" s="135" t="n">
        <v>909.69</v>
      </c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25" t="n">
        <f aca="false">H47</f>
        <v>922.920864561026</v>
      </c>
      <c r="B36" s="215" t="n">
        <f aca="false">IF(B26="YES", H42, "")</f>
        <v>28.6111111111111</v>
      </c>
      <c r="C36" s="155"/>
      <c r="D36" s="128" t="n">
        <f aca="false">I31</f>
        <v>27500</v>
      </c>
      <c r="E36" s="146"/>
      <c r="F36" s="135"/>
      <c r="G36" s="135"/>
      <c r="H36" s="135"/>
      <c r="I36" s="135" t="n">
        <f aca="false">I35-I34</f>
        <v>2258.54</v>
      </c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29"/>
      <c r="B37" s="215"/>
      <c r="C37" s="155"/>
      <c r="D37" s="215"/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38"/>
      <c r="B38" s="145"/>
      <c r="C38" s="145"/>
      <c r="D38" s="145"/>
      <c r="E38" s="146"/>
      <c r="F38" s="135"/>
      <c r="G38" s="168" t="s">
        <v>56</v>
      </c>
      <c r="H38" s="168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138" t="s">
        <v>284</v>
      </c>
      <c r="B39" s="145" t="s">
        <v>285</v>
      </c>
      <c r="C39" s="145"/>
      <c r="D39" s="145" t="s">
        <v>286</v>
      </c>
      <c r="E39" s="146"/>
      <c r="F39" s="135"/>
      <c r="G39" s="135" t="s">
        <v>83</v>
      </c>
      <c r="H39" s="165" t="n">
        <f aca="false">H33</f>
        <v>48877.5</v>
      </c>
      <c r="I39" s="165" t="n">
        <f aca="false">(I48*H46)+H44</f>
        <v>63509.8854689439</v>
      </c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6"/>
      <c r="F40" s="135"/>
      <c r="G40" s="135" t="s">
        <v>211</v>
      </c>
      <c r="H40" s="165" t="n">
        <f aca="false">(A40)/1.2</f>
        <v>22916.6666666667</v>
      </c>
      <c r="I40" s="165" t="n">
        <f aca="false">H39-I39</f>
        <v>-14632.3854689439</v>
      </c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138"/>
      <c r="B41" s="145"/>
      <c r="C41" s="145"/>
      <c r="D41" s="145"/>
      <c r="E41" s="146"/>
      <c r="F41" s="135"/>
      <c r="G41" s="135" t="s">
        <v>287</v>
      </c>
      <c r="H41" s="167" t="n">
        <f aca="false">H35/12</f>
        <v>0.00541666666666667</v>
      </c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138"/>
      <c r="B42" s="145"/>
      <c r="C42" s="145"/>
      <c r="D42" s="145"/>
      <c r="E42" s="146"/>
      <c r="F42" s="135"/>
      <c r="G42" s="135" t="s">
        <v>288</v>
      </c>
      <c r="H42" s="165" t="n">
        <f aca="false">(I32/H34)*(C45/100)</f>
        <v>28.6111111111111</v>
      </c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180"/>
      <c r="B43" s="181"/>
      <c r="C43" s="181"/>
      <c r="D43" s="181"/>
      <c r="E43" s="182"/>
      <c r="F43" s="135"/>
      <c r="G43" s="135" t="s">
        <v>289</v>
      </c>
      <c r="H43" s="135"/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384" t="s">
        <v>203</v>
      </c>
      <c r="B44" s="145"/>
      <c r="C44" s="385" t="s">
        <v>204</v>
      </c>
      <c r="D44" s="385"/>
      <c r="E44" s="146"/>
      <c r="F44" s="135"/>
      <c r="G44" s="135" t="s">
        <v>306</v>
      </c>
      <c r="H44" s="165" t="n">
        <f aca="false">(H40/(1+H41)^(H34+1))</f>
        <v>18764.9097705681</v>
      </c>
      <c r="I44" s="16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386" t="s">
        <v>291</v>
      </c>
      <c r="B45" s="145"/>
      <c r="C45" s="387" t="s">
        <v>291</v>
      </c>
      <c r="D45" s="387"/>
      <c r="E45" s="146"/>
      <c r="F45" s="135"/>
      <c r="G45" s="135" t="s">
        <v>307</v>
      </c>
      <c r="H45" s="165" t="n">
        <f aca="false">(H39-H44)</f>
        <v>30112.5902294319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177"/>
      <c r="B46" s="178"/>
      <c r="C46" s="178"/>
      <c r="D46" s="178"/>
      <c r="E46" s="179"/>
      <c r="F46" s="135"/>
      <c r="G46" s="135" t="s">
        <v>308</v>
      </c>
      <c r="H46" s="165" t="n">
        <f aca="false">((1-(1/((1+H41)^H34)))/H41)</f>
        <v>32.627488862498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38"/>
      <c r="B47" s="145"/>
      <c r="C47" s="145"/>
      <c r="D47" s="145"/>
      <c r="E47" s="146"/>
      <c r="F47" s="135"/>
      <c r="G47" s="135" t="s">
        <v>294</v>
      </c>
      <c r="H47" s="165" t="n">
        <f aca="false">H45/H46</f>
        <v>922.920864561026</v>
      </c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172" t="s">
        <v>205</v>
      </c>
      <c r="B48" s="145"/>
      <c r="C48" s="145"/>
      <c r="D48" s="173"/>
      <c r="E48" s="174"/>
      <c r="F48" s="135"/>
      <c r="G48" s="388" t="s">
        <v>295</v>
      </c>
      <c r="H48" s="165" t="n">
        <f aca="false">IF(B26="YES", H47+H42, H47)</f>
        <v>951.531975672137</v>
      </c>
      <c r="I48" s="165" t="n">
        <f aca="false">I49-H42</f>
        <v>1371.38888888889</v>
      </c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138"/>
      <c r="B49" s="175"/>
      <c r="C49" s="175"/>
      <c r="D49" s="145"/>
      <c r="E49" s="146"/>
      <c r="F49" s="135"/>
      <c r="G49" s="135" t="s">
        <v>296</v>
      </c>
      <c r="H49" s="176"/>
      <c r="I49" s="165" t="n">
        <v>1400</v>
      </c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5"/>
      <c r="E50" s="146"/>
      <c r="F50" s="135"/>
      <c r="G50" s="135"/>
      <c r="H50" s="13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5"/>
      <c r="E51" s="146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5"/>
      <c r="E52" s="146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138"/>
      <c r="B53" s="145"/>
      <c r="C53" s="145"/>
      <c r="D53" s="145"/>
      <c r="E53" s="146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7"/>
      <c r="B54" s="178"/>
      <c r="C54" s="178"/>
      <c r="D54" s="178"/>
      <c r="E54" s="179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45"/>
      <c r="B55" s="145"/>
      <c r="C55" s="145"/>
      <c r="D55" s="145"/>
      <c r="E55" s="145"/>
      <c r="F55" s="135"/>
      <c r="G55" s="145"/>
      <c r="H55" s="145"/>
      <c r="I55" s="145"/>
      <c r="J55" s="145"/>
      <c r="K55" s="145"/>
      <c r="L55" s="135"/>
      <c r="M55" s="145"/>
      <c r="N55" s="145"/>
      <c r="O55" s="145"/>
      <c r="P55" s="145"/>
      <c r="Q55" s="14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180"/>
      <c r="B56" s="181"/>
      <c r="C56" s="181"/>
      <c r="D56" s="181"/>
      <c r="E56" s="182"/>
      <c r="F56" s="135"/>
      <c r="G56" s="180"/>
      <c r="H56" s="181"/>
      <c r="I56" s="181"/>
      <c r="J56" s="181"/>
      <c r="K56" s="182"/>
      <c r="L56" s="135"/>
      <c r="M56" s="180"/>
      <c r="N56" s="181"/>
      <c r="O56" s="181"/>
      <c r="P56" s="181"/>
      <c r="Q56" s="182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138" t="s">
        <v>83</v>
      </c>
      <c r="B57" s="145" t="n">
        <f aca="false">IF(B99=Y97,1,IF(B99=Y98,1,IF(B99=Y99,3,IF(B99=Y100,6,IF(B99=Y101,9,IF(B99=Y102,12,IF(B99=Y103,3,IF(B99=Y104,6,IF(B99=Y105,9,0)))))))))</f>
        <v>9</v>
      </c>
      <c r="C57" s="145"/>
      <c r="D57" s="145"/>
      <c r="E57" s="146"/>
      <c r="F57" s="135"/>
      <c r="G57" s="138" t="s">
        <v>83</v>
      </c>
      <c r="H57" s="145" t="n">
        <f aca="false">IF(H99=Y97,1,IF(H99=Y98,1,IF(H99=Y99,3,IF(H99=Y100,6,IF(H99=Y101,9,IF(H99=Y102,12,IF(H99=Y103,3,IF(H99=Y104,6,IF(H99=Y105,9,0)))))))))</f>
        <v>6</v>
      </c>
      <c r="I57" s="145"/>
      <c r="J57" s="145"/>
      <c r="K57" s="146"/>
      <c r="L57" s="135"/>
      <c r="M57" s="138" t="s">
        <v>83</v>
      </c>
      <c r="N57" s="145" t="n">
        <f aca="false">IF(N99=Y97,1,IF(N99=Y98,1,IF(N99=Y99,3,IF(N99=Y100,6,IF(N99=Y101,9,IF(N99=Y102,12,IF(N99=Y103,3,IF(N99=Y104,6,IF(N99=Y105,9,0)))))))))</f>
        <v>6</v>
      </c>
      <c r="O57" s="145"/>
      <c r="P57" s="145"/>
      <c r="Q57" s="146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138" t="s">
        <v>84</v>
      </c>
      <c r="B58" s="145" t="n">
        <f aca="false">IF(B99=Y97,H29-B57,IF(B99=Y98,H29-B57,IF(B99=Y99,H29-1,IF(B99=Y100,H29-1,IF(B99=Y101,H29-1,IF(B99=Y102,H29-1,IF(B99=Y103,H29-B57,IF(B99=Y104,H29-B57,IF(B99=Y105,H29-B57,0)))))))))</f>
        <v>27</v>
      </c>
      <c r="C58" s="145"/>
      <c r="D58" s="145"/>
      <c r="E58" s="146"/>
      <c r="F58" s="135"/>
      <c r="G58" s="138" t="s">
        <v>84</v>
      </c>
      <c r="H58" s="145" t="n">
        <f aca="false">IF(H99=Y97,H29-H57,IF(H99=Y98,H29-H57,IF(H99=Y99,H29-1,IF(H99=Y100,H29-1,IF(H99=Y101,H29-1,IF(H99=Y102,H29-1,IF(H99=Y103,H29-H57,IF(H99=Y104,H29-H57,IF(H99=Y105,H29-H57,0)))))))))</f>
        <v>35</v>
      </c>
      <c r="I58" s="145"/>
      <c r="J58" s="145"/>
      <c r="K58" s="146"/>
      <c r="L58" s="135"/>
      <c r="M58" s="138" t="s">
        <v>84</v>
      </c>
      <c r="N58" s="145" t="n">
        <f aca="false">IF(N99=Y97,H29-N57,IF(N99=Y98,H29-N57,IF(N99=Y99,H29-1,IF(N99=Y100,H29-1,IF(N99=Y101,H29-1,IF(N99=Y102,H29-1,IF(N99=Y103,H29-N57,IF(N99=Y104,H29-N57,IF(N99=Y105,H29-N57,0)))))))))</f>
        <v>35</v>
      </c>
      <c r="O58" s="145"/>
      <c r="P58" s="145"/>
      <c r="Q58" s="146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8"/>
      <c r="H59" s="145"/>
      <c r="I59" s="145"/>
      <c r="J59" s="145"/>
      <c r="K59" s="146"/>
      <c r="L59" s="135"/>
      <c r="M59" s="138"/>
      <c r="N59" s="145"/>
      <c r="O59" s="145"/>
      <c r="P59" s="145"/>
      <c r="Q59" s="146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38"/>
      <c r="B60" s="145"/>
      <c r="C60" s="145"/>
      <c r="D60" s="145"/>
      <c r="E60" s="146"/>
      <c r="F60" s="135"/>
      <c r="G60" s="138"/>
      <c r="H60" s="145"/>
      <c r="I60" s="145"/>
      <c r="J60" s="145"/>
      <c r="K60" s="146"/>
      <c r="L60" s="135"/>
      <c r="M60" s="138"/>
      <c r="N60" s="145"/>
      <c r="O60" s="145"/>
      <c r="P60" s="145"/>
      <c r="Q60" s="146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38" t="s">
        <v>21</v>
      </c>
      <c r="B61" s="144" t="n">
        <f aca="false">G18</f>
        <v>57885</v>
      </c>
      <c r="C61" s="145"/>
      <c r="D61" s="145"/>
      <c r="E61" s="146"/>
      <c r="F61" s="135"/>
      <c r="G61" s="138" t="s">
        <v>21</v>
      </c>
      <c r="H61" s="144" t="n">
        <f aca="false">G18</f>
        <v>57885</v>
      </c>
      <c r="I61" s="145"/>
      <c r="J61" s="145"/>
      <c r="K61" s="146"/>
      <c r="L61" s="135"/>
      <c r="M61" s="138" t="s">
        <v>21</v>
      </c>
      <c r="N61" s="144" t="n">
        <f aca="false">G18</f>
        <v>57885</v>
      </c>
      <c r="O61" s="145"/>
      <c r="P61" s="145"/>
      <c r="Q61" s="146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3" t="s">
        <v>85</v>
      </c>
      <c r="B62" s="184" t="n">
        <v>0.07</v>
      </c>
      <c r="C62" s="145"/>
      <c r="D62" s="145"/>
      <c r="E62" s="146"/>
      <c r="F62" s="135"/>
      <c r="G62" s="183" t="s">
        <v>85</v>
      </c>
      <c r="H62" s="184" t="n">
        <v>0.07</v>
      </c>
      <c r="I62" s="145"/>
      <c r="J62" s="145"/>
      <c r="K62" s="146"/>
      <c r="L62" s="135"/>
      <c r="M62" s="183" t="s">
        <v>85</v>
      </c>
      <c r="N62" s="184" t="n">
        <v>0.07</v>
      </c>
      <c r="O62" s="145"/>
      <c r="P62" s="145"/>
      <c r="Q62" s="146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86</v>
      </c>
      <c r="B63" s="142" t="n">
        <f aca="false">B62+(B62*0.25*(H29/12-1))</f>
        <v>0.105</v>
      </c>
      <c r="C63" s="145"/>
      <c r="D63" s="145"/>
      <c r="E63" s="146"/>
      <c r="F63" s="135"/>
      <c r="G63" s="138" t="s">
        <v>86</v>
      </c>
      <c r="H63" s="142" t="n">
        <f aca="false">H62+(H62*0.25*(H29/12-1))</f>
        <v>0.105</v>
      </c>
      <c r="I63" s="145"/>
      <c r="J63" s="145"/>
      <c r="K63" s="146"/>
      <c r="L63" s="135"/>
      <c r="M63" s="138" t="s">
        <v>86</v>
      </c>
      <c r="N63" s="142" t="n">
        <f aca="false">N62+(N62*0.25*(H29/12-1))</f>
        <v>0.105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77" t="s">
        <v>87</v>
      </c>
      <c r="B64" s="185" t="n">
        <f aca="false">B61*B63</f>
        <v>6077.925</v>
      </c>
      <c r="C64" s="145"/>
      <c r="D64" s="144" t="n">
        <f aca="false">B64-A145</f>
        <v>6077.925</v>
      </c>
      <c r="E64" s="146"/>
      <c r="F64" s="135"/>
      <c r="G64" s="177" t="s">
        <v>87</v>
      </c>
      <c r="H64" s="185" t="n">
        <f aca="false">H61*H63</f>
        <v>6077.925</v>
      </c>
      <c r="I64" s="145"/>
      <c r="J64" s="144" t="n">
        <f aca="false">H64-G145</f>
        <v>6077.925</v>
      </c>
      <c r="K64" s="146"/>
      <c r="L64" s="135"/>
      <c r="M64" s="177" t="s">
        <v>87</v>
      </c>
      <c r="N64" s="185" t="n">
        <f aca="false">N61*N63</f>
        <v>6077.925</v>
      </c>
      <c r="O64" s="145"/>
      <c r="P64" s="144" t="n">
        <f aca="false">N64-M145</f>
        <v>6077.925</v>
      </c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83" t="s">
        <v>88</v>
      </c>
      <c r="B65" s="184" t="n">
        <v>0.01</v>
      </c>
      <c r="C65" s="145"/>
      <c r="D65" s="145"/>
      <c r="E65" s="146"/>
      <c r="F65" s="135"/>
      <c r="G65" s="183" t="s">
        <v>88</v>
      </c>
      <c r="H65" s="184" t="n">
        <v>0.01</v>
      </c>
      <c r="I65" s="145"/>
      <c r="J65" s="145"/>
      <c r="K65" s="146"/>
      <c r="L65" s="135"/>
      <c r="M65" s="183" t="s">
        <v>88</v>
      </c>
      <c r="N65" s="184" t="n">
        <v>0.01</v>
      </c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 t="s">
        <v>89</v>
      </c>
      <c r="B66" s="142" t="n">
        <f aca="false">B65+(B65*0.5*(H29/12-1))</f>
        <v>0.02</v>
      </c>
      <c r="C66" s="145"/>
      <c r="D66" s="145"/>
      <c r="E66" s="146"/>
      <c r="F66" s="135"/>
      <c r="G66" s="138" t="s">
        <v>89</v>
      </c>
      <c r="H66" s="142" t="n">
        <f aca="false">H65+(H65*0.5*(H29/12-1))</f>
        <v>0.02</v>
      </c>
      <c r="I66" s="145"/>
      <c r="J66" s="145"/>
      <c r="K66" s="146"/>
      <c r="L66" s="135"/>
      <c r="M66" s="138" t="s">
        <v>89</v>
      </c>
      <c r="N66" s="142" t="n">
        <f aca="false">N65+(N65*0.5*(H29/12-1))</f>
        <v>0.02</v>
      </c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77" t="s">
        <v>90</v>
      </c>
      <c r="B67" s="185" t="n">
        <f aca="false">(B61*B66)/1.2</f>
        <v>964.75</v>
      </c>
      <c r="C67" s="145"/>
      <c r="D67" s="144"/>
      <c r="E67" s="146"/>
      <c r="F67" s="135"/>
      <c r="G67" s="177" t="s">
        <v>90</v>
      </c>
      <c r="H67" s="185" t="n">
        <f aca="false">(H61*H66)/1.2</f>
        <v>964.75</v>
      </c>
      <c r="I67" s="145"/>
      <c r="J67" s="144"/>
      <c r="K67" s="146"/>
      <c r="L67" s="135"/>
      <c r="M67" s="177" t="s">
        <v>90</v>
      </c>
      <c r="N67" s="185" t="n">
        <f aca="false">(N61*N66)/1.2</f>
        <v>964.75</v>
      </c>
      <c r="O67" s="145"/>
      <c r="P67" s="144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91</v>
      </c>
      <c r="B68" s="184" t="n">
        <v>0.0075</v>
      </c>
      <c r="C68" s="145"/>
      <c r="D68" s="145"/>
      <c r="E68" s="146"/>
      <c r="F68" s="135"/>
      <c r="G68" s="183" t="s">
        <v>91</v>
      </c>
      <c r="H68" s="184" t="n">
        <v>0.0075</v>
      </c>
      <c r="I68" s="145"/>
      <c r="J68" s="145"/>
      <c r="K68" s="146"/>
      <c r="L68" s="135"/>
      <c r="M68" s="183" t="s">
        <v>91</v>
      </c>
      <c r="N68" s="184" t="n">
        <v>0.0075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6" t="s">
        <v>92</v>
      </c>
      <c r="B69" s="186" t="n">
        <v>0.12</v>
      </c>
      <c r="C69" s="145"/>
      <c r="D69" s="145"/>
      <c r="E69" s="146"/>
      <c r="F69" s="135"/>
      <c r="G69" s="136" t="s">
        <v>92</v>
      </c>
      <c r="H69" s="186" t="n">
        <v>0.12</v>
      </c>
      <c r="I69" s="145"/>
      <c r="J69" s="145"/>
      <c r="K69" s="146"/>
      <c r="L69" s="135"/>
      <c r="M69" s="136" t="s">
        <v>92</v>
      </c>
      <c r="N69" s="186" t="n">
        <v>0.12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93</v>
      </c>
      <c r="B70" s="389" t="n">
        <f aca="false">B68*(1+B69)</f>
        <v>0.0084</v>
      </c>
      <c r="C70" s="145"/>
      <c r="D70" s="145"/>
      <c r="E70" s="146"/>
      <c r="F70" s="135"/>
      <c r="G70" s="177" t="s">
        <v>93</v>
      </c>
      <c r="H70" s="187" t="n">
        <f aca="false">H68*(1+H69)</f>
        <v>0.0084</v>
      </c>
      <c r="I70" s="145"/>
      <c r="J70" s="145"/>
      <c r="K70" s="146"/>
      <c r="L70" s="135"/>
      <c r="M70" s="177" t="s">
        <v>93</v>
      </c>
      <c r="N70" s="389" t="n">
        <f aca="false">N68*(1+N69)</f>
        <v>0.0084</v>
      </c>
      <c r="O70" s="145"/>
      <c r="P70" s="145"/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94</v>
      </c>
      <c r="B71" s="188" t="n">
        <v>200</v>
      </c>
      <c r="C71" s="145"/>
      <c r="D71" s="145"/>
      <c r="E71" s="146"/>
      <c r="F71" s="135"/>
      <c r="G71" s="183" t="s">
        <v>94</v>
      </c>
      <c r="H71" s="188" t="n">
        <v>160</v>
      </c>
      <c r="I71" s="145"/>
      <c r="J71" s="145"/>
      <c r="K71" s="146"/>
      <c r="L71" s="135"/>
      <c r="M71" s="183" t="s">
        <v>94</v>
      </c>
      <c r="N71" s="188" t="n">
        <v>160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6" t="s">
        <v>95</v>
      </c>
      <c r="B72" s="189" t="n">
        <v>5</v>
      </c>
      <c r="C72" s="145"/>
      <c r="D72" s="145"/>
      <c r="E72" s="146"/>
      <c r="F72" s="135"/>
      <c r="G72" s="136" t="s">
        <v>95</v>
      </c>
      <c r="H72" s="189" t="n">
        <v>4.5</v>
      </c>
      <c r="I72" s="145"/>
      <c r="J72" s="145"/>
      <c r="K72" s="146"/>
      <c r="L72" s="135"/>
      <c r="M72" s="136" t="s">
        <v>95</v>
      </c>
      <c r="N72" s="189" t="n">
        <v>4.5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96</v>
      </c>
      <c r="B73" s="185" t="n">
        <f aca="false">B72*H29</f>
        <v>180</v>
      </c>
      <c r="C73" s="145"/>
      <c r="D73" s="144" t="n">
        <f aca="false">B73+B71</f>
        <v>380</v>
      </c>
      <c r="E73" s="146"/>
      <c r="F73" s="135"/>
      <c r="G73" s="177" t="s">
        <v>96</v>
      </c>
      <c r="H73" s="185" t="n">
        <f aca="false">H72*H29</f>
        <v>162</v>
      </c>
      <c r="I73" s="145"/>
      <c r="J73" s="144" t="n">
        <f aca="false">H73+H71</f>
        <v>322</v>
      </c>
      <c r="K73" s="146"/>
      <c r="L73" s="135"/>
      <c r="M73" s="177" t="s">
        <v>96</v>
      </c>
      <c r="N73" s="185" t="n">
        <f aca="false">N72*H29</f>
        <v>162</v>
      </c>
      <c r="O73" s="145"/>
      <c r="P73" s="144" t="n">
        <f aca="false">N73+N71</f>
        <v>322</v>
      </c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91" t="s">
        <v>97</v>
      </c>
      <c r="B74" s="192" t="n">
        <v>0</v>
      </c>
      <c r="C74" s="145"/>
      <c r="D74" s="145"/>
      <c r="E74" s="146"/>
      <c r="F74" s="135"/>
      <c r="G74" s="183" t="s">
        <v>97</v>
      </c>
      <c r="H74" s="188" t="n">
        <v>165</v>
      </c>
      <c r="I74" s="145"/>
      <c r="J74" s="145"/>
      <c r="K74" s="146"/>
      <c r="L74" s="135"/>
      <c r="M74" s="191" t="s">
        <v>97</v>
      </c>
      <c r="N74" s="192" t="n">
        <v>0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93" t="s">
        <v>98</v>
      </c>
      <c r="B75" s="194" t="n">
        <v>0</v>
      </c>
      <c r="C75" s="145"/>
      <c r="D75" s="145"/>
      <c r="E75" s="146"/>
      <c r="F75" s="135"/>
      <c r="G75" s="136" t="s">
        <v>98</v>
      </c>
      <c r="H75" s="189" t="n">
        <v>0</v>
      </c>
      <c r="I75" s="145"/>
      <c r="J75" s="145"/>
      <c r="K75" s="146"/>
      <c r="L75" s="135"/>
      <c r="M75" s="193" t="s">
        <v>98</v>
      </c>
      <c r="N75" s="194" t="n">
        <v>0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95" t="s">
        <v>99</v>
      </c>
      <c r="B76" s="196" t="n">
        <f aca="false">((B74+B75)/12)*(H29-11)</f>
        <v>0</v>
      </c>
      <c r="C76" s="145"/>
      <c r="D76" s="144" t="n">
        <f aca="false">B76</f>
        <v>0</v>
      </c>
      <c r="E76" s="146"/>
      <c r="F76" s="135"/>
      <c r="G76" s="177" t="s">
        <v>99</v>
      </c>
      <c r="H76" s="185" t="n">
        <f aca="false">((H74+H75)/12)*(H29-11)</f>
        <v>343.75</v>
      </c>
      <c r="I76" s="145"/>
      <c r="J76" s="144" t="n">
        <f aca="false">H76</f>
        <v>343.75</v>
      </c>
      <c r="K76" s="146"/>
      <c r="L76" s="135"/>
      <c r="M76" s="195" t="s">
        <v>99</v>
      </c>
      <c r="N76" s="196" t="n">
        <f aca="false">((N74+N75)/12)*(H29-11)</f>
        <v>0</v>
      </c>
      <c r="O76" s="145"/>
      <c r="P76" s="144" t="n">
        <f aca="false">N76</f>
        <v>0</v>
      </c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100</v>
      </c>
      <c r="B77" s="203" t="n">
        <f aca="false">B102*1.1</f>
        <v>0</v>
      </c>
      <c r="C77" s="145"/>
      <c r="D77" s="144" t="n">
        <f aca="false">B77</f>
        <v>0</v>
      </c>
      <c r="E77" s="146"/>
      <c r="F77" s="135"/>
      <c r="G77" s="183" t="s">
        <v>100</v>
      </c>
      <c r="H77" s="188" t="n">
        <v>0</v>
      </c>
      <c r="I77" s="145"/>
      <c r="J77" s="144" t="n">
        <f aca="false">H77</f>
        <v>0</v>
      </c>
      <c r="K77" s="146"/>
      <c r="L77" s="135"/>
      <c r="M77" s="183" t="s">
        <v>100</v>
      </c>
      <c r="N77" s="188" t="n">
        <v>0</v>
      </c>
      <c r="O77" s="145"/>
      <c r="P77" s="144" t="n">
        <f aca="false">N77</f>
        <v>0</v>
      </c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8" t="s">
        <v>102</v>
      </c>
      <c r="B78" s="143" t="n">
        <v>0</v>
      </c>
      <c r="C78" s="145"/>
      <c r="D78" s="144" t="n">
        <f aca="false">B78</f>
        <v>0</v>
      </c>
      <c r="E78" s="146"/>
      <c r="F78" s="135"/>
      <c r="G78" s="138" t="s">
        <v>102</v>
      </c>
      <c r="H78" s="143" t="n">
        <v>0</v>
      </c>
      <c r="I78" s="145"/>
      <c r="J78" s="144" t="n">
        <f aca="false">H78</f>
        <v>0</v>
      </c>
      <c r="K78" s="146"/>
      <c r="L78" s="135"/>
      <c r="M78" s="138" t="s">
        <v>102</v>
      </c>
      <c r="N78" s="143" t="n">
        <v>0</v>
      </c>
      <c r="O78" s="145"/>
      <c r="P78" s="144" t="n">
        <f aca="false">N78</f>
        <v>0</v>
      </c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36" t="s">
        <v>103</v>
      </c>
      <c r="B79" s="189" t="n">
        <v>200</v>
      </c>
      <c r="C79" s="145"/>
      <c r="D79" s="144" t="n">
        <f aca="false">B79</f>
        <v>200</v>
      </c>
      <c r="E79" s="146"/>
      <c r="F79" s="135"/>
      <c r="G79" s="136" t="s">
        <v>103</v>
      </c>
      <c r="H79" s="189" t="n">
        <v>200</v>
      </c>
      <c r="I79" s="145"/>
      <c r="J79" s="144" t="n">
        <f aca="false">H79</f>
        <v>200</v>
      </c>
      <c r="K79" s="146"/>
      <c r="L79" s="135"/>
      <c r="M79" s="136" t="s">
        <v>103</v>
      </c>
      <c r="N79" s="189" t="n">
        <v>200</v>
      </c>
      <c r="O79" s="145"/>
      <c r="P79" s="144" t="n">
        <f aca="false">N79</f>
        <v>200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97" t="s">
        <v>104</v>
      </c>
      <c r="B80" s="198" t="n">
        <v>200</v>
      </c>
      <c r="C80" s="145"/>
      <c r="D80" s="144" t="n">
        <f aca="false">B80</f>
        <v>200</v>
      </c>
      <c r="E80" s="146"/>
      <c r="F80" s="135"/>
      <c r="G80" s="197" t="s">
        <v>104</v>
      </c>
      <c r="H80" s="198" t="n">
        <v>200</v>
      </c>
      <c r="I80" s="145"/>
      <c r="J80" s="144" t="n">
        <f aca="false">H80</f>
        <v>200</v>
      </c>
      <c r="K80" s="146"/>
      <c r="L80" s="135"/>
      <c r="M80" s="197" t="s">
        <v>104</v>
      </c>
      <c r="N80" s="198" t="n">
        <v>200</v>
      </c>
      <c r="O80" s="145"/>
      <c r="P80" s="144" t="n">
        <f aca="false">N80</f>
        <v>200</v>
      </c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99" t="s">
        <v>105</v>
      </c>
      <c r="B81" s="200" t="n">
        <f aca="false">SUM(D64:D80)</f>
        <v>6857.925</v>
      </c>
      <c r="C81" s="145"/>
      <c r="D81" s="145"/>
      <c r="E81" s="146"/>
      <c r="F81" s="135"/>
      <c r="G81" s="199" t="s">
        <v>105</v>
      </c>
      <c r="H81" s="200" t="n">
        <f aca="false">SUM(J64:J80)</f>
        <v>7143.675</v>
      </c>
      <c r="I81" s="145"/>
      <c r="J81" s="145"/>
      <c r="K81" s="146"/>
      <c r="L81" s="135"/>
      <c r="M81" s="199" t="s">
        <v>105</v>
      </c>
      <c r="N81" s="200" t="n">
        <f aca="false">SUM(P64:P80)</f>
        <v>6799.925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38" t="s">
        <v>106</v>
      </c>
      <c r="B82" s="143" t="n">
        <f aca="false">B81/H29</f>
        <v>190.497916666667</v>
      </c>
      <c r="C82" s="145"/>
      <c r="D82" s="145"/>
      <c r="E82" s="146"/>
      <c r="F82" s="135"/>
      <c r="G82" s="138" t="s">
        <v>106</v>
      </c>
      <c r="H82" s="143" t="n">
        <f aca="false">H81/H29</f>
        <v>198.435416666667</v>
      </c>
      <c r="I82" s="145"/>
      <c r="J82" s="145"/>
      <c r="K82" s="146"/>
      <c r="L82" s="135"/>
      <c r="M82" s="138" t="s">
        <v>106</v>
      </c>
      <c r="N82" s="143" t="n">
        <f aca="false">N81/H29</f>
        <v>188.886805555556</v>
      </c>
      <c r="O82" s="145"/>
      <c r="P82" s="145"/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201" t="s">
        <v>107</v>
      </c>
      <c r="B83" s="202" t="n">
        <f aca="false">H47</f>
        <v>922.920864561026</v>
      </c>
      <c r="C83" s="145"/>
      <c r="D83" s="145"/>
      <c r="E83" s="146"/>
      <c r="F83" s="135"/>
      <c r="G83" s="201" t="s">
        <v>107</v>
      </c>
      <c r="H83" s="202" t="n">
        <f aca="false">H47</f>
        <v>922.920864561026</v>
      </c>
      <c r="I83" s="145"/>
      <c r="J83" s="145"/>
      <c r="K83" s="146"/>
      <c r="L83" s="135"/>
      <c r="M83" s="201" t="s">
        <v>107</v>
      </c>
      <c r="N83" s="202" t="n">
        <f aca="false">H47</f>
        <v>922.920864561026</v>
      </c>
      <c r="O83" s="145"/>
      <c r="P83" s="145"/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/>
      <c r="B84" s="144"/>
      <c r="C84" s="145"/>
      <c r="D84" s="145"/>
      <c r="E84" s="146"/>
      <c r="F84" s="135"/>
      <c r="G84" s="138"/>
      <c r="H84" s="144"/>
      <c r="I84" s="145"/>
      <c r="J84" s="145"/>
      <c r="K84" s="146"/>
      <c r="L84" s="135"/>
      <c r="M84" s="138"/>
      <c r="N84" s="144"/>
      <c r="O84" s="145"/>
      <c r="P84" s="145"/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80" t="s">
        <v>108</v>
      </c>
      <c r="B85" s="203" t="n">
        <f aca="false">((B83*H29)+B81)</f>
        <v>40083.0761241969</v>
      </c>
      <c r="C85" s="145"/>
      <c r="D85" s="145"/>
      <c r="E85" s="146"/>
      <c r="F85" s="135"/>
      <c r="G85" s="180" t="s">
        <v>108</v>
      </c>
      <c r="H85" s="203" t="n">
        <f aca="false">((H83*H29)+H81)*1.2</f>
        <v>48442.5913490363</v>
      </c>
      <c r="I85" s="145"/>
      <c r="J85" s="145"/>
      <c r="K85" s="146"/>
      <c r="L85" s="135"/>
      <c r="M85" s="180" t="s">
        <v>108</v>
      </c>
      <c r="N85" s="203" t="n">
        <f aca="false">((N83*H29)+N81)</f>
        <v>40025.0761241969</v>
      </c>
      <c r="O85" s="145"/>
      <c r="P85" s="145"/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38" t="s">
        <v>109</v>
      </c>
      <c r="B86" s="143" t="n">
        <f aca="false">(B85/(1-B70))*B70</f>
        <v>339.550059946807</v>
      </c>
      <c r="C86" s="145"/>
      <c r="D86" s="145"/>
      <c r="E86" s="146"/>
      <c r="F86" s="135"/>
      <c r="G86" s="138" t="s">
        <v>109</v>
      </c>
      <c r="H86" s="143" t="n">
        <f aca="false">((((H83*H29)+H81))/(1-H70))*H70</f>
        <v>341.970693266694</v>
      </c>
      <c r="I86" s="145"/>
      <c r="J86" s="145"/>
      <c r="K86" s="146"/>
      <c r="L86" s="135"/>
      <c r="M86" s="138" t="s">
        <v>109</v>
      </c>
      <c r="N86" s="143" t="n">
        <f aca="false">(N85/(1-N70))*N70</f>
        <v>339.058732798764</v>
      </c>
      <c r="O86" s="145"/>
      <c r="P86" s="145"/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77" t="s">
        <v>110</v>
      </c>
      <c r="B87" s="185" t="n">
        <f aca="false">IF(B110="YES",((B85+B86)-E114),(B85+B86))</f>
        <v>40422.6261841437</v>
      </c>
      <c r="C87" s="145"/>
      <c r="D87" s="145"/>
      <c r="E87" s="146"/>
      <c r="F87" s="135"/>
      <c r="G87" s="177" t="s">
        <v>110</v>
      </c>
      <c r="H87" s="185" t="n">
        <f aca="false">IF(H110="YES",((H85+H86)-K114),(H85+H86))</f>
        <v>48784.562042303</v>
      </c>
      <c r="I87" s="145"/>
      <c r="J87" s="145"/>
      <c r="K87" s="146"/>
      <c r="L87" s="135"/>
      <c r="M87" s="177" t="s">
        <v>110</v>
      </c>
      <c r="N87" s="185" t="n">
        <f aca="false">IF(N110="YES",((N85+N86)-Q114),(N85+N86))</f>
        <v>40364.1348569957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/>
      <c r="B88" s="144"/>
      <c r="C88" s="145"/>
      <c r="D88" s="145"/>
      <c r="E88" s="146"/>
      <c r="F88" s="135"/>
      <c r="G88" s="138"/>
      <c r="H88" s="144"/>
      <c r="I88" s="145"/>
      <c r="J88" s="145"/>
      <c r="K88" s="146"/>
      <c r="L88" s="135"/>
      <c r="M88" s="138"/>
      <c r="N88" s="144"/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199" t="s">
        <v>65</v>
      </c>
      <c r="B89" s="200" t="n">
        <f aca="false">IF(B99=Y98, (D40+(D40*B105))/(B58), (D40+(D40*B105))/(B57+B58))</f>
        <v>34.3333333333333</v>
      </c>
      <c r="C89" s="145"/>
      <c r="D89" s="145"/>
      <c r="E89" s="146"/>
      <c r="F89" s="135"/>
      <c r="G89" s="199" t="s">
        <v>65</v>
      </c>
      <c r="H89" s="200" t="n">
        <f aca="false">IF(H99=Y98, (D40+(D40*H105))/(H58), (D40+(D40*H105))/(H57+H58))*1.2</f>
        <v>36.1756097560976</v>
      </c>
      <c r="I89" s="145"/>
      <c r="J89" s="145"/>
      <c r="K89" s="146"/>
      <c r="L89" s="135"/>
      <c r="M89" s="199" t="s">
        <v>65</v>
      </c>
      <c r="N89" s="200" t="n">
        <f aca="false">IF(N99=Y98, (D40+(D40*N105))/(N58), (D40+(D40*N105))/(N57+N58))</f>
        <v>30.1463414634146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205" t="s">
        <v>111</v>
      </c>
      <c r="B90" s="206" t="n">
        <f aca="false">IF(B99=Y98, (B87-D105)/(B58), B87/(B57+B58))</f>
        <v>1122.85072733733</v>
      </c>
      <c r="C90" s="145"/>
      <c r="D90" s="145"/>
      <c r="E90" s="146"/>
      <c r="F90" s="135"/>
      <c r="G90" s="205" t="s">
        <v>111</v>
      </c>
      <c r="H90" s="206" t="n">
        <f aca="false">IF(H99=Y98, (H87-J105)/(H58), H87/(H57+H58))</f>
        <v>1189.86736688544</v>
      </c>
      <c r="I90" s="145"/>
      <c r="J90" s="145"/>
      <c r="K90" s="146"/>
      <c r="L90" s="135"/>
      <c r="M90" s="205" t="s">
        <v>111</v>
      </c>
      <c r="N90" s="206" t="n">
        <f aca="false">IF(N99=Y98, (N87-P105)/(N58), N87/(N57+N58))</f>
        <v>984.491094073066</v>
      </c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207" t="s">
        <v>112</v>
      </c>
      <c r="B91" s="208" t="n">
        <f aca="false">IF(A105="YES", B90+B89, B90)</f>
        <v>1157.18406067066</v>
      </c>
      <c r="C91" s="145"/>
      <c r="D91" s="145"/>
      <c r="E91" s="146"/>
      <c r="F91" s="135"/>
      <c r="G91" s="207" t="s">
        <v>112</v>
      </c>
      <c r="H91" s="208" t="n">
        <f aca="false">IF(G105="YES", H90+H89, H90)</f>
        <v>1226.04297664154</v>
      </c>
      <c r="I91" s="145"/>
      <c r="J91" s="145"/>
      <c r="K91" s="146"/>
      <c r="L91" s="135"/>
      <c r="M91" s="207" t="s">
        <v>112</v>
      </c>
      <c r="N91" s="208" t="n">
        <f aca="false">IF(M105="YES", N90+N89, N90)</f>
        <v>1014.63743553648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77"/>
      <c r="B92" s="178"/>
      <c r="C92" s="178"/>
      <c r="D92" s="178"/>
      <c r="E92" s="179"/>
      <c r="F92" s="135"/>
      <c r="G92" s="177"/>
      <c r="H92" s="178"/>
      <c r="I92" s="178"/>
      <c r="J92" s="178"/>
      <c r="K92" s="179"/>
      <c r="L92" s="135"/>
      <c r="M92" s="177"/>
      <c r="N92" s="178"/>
      <c r="O92" s="178"/>
      <c r="P92" s="178"/>
      <c r="Q92" s="179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45"/>
      <c r="B93" s="145"/>
      <c r="C93" s="145"/>
      <c r="D93" s="145"/>
      <c r="E93" s="145"/>
      <c r="F93" s="135"/>
      <c r="G93" s="145"/>
      <c r="H93" s="145"/>
      <c r="I93" s="145"/>
      <c r="J93" s="145"/>
      <c r="K93" s="145"/>
      <c r="L93" s="135"/>
      <c r="M93" s="145"/>
      <c r="N93" s="145"/>
      <c r="O93" s="145"/>
      <c r="P93" s="145"/>
      <c r="Q93" s="145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56.25" hidden="false" customHeight="true" outlineLevel="0" collapsed="false">
      <c r="A94" s="27" t="s">
        <v>115</v>
      </c>
      <c r="B94" s="27"/>
      <c r="C94" s="27"/>
      <c r="D94" s="27"/>
      <c r="E94" s="27"/>
      <c r="F94" s="135"/>
      <c r="G94" s="27" t="s">
        <v>114</v>
      </c>
      <c r="H94" s="27"/>
      <c r="I94" s="27"/>
      <c r="J94" s="27"/>
      <c r="K94" s="27"/>
      <c r="L94" s="135"/>
      <c r="M94" s="27" t="s">
        <v>115</v>
      </c>
      <c r="N94" s="27"/>
      <c r="O94" s="27"/>
      <c r="P94" s="27"/>
      <c r="Q94" s="27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38"/>
      <c r="B95" s="145"/>
      <c r="C95" s="145"/>
      <c r="D95" s="145"/>
      <c r="E95" s="146"/>
      <c r="F95" s="135"/>
      <c r="G95" s="138"/>
      <c r="H95" s="145"/>
      <c r="I95" s="145"/>
      <c r="J95" s="145"/>
      <c r="K95" s="146"/>
      <c r="L95" s="135"/>
      <c r="M95" s="138"/>
      <c r="N95" s="145"/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5"/>
      <c r="G96" s="29" t="s">
        <v>116</v>
      </c>
      <c r="H96" s="29"/>
      <c r="I96" s="29"/>
      <c r="J96" s="29"/>
      <c r="K96" s="29"/>
      <c r="L96" s="135"/>
      <c r="M96" s="29" t="s">
        <v>116</v>
      </c>
      <c r="N96" s="29"/>
      <c r="O96" s="29"/>
      <c r="P96" s="29"/>
      <c r="Q96" s="29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138"/>
      <c r="B97" s="145"/>
      <c r="C97" s="145"/>
      <c r="D97" s="145"/>
      <c r="E97" s="146"/>
      <c r="F97" s="135"/>
      <c r="G97" s="138"/>
      <c r="H97" s="145"/>
      <c r="I97" s="145"/>
      <c r="J97" s="145"/>
      <c r="K97" s="146"/>
      <c r="L97" s="135"/>
      <c r="M97" s="138"/>
      <c r="N97" s="145"/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 t="s">
        <v>117</v>
      </c>
      <c r="Z97" s="135"/>
      <c r="AC97" s="2"/>
    </row>
    <row r="98" customFormat="false" ht="18.75" hidden="false" customHeight="true" outlineLevel="0" collapsed="false">
      <c r="A98" s="138" t="s">
        <v>118</v>
      </c>
      <c r="B98" s="145" t="s">
        <v>30</v>
      </c>
      <c r="C98" s="145"/>
      <c r="D98" s="145" t="s">
        <v>119</v>
      </c>
      <c r="E98" s="146"/>
      <c r="F98" s="135"/>
      <c r="G98" s="138" t="s">
        <v>118</v>
      </c>
      <c r="H98" s="145" t="s">
        <v>30</v>
      </c>
      <c r="I98" s="145"/>
      <c r="J98" s="145" t="s">
        <v>119</v>
      </c>
      <c r="K98" s="146"/>
      <c r="L98" s="135"/>
      <c r="M98" s="138" t="s">
        <v>118</v>
      </c>
      <c r="N98" s="145" t="s">
        <v>30</v>
      </c>
      <c r="O98" s="145"/>
      <c r="P98" s="145" t="s">
        <v>119</v>
      </c>
      <c r="Q98" s="146"/>
      <c r="R98" s="135"/>
      <c r="S98" s="135"/>
      <c r="T98" s="135"/>
      <c r="U98" s="135"/>
      <c r="V98" s="135"/>
      <c r="W98" s="135"/>
      <c r="X98" s="135"/>
      <c r="Y98" s="135" t="s">
        <v>120</v>
      </c>
      <c r="Z98" s="135"/>
    </row>
    <row r="99" customFormat="false" ht="18.75" hidden="false" customHeight="true" outlineLevel="0" collapsed="false">
      <c r="A99" s="154" t="s">
        <v>121</v>
      </c>
      <c r="B99" s="109" t="s">
        <v>190</v>
      </c>
      <c r="C99" s="109"/>
      <c r="D99" s="112" t="n">
        <v>1000</v>
      </c>
      <c r="E99" s="112"/>
      <c r="F99" s="135"/>
      <c r="G99" s="154" t="s">
        <v>121</v>
      </c>
      <c r="H99" s="109" t="s">
        <v>125</v>
      </c>
      <c r="I99" s="109"/>
      <c r="J99" s="112" t="n">
        <v>0</v>
      </c>
      <c r="K99" s="112"/>
      <c r="L99" s="135"/>
      <c r="M99" s="154" t="s">
        <v>121</v>
      </c>
      <c r="N99" s="109" t="s">
        <v>125</v>
      </c>
      <c r="O99" s="109"/>
      <c r="P99" s="112" t="n">
        <v>0</v>
      </c>
      <c r="Q99" s="112"/>
      <c r="R99" s="135"/>
      <c r="S99" s="135"/>
      <c r="T99" s="135"/>
      <c r="U99" s="135"/>
      <c r="V99" s="135"/>
      <c r="W99" s="135"/>
      <c r="X99" s="135"/>
      <c r="Y99" s="135" t="s">
        <v>124</v>
      </c>
      <c r="Z99" s="135"/>
    </row>
    <row r="100" customFormat="false" ht="18.75" hidden="false" customHeight="true" outlineLevel="0" collapsed="false">
      <c r="A100" s="138"/>
      <c r="B100" s="145"/>
      <c r="C100" s="145"/>
      <c r="D100" s="145"/>
      <c r="E100" s="146"/>
      <c r="F100" s="135"/>
      <c r="G100" s="138"/>
      <c r="H100" s="145"/>
      <c r="I100" s="145"/>
      <c r="J100" s="145"/>
      <c r="K100" s="146"/>
      <c r="L100" s="135"/>
      <c r="M100" s="138"/>
      <c r="N100" s="145"/>
      <c r="O100" s="145"/>
      <c r="P100" s="145"/>
      <c r="Q100" s="146"/>
      <c r="R100" s="135"/>
      <c r="S100" s="135"/>
      <c r="T100" s="135"/>
      <c r="U100" s="135"/>
      <c r="V100" s="135"/>
      <c r="W100" s="135"/>
      <c r="X100" s="135"/>
      <c r="Y100" s="135" t="s">
        <v>125</v>
      </c>
      <c r="Z100" s="135"/>
    </row>
    <row r="101" customFormat="false" ht="18.75" hidden="false" customHeight="true" outlineLevel="0" collapsed="false">
      <c r="A101" s="138" t="s">
        <v>126</v>
      </c>
      <c r="B101" s="145" t="s">
        <v>127</v>
      </c>
      <c r="C101" s="145"/>
      <c r="D101" s="145" t="s">
        <v>128</v>
      </c>
      <c r="E101" s="146"/>
      <c r="F101" s="135"/>
      <c r="G101" s="138" t="s">
        <v>126</v>
      </c>
      <c r="H101" s="145" t="s">
        <v>127</v>
      </c>
      <c r="I101" s="145"/>
      <c r="J101" s="145" t="s">
        <v>128</v>
      </c>
      <c r="K101" s="146"/>
      <c r="L101" s="135"/>
      <c r="M101" s="138" t="s">
        <v>126</v>
      </c>
      <c r="N101" s="145" t="s">
        <v>127</v>
      </c>
      <c r="O101" s="145"/>
      <c r="P101" s="145" t="s">
        <v>128</v>
      </c>
      <c r="Q101" s="146"/>
      <c r="R101" s="135"/>
      <c r="S101" s="135"/>
      <c r="T101" s="135"/>
      <c r="U101" s="135"/>
      <c r="V101" s="135"/>
      <c r="W101" s="135"/>
      <c r="X101" s="135"/>
      <c r="Y101" s="135" t="s">
        <v>129</v>
      </c>
      <c r="Z101" s="135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5"/>
      <c r="G102" s="111" t="n">
        <v>199.99</v>
      </c>
      <c r="H102" s="112" t="n">
        <v>0</v>
      </c>
      <c r="I102" s="112"/>
      <c r="J102" s="112" t="n">
        <v>0</v>
      </c>
      <c r="K102" s="112"/>
      <c r="L102" s="135"/>
      <c r="M102" s="111" t="n">
        <v>199.99</v>
      </c>
      <c r="N102" s="112" t="n">
        <v>0</v>
      </c>
      <c r="O102" s="112"/>
      <c r="P102" s="112" t="n">
        <v>0</v>
      </c>
      <c r="Q102" s="112"/>
      <c r="R102" s="135"/>
      <c r="S102" s="135"/>
      <c r="T102" s="135"/>
      <c r="U102" s="135"/>
      <c r="V102" s="135"/>
      <c r="W102" s="135"/>
      <c r="X102" s="135"/>
      <c r="Y102" s="135" t="s">
        <v>123</v>
      </c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 t="s">
        <v>122</v>
      </c>
      <c r="Z103" s="135"/>
    </row>
    <row r="104" customFormat="false" ht="18.75" hidden="false" customHeight="true" outlineLevel="0" collapsed="false">
      <c r="A104" s="154" t="s">
        <v>130</v>
      </c>
      <c r="B104" s="135" t="s">
        <v>131</v>
      </c>
      <c r="C104" s="145"/>
      <c r="D104" s="145" t="s">
        <v>132</v>
      </c>
      <c r="E104" s="146"/>
      <c r="F104" s="135"/>
      <c r="G104" s="154" t="s">
        <v>130</v>
      </c>
      <c r="H104" s="135" t="s">
        <v>131</v>
      </c>
      <c r="I104" s="145"/>
      <c r="J104" s="145" t="s">
        <v>132</v>
      </c>
      <c r="K104" s="146"/>
      <c r="L104" s="135"/>
      <c r="M104" s="154" t="s">
        <v>130</v>
      </c>
      <c r="N104" s="135" t="s">
        <v>131</v>
      </c>
      <c r="O104" s="145"/>
      <c r="P104" s="145" t="s">
        <v>132</v>
      </c>
      <c r="Q104" s="146"/>
      <c r="R104" s="135"/>
      <c r="S104" s="135"/>
      <c r="T104" s="135"/>
      <c r="U104" s="135"/>
      <c r="V104" s="135"/>
      <c r="W104" s="135"/>
      <c r="X104" s="135"/>
      <c r="Y104" s="135" t="s">
        <v>133</v>
      </c>
      <c r="Z104" s="135"/>
    </row>
    <row r="105" customFormat="false" ht="18.75" hidden="false" customHeight="true" outlineLevel="0" collapsed="false">
      <c r="A105" s="156" t="s">
        <v>25</v>
      </c>
      <c r="B105" s="113" t="n">
        <v>0.2</v>
      </c>
      <c r="C105" s="113"/>
      <c r="D105" s="112" t="s">
        <v>191</v>
      </c>
      <c r="E105" s="112"/>
      <c r="F105" s="135"/>
      <c r="G105" s="156" t="s">
        <v>25</v>
      </c>
      <c r="H105" s="113" t="n">
        <v>0.2</v>
      </c>
      <c r="I105" s="113"/>
      <c r="J105" s="112"/>
      <c r="K105" s="112"/>
      <c r="L105" s="135"/>
      <c r="M105" s="156" t="s">
        <v>25</v>
      </c>
      <c r="N105" s="113" t="n">
        <v>0.2</v>
      </c>
      <c r="O105" s="113"/>
      <c r="P105" s="112" t="n">
        <v>0</v>
      </c>
      <c r="Q105" s="112"/>
      <c r="R105" s="135"/>
      <c r="S105" s="135"/>
      <c r="T105" s="135"/>
      <c r="U105" s="135"/>
      <c r="V105" s="135"/>
      <c r="W105" s="135"/>
      <c r="X105" s="135"/>
      <c r="Y105" s="135" t="s">
        <v>134</v>
      </c>
      <c r="Z105" s="135"/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customFormat="false" ht="18.75" hidden="false" customHeight="true" outlineLevel="0" collapsed="false">
      <c r="A107" s="138"/>
      <c r="B107" s="145" t="s">
        <v>135</v>
      </c>
      <c r="C107" s="156" t="s">
        <v>25</v>
      </c>
      <c r="D107" s="145"/>
      <c r="E107" s="146"/>
      <c r="F107" s="135"/>
      <c r="G107" s="138"/>
      <c r="H107" s="145"/>
      <c r="I107" s="145"/>
      <c r="J107" s="145"/>
      <c r="K107" s="146"/>
      <c r="L107" s="135"/>
      <c r="M107" s="138"/>
      <c r="N107" s="145" t="s">
        <v>135</v>
      </c>
      <c r="O107" s="156" t="s">
        <v>25</v>
      </c>
      <c r="P107" s="145"/>
      <c r="Q107" s="146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customFormat="false" ht="18.75" hidden="false" customHeight="true" outlineLevel="0" collapsed="false">
      <c r="A108" s="29" t="s">
        <v>136</v>
      </c>
      <c r="B108" s="29"/>
      <c r="C108" s="29"/>
      <c r="D108" s="29"/>
      <c r="E108" s="29"/>
      <c r="F108" s="135"/>
      <c r="G108" s="29" t="s">
        <v>136</v>
      </c>
      <c r="H108" s="29"/>
      <c r="I108" s="29"/>
      <c r="J108" s="29"/>
      <c r="K108" s="29"/>
      <c r="L108" s="135"/>
      <c r="M108" s="29" t="s">
        <v>136</v>
      </c>
      <c r="N108" s="29"/>
      <c r="O108" s="29"/>
      <c r="P108" s="29"/>
      <c r="Q108" s="29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customFormat="false" ht="18.75" hidden="false" customHeight="true" outlineLevel="0" collapsed="false">
      <c r="A110" s="138" t="s">
        <v>137</v>
      </c>
      <c r="B110" s="156" t="s">
        <v>26</v>
      </c>
      <c r="C110" s="145"/>
      <c r="D110" s="145"/>
      <c r="E110" s="146"/>
      <c r="F110" s="135"/>
      <c r="G110" s="138" t="s">
        <v>137</v>
      </c>
      <c r="H110" s="156" t="s">
        <v>26</v>
      </c>
      <c r="I110" s="145"/>
      <c r="J110" s="145"/>
      <c r="K110" s="146"/>
      <c r="L110" s="135"/>
      <c r="M110" s="138" t="s">
        <v>137</v>
      </c>
      <c r="N110" s="156" t="s">
        <v>26</v>
      </c>
      <c r="O110" s="145"/>
      <c r="P110" s="145"/>
      <c r="Q110" s="146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customFormat="false" ht="18.75" hidden="false" customHeight="true" outlineLevel="0" collapsed="false">
      <c r="A111" s="138"/>
      <c r="B111" s="145"/>
      <c r="C111" s="145"/>
      <c r="D111" s="145"/>
      <c r="E111" s="146"/>
      <c r="F111" s="135"/>
      <c r="G111" s="138"/>
      <c r="H111" s="145"/>
      <c r="I111" s="145"/>
      <c r="J111" s="145"/>
      <c r="K111" s="146"/>
      <c r="L111" s="135"/>
      <c r="M111" s="138"/>
      <c r="N111" s="145"/>
      <c r="O111" s="145"/>
      <c r="P111" s="145"/>
      <c r="Q111" s="146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customFormat="false" ht="18.75" hidden="false" customHeight="true" outlineLevel="0" collapsed="false">
      <c r="A112" s="138" t="s">
        <v>138</v>
      </c>
      <c r="B112" s="145"/>
      <c r="C112" s="145"/>
      <c r="D112" s="111" t="n">
        <v>500</v>
      </c>
      <c r="E112" s="112" t="n">
        <v>300</v>
      </c>
      <c r="F112" s="135"/>
      <c r="G112" s="138" t="s">
        <v>138</v>
      </c>
      <c r="H112" s="145"/>
      <c r="I112" s="145"/>
      <c r="J112" s="111" t="n">
        <v>0</v>
      </c>
      <c r="K112" s="112" t="n">
        <v>0</v>
      </c>
      <c r="L112" s="135"/>
      <c r="M112" s="138" t="s">
        <v>138</v>
      </c>
      <c r="N112" s="145"/>
      <c r="O112" s="145"/>
      <c r="P112" s="111" t="n">
        <v>500</v>
      </c>
      <c r="Q112" s="112" t="n">
        <v>300</v>
      </c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 t="s">
        <v>139</v>
      </c>
      <c r="B113" s="145"/>
      <c r="C113" s="145"/>
      <c r="D113" s="210" t="n">
        <f aca="false">E113</f>
        <v>100</v>
      </c>
      <c r="E113" s="112" t="n">
        <v>100</v>
      </c>
      <c r="F113" s="135"/>
      <c r="G113" s="138" t="s">
        <v>139</v>
      </c>
      <c r="H113" s="145"/>
      <c r="I113" s="145"/>
      <c r="J113" s="210" t="n">
        <f aca="false">K113</f>
        <v>0</v>
      </c>
      <c r="K113" s="112" t="n">
        <v>0</v>
      </c>
      <c r="L113" s="135"/>
      <c r="M113" s="138" t="s">
        <v>139</v>
      </c>
      <c r="N113" s="145"/>
      <c r="O113" s="145"/>
      <c r="P113" s="210" t="n">
        <f aca="false">Q113</f>
        <v>100</v>
      </c>
      <c r="Q113" s="112" t="n">
        <v>100</v>
      </c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138" t="s">
        <v>140</v>
      </c>
      <c r="B114" s="145"/>
      <c r="C114" s="145"/>
      <c r="D114" s="210" t="n">
        <f aca="false">D112-D113</f>
        <v>400</v>
      </c>
      <c r="E114" s="115" t="n">
        <f aca="false">E112-E113</f>
        <v>200</v>
      </c>
      <c r="F114" s="135"/>
      <c r="G114" s="138" t="s">
        <v>140</v>
      </c>
      <c r="H114" s="145"/>
      <c r="I114" s="145"/>
      <c r="J114" s="210" t="n">
        <f aca="false">J112-J113</f>
        <v>0</v>
      </c>
      <c r="K114" s="115" t="n">
        <f aca="false">K112-K113</f>
        <v>0</v>
      </c>
      <c r="L114" s="135"/>
      <c r="M114" s="138" t="s">
        <v>140</v>
      </c>
      <c r="N114" s="145"/>
      <c r="O114" s="145"/>
      <c r="P114" s="210" t="n">
        <f aca="false">P112-P113</f>
        <v>400</v>
      </c>
      <c r="Q114" s="115" t="n">
        <f aca="false">Q112-Q113</f>
        <v>200</v>
      </c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 t="s">
        <v>141</v>
      </c>
      <c r="B115" s="145"/>
      <c r="C115" s="145"/>
      <c r="D115" s="210" t="n">
        <f aca="false">D114-E114</f>
        <v>200</v>
      </c>
      <c r="E115" s="146"/>
      <c r="F115" s="135"/>
      <c r="G115" s="138" t="s">
        <v>141</v>
      </c>
      <c r="H115" s="145"/>
      <c r="I115" s="145"/>
      <c r="J115" s="210" t="n">
        <f aca="false">J114-K114</f>
        <v>0</v>
      </c>
      <c r="K115" s="146"/>
      <c r="L115" s="135"/>
      <c r="M115" s="138" t="s">
        <v>141</v>
      </c>
      <c r="N115" s="145"/>
      <c r="O115" s="145"/>
      <c r="P115" s="210" t="n">
        <f aca="false">P114-Q114</f>
        <v>200</v>
      </c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/>
      <c r="B116" s="145"/>
      <c r="C116" s="145"/>
      <c r="D116" s="145"/>
      <c r="E116" s="146"/>
      <c r="F116" s="135"/>
      <c r="G116" s="138"/>
      <c r="H116" s="145"/>
      <c r="I116" s="145"/>
      <c r="J116" s="145"/>
      <c r="K116" s="146"/>
      <c r="L116" s="135"/>
      <c r="M116" s="138"/>
      <c r="N116" s="145"/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80" t="s">
        <v>142</v>
      </c>
      <c r="B117" s="181"/>
      <c r="C117" s="181"/>
      <c r="D117" s="181"/>
      <c r="E117" s="203" t="n">
        <f aca="false">D99</f>
        <v>1000</v>
      </c>
      <c r="F117" s="135"/>
      <c r="G117" s="180" t="s">
        <v>142</v>
      </c>
      <c r="H117" s="181"/>
      <c r="I117" s="181"/>
      <c r="J117" s="181"/>
      <c r="K117" s="203" t="n">
        <f aca="false">J99</f>
        <v>0</v>
      </c>
      <c r="L117" s="135"/>
      <c r="M117" s="180" t="s">
        <v>142</v>
      </c>
      <c r="N117" s="181"/>
      <c r="O117" s="181"/>
      <c r="P117" s="181"/>
      <c r="Q117" s="203" t="n">
        <f aca="false">P99</f>
        <v>0</v>
      </c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52</v>
      </c>
      <c r="B118" s="145"/>
      <c r="C118" s="145"/>
      <c r="D118" s="145"/>
      <c r="E118" s="143" t="n">
        <f aca="false">A102</f>
        <v>199.99</v>
      </c>
      <c r="F118" s="135"/>
      <c r="G118" s="138" t="s">
        <v>52</v>
      </c>
      <c r="H118" s="145"/>
      <c r="I118" s="145"/>
      <c r="J118" s="145"/>
      <c r="K118" s="143" t="n">
        <f aca="false">G102</f>
        <v>199.99</v>
      </c>
      <c r="L118" s="135"/>
      <c r="M118" s="138" t="s">
        <v>52</v>
      </c>
      <c r="N118" s="145"/>
      <c r="O118" s="145"/>
      <c r="P118" s="145"/>
      <c r="Q118" s="143" t="n">
        <f aca="false">M102</f>
        <v>199.99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211" t="s">
        <v>143</v>
      </c>
      <c r="B119" s="178"/>
      <c r="C119" s="178"/>
      <c r="D119" s="178"/>
      <c r="E119" s="185" t="n">
        <f aca="false">(E118+E117)-D115</f>
        <v>999.99</v>
      </c>
      <c r="F119" s="135"/>
      <c r="G119" s="211" t="s">
        <v>143</v>
      </c>
      <c r="H119" s="178"/>
      <c r="I119" s="178"/>
      <c r="J119" s="178"/>
      <c r="K119" s="185" t="n">
        <f aca="false">((K118/1.2)+K117)-(J115-K113)</f>
        <v>166.658333333333</v>
      </c>
      <c r="L119" s="135"/>
      <c r="M119" s="211" t="s">
        <v>143</v>
      </c>
      <c r="N119" s="178"/>
      <c r="O119" s="178"/>
      <c r="P119" s="178"/>
      <c r="Q119" s="185" t="n">
        <f aca="false">(Q118+Q117)-P115</f>
        <v>-0.00999999999999091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/>
      <c r="B120" s="145"/>
      <c r="C120" s="145"/>
      <c r="D120" s="145"/>
      <c r="E120" s="146"/>
      <c r="F120" s="135"/>
      <c r="G120" s="138"/>
      <c r="H120" s="145"/>
      <c r="I120" s="145"/>
      <c r="J120" s="145"/>
      <c r="K120" s="146"/>
      <c r="L120" s="135"/>
      <c r="M120" s="138"/>
      <c r="N120" s="145"/>
      <c r="O120" s="145"/>
      <c r="P120" s="145"/>
      <c r="Q120" s="146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/>
      <c r="B121" s="145"/>
      <c r="C121" s="145"/>
      <c r="D121" s="145"/>
      <c r="E121" s="146"/>
      <c r="F121" s="135"/>
      <c r="G121" s="138"/>
      <c r="H121" s="145"/>
      <c r="I121" s="145"/>
      <c r="J121" s="145"/>
      <c r="K121" s="146"/>
      <c r="L121" s="135"/>
      <c r="M121" s="138"/>
      <c r="N121" s="145"/>
      <c r="O121" s="145"/>
      <c r="P121" s="145"/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29" t="s">
        <v>144</v>
      </c>
      <c r="B122" s="29"/>
      <c r="C122" s="29"/>
      <c r="D122" s="29"/>
      <c r="E122" s="29"/>
      <c r="F122" s="135"/>
      <c r="G122" s="29" t="s">
        <v>144</v>
      </c>
      <c r="H122" s="29"/>
      <c r="I122" s="29"/>
      <c r="J122" s="29"/>
      <c r="K122" s="29"/>
      <c r="L122" s="135"/>
      <c r="M122" s="29" t="s">
        <v>144</v>
      </c>
      <c r="N122" s="29"/>
      <c r="O122" s="29"/>
      <c r="P122" s="29"/>
      <c r="Q122" s="29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38"/>
      <c r="B123" s="145"/>
      <c r="C123" s="145"/>
      <c r="D123" s="145"/>
      <c r="E123" s="146"/>
      <c r="F123" s="135"/>
      <c r="G123" s="138"/>
      <c r="H123" s="145"/>
      <c r="I123" s="145"/>
      <c r="J123" s="145"/>
      <c r="K123" s="146"/>
      <c r="L123" s="135"/>
      <c r="M123" s="138"/>
      <c r="N123" s="145"/>
      <c r="O123" s="145"/>
      <c r="P123" s="145"/>
      <c r="Q123" s="146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145</v>
      </c>
      <c r="B124" s="117" t="n">
        <v>0</v>
      </c>
      <c r="C124" s="117"/>
      <c r="D124" s="145"/>
      <c r="E124" s="146"/>
      <c r="F124" s="135"/>
      <c r="G124" s="138" t="s">
        <v>145</v>
      </c>
      <c r="H124" s="117" t="n">
        <v>0</v>
      </c>
      <c r="I124" s="117"/>
      <c r="J124" s="145"/>
      <c r="K124" s="146"/>
      <c r="L124" s="135"/>
      <c r="M124" s="138" t="s">
        <v>145</v>
      </c>
      <c r="N124" s="117" t="n">
        <v>0</v>
      </c>
      <c r="O124" s="117"/>
      <c r="P124" s="145"/>
      <c r="Q124" s="146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138"/>
      <c r="B125" s="145"/>
      <c r="C125" s="145"/>
      <c r="D125" s="145"/>
      <c r="E125" s="146"/>
      <c r="F125" s="135"/>
      <c r="G125" s="138"/>
      <c r="H125" s="145"/>
      <c r="I125" s="145"/>
      <c r="J125" s="145"/>
      <c r="K125" s="146"/>
      <c r="L125" s="135"/>
      <c r="M125" s="138"/>
      <c r="N125" s="145"/>
      <c r="O125" s="145"/>
      <c r="P125" s="145"/>
      <c r="Q125" s="146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212" t="s">
        <v>146</v>
      </c>
      <c r="B126" s="213" t="s">
        <v>147</v>
      </c>
      <c r="C126" s="213"/>
      <c r="D126" s="213" t="s">
        <v>112</v>
      </c>
      <c r="E126" s="146"/>
      <c r="F126" s="135"/>
      <c r="G126" s="212" t="s">
        <v>148</v>
      </c>
      <c r="H126" s="213" t="s">
        <v>149</v>
      </c>
      <c r="I126" s="213"/>
      <c r="J126" s="213" t="s">
        <v>150</v>
      </c>
      <c r="K126" s="146"/>
      <c r="L126" s="135"/>
      <c r="M126" s="212" t="s">
        <v>146</v>
      </c>
      <c r="N126" s="213" t="s">
        <v>147</v>
      </c>
      <c r="O126" s="213"/>
      <c r="P126" s="213" t="s">
        <v>112</v>
      </c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22" t="n">
        <f aca="false">B90</f>
        <v>1122.85072733733</v>
      </c>
      <c r="B127" s="214" t="n">
        <f aca="false">IF(A105="YES", B89*B57, 0)</f>
        <v>309</v>
      </c>
      <c r="C127" s="214"/>
      <c r="D127" s="214" t="n">
        <f aca="false">B91</f>
        <v>1157.18406067066</v>
      </c>
      <c r="E127" s="146"/>
      <c r="F127" s="135"/>
      <c r="G127" s="122" t="n">
        <f aca="false">H90</f>
        <v>1189.86736688544</v>
      </c>
      <c r="H127" s="214" t="n">
        <f aca="false">IF(G105="YES", H89*H57, 0)</f>
        <v>217.053658536585</v>
      </c>
      <c r="I127" s="214"/>
      <c r="J127" s="124" t="n">
        <f aca="false">H91</f>
        <v>1226.04297664154</v>
      </c>
      <c r="K127" s="146"/>
      <c r="L127" s="135"/>
      <c r="M127" s="122" t="n">
        <f aca="false">N90</f>
        <v>984.491094073066</v>
      </c>
      <c r="N127" s="214" t="n">
        <f aca="false">IF(M105="YES", N89*N57, 0)</f>
        <v>180.878048780488</v>
      </c>
      <c r="O127" s="214"/>
      <c r="P127" s="214" t="n">
        <f aca="false">N91</f>
        <v>1014.63743553648</v>
      </c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138"/>
      <c r="B128" s="145"/>
      <c r="C128" s="145"/>
      <c r="D128" s="145"/>
      <c r="E128" s="146"/>
      <c r="F128" s="135"/>
      <c r="G128" s="138"/>
      <c r="H128" s="145"/>
      <c r="I128" s="145"/>
      <c r="J128" s="145"/>
      <c r="K128" s="146"/>
      <c r="L128" s="135"/>
      <c r="M128" s="138"/>
      <c r="N128" s="145"/>
      <c r="O128" s="145"/>
      <c r="P128" s="145"/>
      <c r="Q128" s="146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 t="s">
        <v>81</v>
      </c>
      <c r="B129" s="145" t="s">
        <v>82</v>
      </c>
      <c r="C129" s="145"/>
      <c r="D129" s="145" t="s">
        <v>84</v>
      </c>
      <c r="E129" s="146"/>
      <c r="F129" s="135"/>
      <c r="G129" s="138" t="s">
        <v>81</v>
      </c>
      <c r="H129" s="145" t="s">
        <v>82</v>
      </c>
      <c r="I129" s="145"/>
      <c r="J129" s="145" t="s">
        <v>84</v>
      </c>
      <c r="K129" s="146"/>
      <c r="L129" s="135"/>
      <c r="M129" s="138" t="s">
        <v>81</v>
      </c>
      <c r="N129" s="145" t="s">
        <v>82</v>
      </c>
      <c r="O129" s="145"/>
      <c r="P129" s="145" t="s">
        <v>84</v>
      </c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43" t="n">
        <f aca="false">A155</f>
        <v>36</v>
      </c>
      <c r="B130" s="118" t="n">
        <f aca="false">B151</f>
        <v>0</v>
      </c>
      <c r="C130" s="45"/>
      <c r="D130" s="118" t="n">
        <f aca="false">B58</f>
        <v>27</v>
      </c>
      <c r="E130" s="146"/>
      <c r="F130" s="135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6"/>
      <c r="L130" s="135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151</v>
      </c>
      <c r="B132" s="145" t="s">
        <v>152</v>
      </c>
      <c r="C132" s="145"/>
      <c r="D132" s="145" t="s">
        <v>153</v>
      </c>
      <c r="E132" s="146"/>
      <c r="F132" s="135"/>
      <c r="G132" s="138" t="s">
        <v>154</v>
      </c>
      <c r="H132" s="145" t="s">
        <v>155</v>
      </c>
      <c r="I132" s="145"/>
      <c r="J132" s="145" t="s">
        <v>156</v>
      </c>
      <c r="K132" s="146"/>
      <c r="L132" s="135"/>
      <c r="M132" s="138" t="s">
        <v>151</v>
      </c>
      <c r="N132" s="145" t="s">
        <v>152</v>
      </c>
      <c r="O132" s="145"/>
      <c r="P132" s="145" t="s">
        <v>153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125" t="n">
        <f aca="false">B90*B57</f>
        <v>10105.6565460359</v>
      </c>
      <c r="B133" s="215" t="n">
        <f aca="false">IF(A105="YES", B89*B57, 0)</f>
        <v>309</v>
      </c>
      <c r="C133" s="155"/>
      <c r="D133" s="128" t="n">
        <f aca="false">B91*B57</f>
        <v>10414.6565460359</v>
      </c>
      <c r="E133" s="146"/>
      <c r="F133" s="135"/>
      <c r="G133" s="125" t="n">
        <f aca="false">H90*H57</f>
        <v>7139.20420131264</v>
      </c>
      <c r="H133" s="215" t="n">
        <f aca="false">IF(G105="YES", H89*H57, 0)</f>
        <v>217.053658536585</v>
      </c>
      <c r="I133" s="155"/>
      <c r="J133" s="128" t="n">
        <f aca="false">H91*H57</f>
        <v>7356.25785984922</v>
      </c>
      <c r="K133" s="146"/>
      <c r="L133" s="135"/>
      <c r="M133" s="125" t="n">
        <f aca="false">N90*N57</f>
        <v>5906.94656443839</v>
      </c>
      <c r="N133" s="215" t="n">
        <f aca="false">IF(M105="YES", N89*N57, 0)</f>
        <v>180.878048780488</v>
      </c>
      <c r="O133" s="155"/>
      <c r="P133" s="128" t="n">
        <f aca="false">N91*N57</f>
        <v>6087.82461321888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138" t="s">
        <v>157</v>
      </c>
      <c r="B135" s="145" t="s">
        <v>158</v>
      </c>
      <c r="C135" s="145"/>
      <c r="D135" s="145" t="s">
        <v>159</v>
      </c>
      <c r="E135" s="146"/>
      <c r="F135" s="135"/>
      <c r="G135" s="138" t="s">
        <v>160</v>
      </c>
      <c r="H135" s="145" t="s">
        <v>161</v>
      </c>
      <c r="I135" s="145"/>
      <c r="J135" s="145" t="s">
        <v>162</v>
      </c>
      <c r="K135" s="146"/>
      <c r="L135" s="135"/>
      <c r="M135" s="138" t="s">
        <v>157</v>
      </c>
      <c r="N135" s="145" t="s">
        <v>158</v>
      </c>
      <c r="O135" s="145"/>
      <c r="P135" s="145" t="s">
        <v>159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9" t="n">
        <f aca="false">E15*0.000006</f>
        <v>0.35115</v>
      </c>
      <c r="B136" s="215" t="n">
        <f aca="false">IF(A105="YES", E15*0.000002, 0)</f>
        <v>0.11705</v>
      </c>
      <c r="C136" s="215"/>
      <c r="D136" s="215" t="n">
        <f aca="false">A136+B136</f>
        <v>0.4682</v>
      </c>
      <c r="E136" s="130"/>
      <c r="F136" s="135"/>
      <c r="G136" s="129" t="n">
        <f aca="false">E15*0.000006</f>
        <v>0.35115</v>
      </c>
      <c r="H136" s="215" t="n">
        <f aca="false">IF(G105="YES", E15*0.000002, 0)</f>
        <v>0.11705</v>
      </c>
      <c r="I136" s="215"/>
      <c r="J136" s="215" t="n">
        <f aca="false">G136+H136</f>
        <v>0.4682</v>
      </c>
      <c r="K136" s="130"/>
      <c r="L136" s="135"/>
      <c r="M136" s="129" t="n">
        <f aca="false">E15*0.000006</f>
        <v>0.35115</v>
      </c>
      <c r="N136" s="215" t="n">
        <f aca="false">IF(M105="YES", E15*0.000002, 0)</f>
        <v>0.11705</v>
      </c>
      <c r="O136" s="215"/>
      <c r="P136" s="215" t="n">
        <f aca="false">M136+N136</f>
        <v>0.4682</v>
      </c>
      <c r="Q136" s="130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163</v>
      </c>
      <c r="B138" s="145" t="s">
        <v>164</v>
      </c>
      <c r="C138" s="145"/>
      <c r="D138" s="145" t="s">
        <v>165</v>
      </c>
      <c r="E138" s="146"/>
      <c r="F138" s="135"/>
      <c r="G138" s="138" t="s">
        <v>166</v>
      </c>
      <c r="H138" s="145" t="s">
        <v>164</v>
      </c>
      <c r="I138" s="145"/>
      <c r="J138" s="145" t="s">
        <v>165</v>
      </c>
      <c r="K138" s="146"/>
      <c r="L138" s="135"/>
      <c r="M138" s="138" t="s">
        <v>163</v>
      </c>
      <c r="N138" s="145" t="s">
        <v>164</v>
      </c>
      <c r="O138" s="145"/>
      <c r="P138" s="145" t="s">
        <v>165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9" t="n">
        <f aca="false">A102</f>
        <v>199.99</v>
      </c>
      <c r="B139" s="215" t="n">
        <f aca="false">B67</f>
        <v>964.75</v>
      </c>
      <c r="C139" s="215"/>
      <c r="D139" s="215" t="n">
        <f aca="false">B102*0.9</f>
        <v>0</v>
      </c>
      <c r="E139" s="130"/>
      <c r="F139" s="135"/>
      <c r="G139" s="129" t="n">
        <f aca="false">G102</f>
        <v>199.99</v>
      </c>
      <c r="H139" s="215" t="n">
        <f aca="false">H67</f>
        <v>964.75</v>
      </c>
      <c r="I139" s="215"/>
      <c r="J139" s="215" t="n">
        <f aca="false">H102*0.9</f>
        <v>0</v>
      </c>
      <c r="K139" s="130"/>
      <c r="L139" s="135"/>
      <c r="M139" s="129" t="n">
        <f aca="false">M102</f>
        <v>199.99</v>
      </c>
      <c r="N139" s="215" t="n">
        <f aca="false">N67</f>
        <v>964.75</v>
      </c>
      <c r="O139" s="215"/>
      <c r="P139" s="215" t="n">
        <f aca="false">N102*0.9</f>
        <v>0</v>
      </c>
      <c r="Q139" s="130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167</v>
      </c>
      <c r="B141" s="145" t="s">
        <v>168</v>
      </c>
      <c r="C141" s="145"/>
      <c r="D141" s="145" t="s">
        <v>169</v>
      </c>
      <c r="E141" s="146"/>
      <c r="F141" s="135"/>
      <c r="G141" s="138" t="s">
        <v>167</v>
      </c>
      <c r="H141" s="145" t="s">
        <v>168</v>
      </c>
      <c r="I141" s="145"/>
      <c r="J141" s="145" t="s">
        <v>169</v>
      </c>
      <c r="K141" s="146"/>
      <c r="L141" s="135"/>
      <c r="M141" s="138" t="s">
        <v>167</v>
      </c>
      <c r="N141" s="145" t="s">
        <v>168</v>
      </c>
      <c r="O141" s="145"/>
      <c r="P141" s="145" t="s">
        <v>169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IF(A105="YES", ((B36*B105)*0.1)*(A130), 0)</f>
        <v>20.6</v>
      </c>
      <c r="B142" s="215" t="n">
        <f aca="false">A102-100</f>
        <v>99.99</v>
      </c>
      <c r="C142" s="215"/>
      <c r="D142" s="215" t="n">
        <f aca="false">(B139+D139+A142+B142)-B145</f>
        <v>1085.34</v>
      </c>
      <c r="E142" s="130"/>
      <c r="F142" s="135"/>
      <c r="G142" s="129" t="n">
        <f aca="false">IF(G105="YES", ((B36*H105)*0.1)*(G130), 0)</f>
        <v>20.6</v>
      </c>
      <c r="H142" s="215" t="n">
        <f aca="false">G102-100</f>
        <v>99.99</v>
      </c>
      <c r="I142" s="215"/>
      <c r="J142" s="215" t="n">
        <f aca="false">(H139+J139+G142+H142)-H145</f>
        <v>1085.34</v>
      </c>
      <c r="K142" s="130"/>
      <c r="L142" s="135"/>
      <c r="M142" s="129" t="n">
        <f aca="false">IF(M105="YES", ((B36*N105)*0.1)*(M130), 0)</f>
        <v>20.6</v>
      </c>
      <c r="N142" s="215" t="n">
        <f aca="false">M102-100</f>
        <v>99.99</v>
      </c>
      <c r="O142" s="215"/>
      <c r="P142" s="215" t="n">
        <f aca="false">(N139+P139+M142+N142)-N145</f>
        <v>1085.34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170</v>
      </c>
      <c r="B144" s="145" t="s">
        <v>171</v>
      </c>
      <c r="C144" s="145"/>
      <c r="D144" s="145"/>
      <c r="E144" s="146"/>
      <c r="F144" s="135"/>
      <c r="G144" s="138" t="s">
        <v>170</v>
      </c>
      <c r="H144" s="145" t="s">
        <v>171</v>
      </c>
      <c r="I144" s="145"/>
      <c r="J144" s="145"/>
      <c r="K144" s="146"/>
      <c r="L144" s="135"/>
      <c r="M144" s="138" t="s">
        <v>170</v>
      </c>
      <c r="N144" s="145" t="s">
        <v>171</v>
      </c>
      <c r="O144" s="145"/>
      <c r="P144" s="145"/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v>0</v>
      </c>
      <c r="B145" s="215" t="n">
        <f aca="false">(B139+D139+A142+B142)*(A145/B64)</f>
        <v>0</v>
      </c>
      <c r="C145" s="145"/>
      <c r="D145" s="145"/>
      <c r="E145" s="146"/>
      <c r="F145" s="135"/>
      <c r="G145" s="129" t="n">
        <v>0</v>
      </c>
      <c r="H145" s="215" t="n">
        <f aca="false">(H139+J139+G142+H142)*(G145/H64)</f>
        <v>0</v>
      </c>
      <c r="I145" s="145"/>
      <c r="J145" s="145"/>
      <c r="K145" s="146"/>
      <c r="L145" s="135"/>
      <c r="M145" s="129" t="n">
        <v>0</v>
      </c>
      <c r="N145" s="215" t="n">
        <f aca="false">(N139+P139+M142+N142)*(M145/N64)</f>
        <v>0</v>
      </c>
      <c r="O145" s="145"/>
      <c r="P145" s="145"/>
      <c r="Q145" s="146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29"/>
      <c r="B146" s="21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29"/>
      <c r="N146" s="21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1" t="s">
        <v>172</v>
      </c>
      <c r="B147" s="210" t="s">
        <v>173</v>
      </c>
      <c r="C147" s="145"/>
      <c r="D147" s="145"/>
      <c r="E147" s="146"/>
      <c r="F147" s="135"/>
      <c r="G147" s="138"/>
      <c r="H147" s="145"/>
      <c r="I147" s="145"/>
      <c r="J147" s="145"/>
      <c r="K147" s="146"/>
      <c r="L147" s="135"/>
      <c r="M147" s="131" t="s">
        <v>172</v>
      </c>
      <c r="N147" s="210" t="s">
        <v>173</v>
      </c>
      <c r="O147" s="145"/>
      <c r="P147" s="145"/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32" t="n">
        <v>18000</v>
      </c>
      <c r="B148" s="133" t="n">
        <v>0.99</v>
      </c>
      <c r="C148" s="133"/>
      <c r="D148" s="145"/>
      <c r="E148" s="146"/>
      <c r="F148" s="135"/>
      <c r="G148" s="172" t="s">
        <v>174</v>
      </c>
      <c r="H148" s="145"/>
      <c r="I148" s="145"/>
      <c r="J148" s="173"/>
      <c r="K148" s="174"/>
      <c r="L148" s="135"/>
      <c r="M148" s="132" t="n">
        <v>18000</v>
      </c>
      <c r="N148" s="133" t="n">
        <v>0.99</v>
      </c>
      <c r="O148" s="133"/>
      <c r="P148" s="145"/>
      <c r="Q148" s="146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45"/>
      <c r="C149" s="145"/>
      <c r="D149" s="145"/>
      <c r="E149" s="146"/>
      <c r="F149" s="135"/>
      <c r="G149" s="138"/>
      <c r="H149" s="175"/>
      <c r="I149" s="17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138"/>
      <c r="B150" s="145"/>
      <c r="C150" s="145"/>
      <c r="D150" s="145"/>
      <c r="E150" s="146"/>
      <c r="F150" s="135"/>
      <c r="G150" s="71" t="s">
        <v>81</v>
      </c>
      <c r="H150" s="72" t="s">
        <v>82</v>
      </c>
      <c r="I150" s="72"/>
      <c r="J150" s="145"/>
      <c r="K150" s="146"/>
      <c r="L150" s="135"/>
      <c r="M150" s="138"/>
      <c r="N150" s="145"/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172" t="s">
        <v>174</v>
      </c>
      <c r="B151" s="145"/>
      <c r="C151" s="145"/>
      <c r="D151" s="173"/>
      <c r="E151" s="174"/>
      <c r="F151" s="135"/>
      <c r="G151" s="71"/>
      <c r="H151" s="73" t="n">
        <f aca="false">B51</f>
        <v>10000</v>
      </c>
      <c r="I151" s="73"/>
      <c r="J151" s="145"/>
      <c r="K151" s="146"/>
      <c r="L151" s="135"/>
      <c r="M151" s="172" t="s">
        <v>174</v>
      </c>
      <c r="N151" s="145"/>
      <c r="O151" s="145"/>
      <c r="P151" s="173"/>
      <c r="Q151" s="174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138"/>
      <c r="B152" s="175"/>
      <c r="C152" s="175"/>
      <c r="D152" s="145"/>
      <c r="E152" s="146"/>
      <c r="F152" s="135"/>
      <c r="G152" s="74" t="n">
        <f aca="false">A52</f>
        <v>36</v>
      </c>
      <c r="H152" s="75" t="n">
        <f aca="false">H91</f>
        <v>1226.04297664154</v>
      </c>
      <c r="I152" s="75"/>
      <c r="J152" s="145"/>
      <c r="K152" s="146"/>
      <c r="L152" s="135"/>
      <c r="M152" s="138"/>
      <c r="N152" s="175"/>
      <c r="O152" s="17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71" t="s">
        <v>81</v>
      </c>
      <c r="B153" s="72" t="s">
        <v>82</v>
      </c>
      <c r="C153" s="72"/>
      <c r="D153" s="145"/>
      <c r="E153" s="146"/>
      <c r="F153" s="135"/>
      <c r="G153" s="138"/>
      <c r="H153" s="145"/>
      <c r="I153" s="145"/>
      <c r="J153" s="145"/>
      <c r="K153" s="146"/>
      <c r="L153" s="135"/>
      <c r="M153" s="71" t="s">
        <v>81</v>
      </c>
      <c r="N153" s="72" t="s">
        <v>82</v>
      </c>
      <c r="O153" s="72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71"/>
      <c r="B154" s="73" t="n">
        <f aca="false">A51</f>
        <v>0</v>
      </c>
      <c r="C154" s="73"/>
      <c r="D154" s="145"/>
      <c r="E154" s="146"/>
      <c r="F154" s="135"/>
      <c r="G154" s="138"/>
      <c r="H154" s="145"/>
      <c r="I154" s="145"/>
      <c r="J154" s="145"/>
      <c r="K154" s="146"/>
      <c r="L154" s="135"/>
      <c r="M154" s="71"/>
      <c r="N154" s="73" t="n">
        <f aca="false">B51</f>
        <v>10000</v>
      </c>
      <c r="O154" s="7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74" t="n">
        <f aca="false">A52</f>
        <v>36</v>
      </c>
      <c r="B155" s="75" t="n">
        <f aca="false">B91</f>
        <v>1157.18406067066</v>
      </c>
      <c r="C155" s="75"/>
      <c r="D155" s="145"/>
      <c r="E155" s="146"/>
      <c r="F155" s="135"/>
      <c r="G155" s="138"/>
      <c r="H155" s="145"/>
      <c r="I155" s="145"/>
      <c r="J155" s="145"/>
      <c r="K155" s="146"/>
      <c r="L155" s="135"/>
      <c r="M155" s="74" t="n">
        <f aca="false">A52</f>
        <v>36</v>
      </c>
      <c r="N155" s="75" t="n">
        <f aca="false">N91</f>
        <v>1014.63743553648</v>
      </c>
      <c r="O155" s="7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138"/>
      <c r="B156" s="145"/>
      <c r="C156" s="145"/>
      <c r="D156" s="145"/>
      <c r="E156" s="146"/>
      <c r="F156" s="135"/>
      <c r="G156" s="138"/>
      <c r="H156" s="145"/>
      <c r="I156" s="145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177"/>
      <c r="B157" s="178"/>
      <c r="C157" s="178"/>
      <c r="D157" s="178"/>
      <c r="E157" s="179"/>
      <c r="F157" s="135"/>
      <c r="G157" s="177"/>
      <c r="H157" s="178"/>
      <c r="I157" s="178"/>
      <c r="J157" s="178"/>
      <c r="K157" s="179"/>
      <c r="L157" s="135"/>
      <c r="M157" s="138"/>
      <c r="N157" s="145"/>
      <c r="O157" s="145"/>
      <c r="P157" s="145"/>
      <c r="Q157" s="146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8"/>
      <c r="N158" s="145"/>
      <c r="O158" s="14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8"/>
      <c r="N159" s="145"/>
      <c r="O159" s="145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8"/>
      <c r="N160" s="145"/>
      <c r="O160" s="145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8"/>
      <c r="N161" s="145"/>
      <c r="O161" s="14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77"/>
      <c r="N162" s="178"/>
      <c r="O162" s="178"/>
      <c r="P162" s="178"/>
      <c r="Q162" s="179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80" colorId="64" zoomScale="75" zoomScaleNormal="75" zoomScalePageLayoutView="100" workbookViewId="0">
      <selection pane="topLeft" activeCell="B95" activeCellId="0" sqref="B95"/>
    </sheetView>
  </sheetViews>
  <sheetFormatPr defaultColWidth="10.855468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44926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312</v>
      </c>
      <c r="B32" s="37" t="s">
        <v>313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73</v>
      </c>
      <c r="B34" s="48" t="s">
        <v>47</v>
      </c>
      <c r="C34" s="45" t="s">
        <v>75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314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312</v>
      </c>
      <c r="B38" s="55" t="n">
        <f aca="false">A32-1</f>
        <v>11</v>
      </c>
      <c r="C38" s="55"/>
      <c r="D38" s="42" t="s">
        <v>315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316</v>
      </c>
      <c r="B41" s="42" t="s">
        <v>317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75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318</v>
      </c>
      <c r="B44" s="42" t="s">
        <v>319</v>
      </c>
      <c r="C44" s="42"/>
      <c r="D44" s="42" t="s">
        <v>319</v>
      </c>
      <c r="E44" s="42"/>
      <c r="F44" s="2"/>
      <c r="G44" s="50" t="s">
        <v>71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72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73</v>
      </c>
      <c r="B46" s="45" t="s">
        <v>74</v>
      </c>
      <c r="C46" s="45" t="s">
        <v>75</v>
      </c>
      <c r="D46" s="45"/>
      <c r="E46" s="61"/>
      <c r="F46" s="2" t="n">
        <v>0</v>
      </c>
      <c r="G46" s="50" t="s">
        <v>76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73</v>
      </c>
      <c r="B47" s="45"/>
      <c r="C47" s="45"/>
      <c r="D47" s="45"/>
      <c r="E47" s="61"/>
      <c r="F47" s="2"/>
      <c r="G47" s="50" t="s">
        <v>77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78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79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80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73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83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83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83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84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85</v>
      </c>
      <c r="B68" s="83" t="n">
        <v>0.07</v>
      </c>
      <c r="C68" s="13"/>
      <c r="D68" s="13"/>
      <c r="E68" s="14"/>
      <c r="F68" s="2"/>
      <c r="G68" s="82" t="s">
        <v>85</v>
      </c>
      <c r="H68" s="83" t="n">
        <v>0.07</v>
      </c>
      <c r="I68" s="13"/>
      <c r="J68" s="13"/>
      <c r="K68" s="14"/>
      <c r="L68" s="2"/>
      <c r="M68" s="82" t="s">
        <v>85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86</v>
      </c>
      <c r="B69" s="10" t="n">
        <f aca="false">B68+(B68*0.25*(H29/12-1))</f>
        <v>0.07</v>
      </c>
      <c r="C69" s="13"/>
      <c r="D69" s="13"/>
      <c r="E69" s="14"/>
      <c r="F69" s="2"/>
      <c r="G69" s="6" t="s">
        <v>86</v>
      </c>
      <c r="H69" s="10" t="n">
        <f aca="false">H68+(H68*0.25*(H29/12-1))</f>
        <v>0.07</v>
      </c>
      <c r="I69" s="13"/>
      <c r="J69" s="13"/>
      <c r="K69" s="14"/>
      <c r="L69" s="2"/>
      <c r="M69" s="6" t="s">
        <v>86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87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87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87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88</v>
      </c>
      <c r="B71" s="83" t="n">
        <v>0.01</v>
      </c>
      <c r="C71" s="13"/>
      <c r="D71" s="13"/>
      <c r="E71" s="14"/>
      <c r="F71" s="2"/>
      <c r="G71" s="82" t="s">
        <v>88</v>
      </c>
      <c r="H71" s="83" t="n">
        <v>0.005</v>
      </c>
      <c r="I71" s="13"/>
      <c r="J71" s="13"/>
      <c r="K71" s="14"/>
      <c r="L71" s="2"/>
      <c r="M71" s="82" t="s">
        <v>88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89</v>
      </c>
      <c r="B72" s="10" t="n">
        <f aca="false">B71+(B71*0.5*(H29/12-1))</f>
        <v>0.01</v>
      </c>
      <c r="C72" s="13"/>
      <c r="D72" s="13"/>
      <c r="E72" s="14"/>
      <c r="F72" s="2"/>
      <c r="G72" s="6" t="s">
        <v>89</v>
      </c>
      <c r="H72" s="10" t="n">
        <f aca="false">H71+(H71*0.5*(H29/12-1))</f>
        <v>0.005</v>
      </c>
      <c r="I72" s="13"/>
      <c r="J72" s="13"/>
      <c r="K72" s="14"/>
      <c r="L72" s="2"/>
      <c r="M72" s="6" t="s">
        <v>89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90</v>
      </c>
      <c r="B73" s="84" t="n">
        <f aca="false">B67*B72</f>
        <v>578.85</v>
      </c>
      <c r="C73" s="13"/>
      <c r="D73" s="12"/>
      <c r="E73" s="14"/>
      <c r="F73" s="2"/>
      <c r="G73" s="76" t="s">
        <v>90</v>
      </c>
      <c r="H73" s="84" t="n">
        <f aca="false">H67*H72</f>
        <v>289.425</v>
      </c>
      <c r="I73" s="13"/>
      <c r="J73" s="12"/>
      <c r="K73" s="14"/>
      <c r="L73" s="2"/>
      <c r="M73" s="76" t="s">
        <v>90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91</v>
      </c>
      <c r="B74" s="83" t="n">
        <v>0.0075</v>
      </c>
      <c r="C74" s="13"/>
      <c r="D74" s="13"/>
      <c r="E74" s="14"/>
      <c r="F74" s="2"/>
      <c r="G74" s="82" t="s">
        <v>91</v>
      </c>
      <c r="H74" s="83" t="n">
        <v>0.0075</v>
      </c>
      <c r="I74" s="13"/>
      <c r="J74" s="13"/>
      <c r="K74" s="14"/>
      <c r="L74" s="2"/>
      <c r="M74" s="82" t="s">
        <v>91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92</v>
      </c>
      <c r="B75" s="85" t="n">
        <v>0.12</v>
      </c>
      <c r="C75" s="13"/>
      <c r="D75" s="13"/>
      <c r="E75" s="14"/>
      <c r="F75" s="2"/>
      <c r="G75" s="3" t="s">
        <v>92</v>
      </c>
      <c r="H75" s="85" t="n">
        <v>0.12</v>
      </c>
      <c r="I75" s="13"/>
      <c r="J75" s="13"/>
      <c r="K75" s="14"/>
      <c r="L75" s="2"/>
      <c r="M75" s="3" t="s">
        <v>92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93</v>
      </c>
      <c r="B76" s="86" t="n">
        <f aca="false">B74*(1+B75)</f>
        <v>0.0084</v>
      </c>
      <c r="C76" s="13"/>
      <c r="D76" s="13"/>
      <c r="E76" s="14"/>
      <c r="F76" s="2"/>
      <c r="G76" s="76" t="s">
        <v>93</v>
      </c>
      <c r="H76" s="86" t="n">
        <f aca="false">H74*(1+H75)</f>
        <v>0.0084</v>
      </c>
      <c r="I76" s="13"/>
      <c r="J76" s="13"/>
      <c r="K76" s="14"/>
      <c r="L76" s="2"/>
      <c r="M76" s="76" t="s">
        <v>93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94</v>
      </c>
      <c r="B77" s="87" t="n">
        <v>200.0</v>
      </c>
      <c r="C77" s="13"/>
      <c r="D77" s="13"/>
      <c r="E77" s="14"/>
      <c r="F77" s="2"/>
      <c r="G77" s="82" t="s">
        <v>94</v>
      </c>
      <c r="H77" s="87" t="n">
        <v>160</v>
      </c>
      <c r="I77" s="13"/>
      <c r="J77" s="13"/>
      <c r="K77" s="14"/>
      <c r="L77" s="2"/>
      <c r="M77" s="82" t="s">
        <v>94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95</v>
      </c>
      <c r="B78" s="88" t="n">
        <v>5.0</v>
      </c>
      <c r="C78" s="13"/>
      <c r="D78" s="13"/>
      <c r="E78" s="14"/>
      <c r="F78" s="2"/>
      <c r="G78" s="3" t="s">
        <v>95</v>
      </c>
      <c r="H78" s="88" t="n">
        <v>4.5</v>
      </c>
      <c r="I78" s="13"/>
      <c r="J78" s="13"/>
      <c r="K78" s="14"/>
      <c r="L78" s="2"/>
      <c r="M78" s="3" t="s">
        <v>95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96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96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96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97</v>
      </c>
      <c r="B80" s="87" t="n">
        <v>165.0</v>
      </c>
      <c r="C80" s="13"/>
      <c r="D80" s="13"/>
      <c r="E80" s="89" t="n">
        <f aca="false">E79+D82</f>
        <v>703.333333333333</v>
      </c>
      <c r="F80" s="2"/>
      <c r="G80" s="82" t="s">
        <v>97</v>
      </c>
      <c r="H80" s="87" t="n">
        <v>150</v>
      </c>
      <c r="I80" s="13"/>
      <c r="J80" s="13"/>
      <c r="K80" s="14"/>
      <c r="L80" s="2"/>
      <c r="M80" s="90" t="s">
        <v>97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98</v>
      </c>
      <c r="B81" s="88" t="n">
        <v>355.0</v>
      </c>
      <c r="C81" s="13"/>
      <c r="D81" s="13"/>
      <c r="E81" s="14" t="n">
        <f aca="false">E80/12</f>
        <v>58.6111111111111</v>
      </c>
      <c r="F81" s="2"/>
      <c r="G81" s="3" t="s">
        <v>98</v>
      </c>
      <c r="H81" s="88" t="n">
        <f aca="false">IF(G18&gt;40000, 325, 0)</f>
        <v>325</v>
      </c>
      <c r="I81" s="13"/>
      <c r="J81" s="13"/>
      <c r="K81" s="14"/>
      <c r="L81" s="2"/>
      <c r="M81" s="92" t="s">
        <v>98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99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99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99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100</v>
      </c>
      <c r="B83" s="87" t="n">
        <v>0.0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100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100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101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102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102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103</v>
      </c>
      <c r="B85" s="88" t="n">
        <v>200.0</v>
      </c>
      <c r="C85" s="13"/>
      <c r="D85" s="12" t="n">
        <f aca="false">B85</f>
        <v>200</v>
      </c>
      <c r="E85" s="14"/>
      <c r="F85" s="2"/>
      <c r="G85" s="3" t="s">
        <v>103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103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104</v>
      </c>
      <c r="B86" s="97" t="n">
        <v>200.0</v>
      </c>
      <c r="C86" s="13"/>
      <c r="D86" s="12" t="n">
        <f aca="false">B86</f>
        <v>200</v>
      </c>
      <c r="E86" s="14"/>
      <c r="F86" s="2"/>
      <c r="G86" s="96" t="s">
        <v>104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104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105</v>
      </c>
      <c r="B87" s="99" t="n">
        <f aca="false">SUM(D70:D86)</f>
        <v>4755.28333333333</v>
      </c>
      <c r="C87" s="13"/>
      <c r="D87" s="13"/>
      <c r="E87" s="14"/>
      <c r="F87" s="2"/>
      <c r="G87" s="98" t="s">
        <v>105</v>
      </c>
      <c r="H87" s="99" t="n">
        <f aca="false">SUM(J70:J86)</f>
        <v>7205.53333333333</v>
      </c>
      <c r="I87" s="13"/>
      <c r="J87" s="13"/>
      <c r="K87" s="14"/>
      <c r="L87" s="2"/>
      <c r="M87" s="98" t="s">
        <v>105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106</v>
      </c>
      <c r="B88" s="11" t="n">
        <f aca="false">B87/H29</f>
        <v>396.273611111111</v>
      </c>
      <c r="C88" s="13"/>
      <c r="D88" s="13"/>
      <c r="E88" s="14"/>
      <c r="F88" s="2"/>
      <c r="G88" s="6" t="s">
        <v>106</v>
      </c>
      <c r="H88" s="11" t="n">
        <f aca="false">H87/H29</f>
        <v>600.461111111111</v>
      </c>
      <c r="I88" s="13"/>
      <c r="J88" s="13"/>
      <c r="K88" s="14"/>
      <c r="L88" s="2"/>
      <c r="M88" s="6" t="s">
        <v>106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107</v>
      </c>
      <c r="B89" s="101" t="n">
        <f aca="false">H50</f>
        <v>-217.958333333333</v>
      </c>
      <c r="C89" s="13"/>
      <c r="D89" s="13"/>
      <c r="E89" s="14"/>
      <c r="F89" s="2"/>
      <c r="G89" s="100" t="s">
        <v>107</v>
      </c>
      <c r="H89" s="101" t="n">
        <f aca="false">H46</f>
        <v>0</v>
      </c>
      <c r="I89" s="13"/>
      <c r="J89" s="13"/>
      <c r="K89" s="14"/>
      <c r="L89" s="2"/>
      <c r="M89" s="100" t="s">
        <v>107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108</v>
      </c>
      <c r="B91" s="102" t="n">
        <f aca="false">((B89*H29)+B87)</f>
        <v>2139.78333333333</v>
      </c>
      <c r="C91" s="13"/>
      <c r="D91" s="13"/>
      <c r="E91" s="14"/>
      <c r="F91" s="2"/>
      <c r="G91" s="79" t="s">
        <v>108</v>
      </c>
      <c r="H91" s="102" t="n">
        <f aca="false">((H89*H29)+H87)*1.2</f>
        <v>8646.64</v>
      </c>
      <c r="I91" s="13"/>
      <c r="J91" s="13"/>
      <c r="K91" s="14"/>
      <c r="L91" s="2"/>
      <c r="M91" s="79" t="s">
        <v>108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109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109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109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110</v>
      </c>
      <c r="B93" s="84" t="n">
        <f aca="false">IF(B116="YES",((B91+B92)-E120),(B91+B92))</f>
        <v>2157.90977544709</v>
      </c>
      <c r="C93" s="13"/>
      <c r="D93" s="13"/>
      <c r="E93" s="14"/>
      <c r="F93" s="2"/>
      <c r="G93" s="76" t="s">
        <v>110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110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</f>
        <v>50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111</v>
      </c>
      <c r="B96" s="105" t="n">
        <f aca="false">IF(B105=Z104, (B93-D111)/(B64), B93/(B63+B64))</f>
        <v>179.825814620591</v>
      </c>
      <c r="C96" s="13" t="s">
        <v>75</v>
      </c>
      <c r="D96" s="13"/>
      <c r="E96" s="14"/>
      <c r="F96" s="2"/>
      <c r="G96" s="104" t="s">
        <v>111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111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112</v>
      </c>
      <c r="B97" s="107" t="n">
        <f aca="false">IF(A111="YES", B96+B95, B96)</f>
        <v>179.825814620591</v>
      </c>
      <c r="C97" s="13"/>
      <c r="D97" s="108"/>
      <c r="E97" s="14"/>
      <c r="F97" s="2"/>
      <c r="G97" s="106" t="s">
        <v>112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112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2"/>
      <c r="G100" s="27" t="s">
        <v>114</v>
      </c>
      <c r="H100" s="27"/>
      <c r="I100" s="27"/>
      <c r="J100" s="27"/>
      <c r="K100" s="27"/>
      <c r="L100" s="2"/>
      <c r="M100" s="27" t="s">
        <v>115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2"/>
      <c r="G102" s="29" t="s">
        <v>116</v>
      </c>
      <c r="H102" s="29"/>
      <c r="I102" s="29"/>
      <c r="J102" s="29"/>
      <c r="K102" s="29"/>
      <c r="L102" s="2"/>
      <c r="M102" s="29" t="s">
        <v>116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117</v>
      </c>
    </row>
    <row r="104" customFormat="false" ht="18.75" hidden="false" customHeight="true" outlineLevel="0" collapsed="false">
      <c r="A104" s="6" t="s">
        <v>118</v>
      </c>
      <c r="B104" s="13" t="s">
        <v>30</v>
      </c>
      <c r="C104" s="13"/>
      <c r="D104" s="13" t="s">
        <v>119</v>
      </c>
      <c r="E104" s="14"/>
      <c r="F104" s="2"/>
      <c r="G104" s="6" t="s">
        <v>118</v>
      </c>
      <c r="H104" s="13" t="s">
        <v>30</v>
      </c>
      <c r="I104" s="13"/>
      <c r="J104" s="13" t="s">
        <v>119</v>
      </c>
      <c r="K104" s="14"/>
      <c r="L104" s="2"/>
      <c r="M104" s="6" t="s">
        <v>118</v>
      </c>
      <c r="N104" s="13" t="s">
        <v>30</v>
      </c>
      <c r="O104" s="13"/>
      <c r="P104" s="13" t="s">
        <v>119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120</v>
      </c>
    </row>
    <row r="105" customFormat="false" ht="18.75" hidden="false" customHeight="true" outlineLevel="0" collapsed="false">
      <c r="A105" s="34"/>
      <c r="B105" s="109" t="s">
        <v>190</v>
      </c>
      <c r="C105" s="109"/>
      <c r="D105" s="110" t="n">
        <v>1000.0</v>
      </c>
      <c r="E105" s="110"/>
      <c r="F105" s="2"/>
      <c r="G105" s="34" t="s">
        <v>121</v>
      </c>
      <c r="H105" s="109" t="s">
        <v>122</v>
      </c>
      <c r="I105" s="109"/>
      <c r="J105" s="110" t="n">
        <v>5000</v>
      </c>
      <c r="K105" s="110"/>
      <c r="L105" s="2"/>
      <c r="M105" s="34" t="s">
        <v>121</v>
      </c>
      <c r="N105" s="109" t="s">
        <v>123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124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125</v>
      </c>
    </row>
    <row r="107" customFormat="false" ht="18.75" hidden="false" customHeight="true" outlineLevel="0" collapsed="false">
      <c r="A107" s="6" t="s">
        <v>126</v>
      </c>
      <c r="B107" s="13" t="s">
        <v>127</v>
      </c>
      <c r="C107" s="13"/>
      <c r="D107" s="13" t="s">
        <v>128</v>
      </c>
      <c r="E107" s="14"/>
      <c r="F107" s="2"/>
      <c r="G107" s="6" t="s">
        <v>126</v>
      </c>
      <c r="H107" s="13" t="s">
        <v>127</v>
      </c>
      <c r="I107" s="13"/>
      <c r="J107" s="13" t="s">
        <v>128</v>
      </c>
      <c r="K107" s="14"/>
      <c r="L107" s="2"/>
      <c r="M107" s="6" t="s">
        <v>126</v>
      </c>
      <c r="N107" s="13" t="s">
        <v>127</v>
      </c>
      <c r="O107" s="13"/>
      <c r="P107" s="13" t="s">
        <v>128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0.0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123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122</v>
      </c>
    </row>
    <row r="110" customFormat="false" ht="18.75" hidden="false" customHeight="true" outlineLevel="0" collapsed="false">
      <c r="A110" s="34" t="s">
        <v>130</v>
      </c>
      <c r="B110" s="2" t="s">
        <v>131</v>
      </c>
      <c r="C110" s="13"/>
      <c r="D110" s="13" t="s">
        <v>132</v>
      </c>
      <c r="E110" s="14"/>
      <c r="F110" s="2"/>
      <c r="G110" s="34" t="s">
        <v>130</v>
      </c>
      <c r="H110" s="2" t="s">
        <v>131</v>
      </c>
      <c r="I110" s="13"/>
      <c r="J110" s="13" t="s">
        <v>132</v>
      </c>
      <c r="K110" s="14"/>
      <c r="L110" s="2"/>
      <c r="M110" s="34" t="s">
        <v>130</v>
      </c>
      <c r="N110" s="2" t="s">
        <v>131</v>
      </c>
      <c r="O110" s="13"/>
      <c r="P110" s="13" t="s">
        <v>132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133</v>
      </c>
    </row>
    <row r="111" customFormat="false" ht="18.75" hidden="false" customHeight="true" outlineLevel="0" collapsed="false">
      <c r="A111" s="36" t="s">
        <v>320</v>
      </c>
      <c r="B111" s="134" t="n">
        <v>20.0</v>
      </c>
      <c r="C111" s="134"/>
      <c r="D111" s="112" t="s">
        <v>322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134</v>
      </c>
    </row>
    <row r="112" customFormat="false" ht="18.75" hidden="false" customHeight="true" outlineLevel="0" collapsed="false">
      <c r="A112" s="6"/>
      <c r="B112" s="13"/>
      <c r="C112" s="13"/>
      <c r="D112" s="13" t="s">
        <v>75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135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136</v>
      </c>
      <c r="B114" s="29"/>
      <c r="C114" s="29"/>
      <c r="D114" s="29"/>
      <c r="E114" s="29"/>
      <c r="F114" s="2"/>
      <c r="G114" s="29" t="s">
        <v>136</v>
      </c>
      <c r="H114" s="29"/>
      <c r="I114" s="29"/>
      <c r="J114" s="29"/>
      <c r="K114" s="29"/>
      <c r="L114" s="2"/>
      <c r="M114" s="29" t="s">
        <v>136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137</v>
      </c>
      <c r="B116" s="36" t="s">
        <v>321</v>
      </c>
      <c r="C116" s="13"/>
      <c r="D116" s="13"/>
      <c r="E116" s="14"/>
      <c r="F116" s="2"/>
      <c r="G116" s="6" t="s">
        <v>137</v>
      </c>
      <c r="H116" s="36" t="s">
        <v>25</v>
      </c>
      <c r="I116" s="13"/>
      <c r="J116" s="13"/>
      <c r="K116" s="14"/>
      <c r="L116" s="2"/>
      <c r="M116" s="6" t="s">
        <v>137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138</v>
      </c>
      <c r="B118" s="13"/>
      <c r="C118" s="13"/>
      <c r="D118" s="111" t="n">
        <v>10000.0</v>
      </c>
      <c r="E118" s="112" t="n">
        <v>6000.0</v>
      </c>
      <c r="F118" s="2"/>
      <c r="G118" s="6" t="s">
        <v>138</v>
      </c>
      <c r="H118" s="13"/>
      <c r="I118" s="13"/>
      <c r="J118" s="111" t="n">
        <v>10000</v>
      </c>
      <c r="K118" s="112" t="n">
        <v>5000</v>
      </c>
      <c r="L118" s="2"/>
      <c r="M118" s="6" t="s">
        <v>138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139</v>
      </c>
      <c r="B119" s="13"/>
      <c r="C119" s="13"/>
      <c r="D119" s="114" t="n">
        <f aca="false">E119</f>
        <v>2000</v>
      </c>
      <c r="E119" s="112" t="n">
        <v>2000.0</v>
      </c>
      <c r="F119" s="2"/>
      <c r="G119" s="6" t="s">
        <v>139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139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140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140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140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141</v>
      </c>
      <c r="B121" s="13"/>
      <c r="C121" s="13"/>
      <c r="D121" s="114" t="n">
        <f aca="false">D120-E120</f>
        <v>4000</v>
      </c>
      <c r="E121" s="14"/>
      <c r="F121" s="2"/>
      <c r="G121" s="6" t="s">
        <v>141</v>
      </c>
      <c r="H121" s="13"/>
      <c r="I121" s="13"/>
      <c r="J121" s="114" t="n">
        <f aca="false">J120-K120</f>
        <v>5000</v>
      </c>
      <c r="K121" s="14"/>
      <c r="L121" s="2"/>
      <c r="M121" s="6" t="s">
        <v>141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142</v>
      </c>
      <c r="B123" s="80"/>
      <c r="C123" s="80"/>
      <c r="D123" s="80"/>
      <c r="E123" s="102" t="n">
        <f aca="false">D105</f>
        <v>1000</v>
      </c>
      <c r="F123" s="2"/>
      <c r="G123" s="79" t="s">
        <v>142</v>
      </c>
      <c r="H123" s="80"/>
      <c r="I123" s="80"/>
      <c r="J123" s="80"/>
      <c r="K123" s="102" t="n">
        <f aca="false">J105</f>
        <v>5000</v>
      </c>
      <c r="L123" s="2"/>
      <c r="M123" s="79" t="s">
        <v>142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199.99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143</v>
      </c>
      <c r="B125" s="77"/>
      <c r="C125" s="77"/>
      <c r="D125" s="77"/>
      <c r="E125" s="84" t="n">
        <f aca="false">(E124+E123)-E120</f>
        <v>-2800.01</v>
      </c>
      <c r="F125" s="2"/>
      <c r="G125" s="116" t="s">
        <v>143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143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144</v>
      </c>
      <c r="B128" s="29"/>
      <c r="C128" s="29"/>
      <c r="D128" s="29"/>
      <c r="E128" s="29"/>
      <c r="F128" s="2"/>
      <c r="G128" s="29" t="s">
        <v>144</v>
      </c>
      <c r="H128" s="29"/>
      <c r="I128" s="29"/>
      <c r="J128" s="29"/>
      <c r="K128" s="29"/>
      <c r="L128" s="2"/>
      <c r="M128" s="29" t="s">
        <v>144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145</v>
      </c>
      <c r="B130" s="117" t="n">
        <v>0.0</v>
      </c>
      <c r="C130" s="117"/>
      <c r="D130" s="13"/>
      <c r="E130" s="14"/>
      <c r="F130" s="2"/>
      <c r="G130" s="6" t="s">
        <v>145</v>
      </c>
      <c r="H130" s="117" t="n">
        <v>0</v>
      </c>
      <c r="I130" s="117"/>
      <c r="J130" s="13"/>
      <c r="K130" s="14"/>
      <c r="L130" s="2"/>
      <c r="M130" s="6" t="s">
        <v>145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81</v>
      </c>
      <c r="B132" s="13" t="s">
        <v>82</v>
      </c>
      <c r="C132" s="13"/>
      <c r="D132" s="13" t="s">
        <v>84</v>
      </c>
      <c r="E132" s="14"/>
      <c r="F132" s="2"/>
      <c r="G132" s="6" t="s">
        <v>81</v>
      </c>
      <c r="H132" s="13" t="s">
        <v>82</v>
      </c>
      <c r="I132" s="13"/>
      <c r="J132" s="13" t="s">
        <v>84</v>
      </c>
      <c r="K132" s="14"/>
      <c r="L132" s="2"/>
      <c r="M132" s="6" t="s">
        <v>81</v>
      </c>
      <c r="N132" s="13" t="s">
        <v>82</v>
      </c>
      <c r="O132" s="13"/>
      <c r="P132" s="13" t="s">
        <v>84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11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11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146</v>
      </c>
      <c r="B135" s="121" t="s">
        <v>147</v>
      </c>
      <c r="C135" s="121"/>
      <c r="D135" s="121" t="s">
        <v>112</v>
      </c>
      <c r="E135" s="14"/>
      <c r="F135" s="2"/>
      <c r="G135" s="120" t="s">
        <v>148</v>
      </c>
      <c r="H135" s="121" t="s">
        <v>149</v>
      </c>
      <c r="I135" s="121"/>
      <c r="J135" s="121" t="s">
        <v>150</v>
      </c>
      <c r="K135" s="14"/>
      <c r="L135" s="2"/>
      <c r="M135" s="120" t="s">
        <v>146</v>
      </c>
      <c r="N135" s="121" t="s">
        <v>147</v>
      </c>
      <c r="O135" s="121"/>
      <c r="P135" s="121" t="s">
        <v>112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179.825814620591</v>
      </c>
      <c r="B136" s="123" t="n">
        <f aca="false">IF(A111="YES", B95*B63, 0)</f>
        <v>0</v>
      </c>
      <c r="C136" s="123"/>
      <c r="D136" s="123" t="n">
        <f aca="false">B97</f>
        <v>179.825814620591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155</v>
      </c>
      <c r="I138" s="13"/>
      <c r="J138" s="13" t="s">
        <v>156</v>
      </c>
      <c r="K138" s="14"/>
      <c r="L138" s="2"/>
      <c r="M138" s="6" t="s">
        <v>151</v>
      </c>
      <c r="N138" s="13" t="s">
        <v>152</v>
      </c>
      <c r="O138" s="13"/>
      <c r="P138" s="13" t="s">
        <v>153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179.825814620591</v>
      </c>
      <c r="B139" s="126" t="n">
        <f aca="false">IF(A111="YES", B95*B63, 0)</f>
        <v>0</v>
      </c>
      <c r="C139" s="127"/>
      <c r="D139" s="128" t="n">
        <f aca="false">B97*B63</f>
        <v>179.825814620591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157</v>
      </c>
      <c r="B141" s="13" t="s">
        <v>158</v>
      </c>
      <c r="C141" s="13"/>
      <c r="D141" s="13" t="s">
        <v>159</v>
      </c>
      <c r="E141" s="14"/>
      <c r="F141" s="2"/>
      <c r="G141" s="6" t="s">
        <v>160</v>
      </c>
      <c r="H141" s="13" t="s">
        <v>161</v>
      </c>
      <c r="I141" s="13"/>
      <c r="J141" s="13" t="s">
        <v>162</v>
      </c>
      <c r="K141" s="14"/>
      <c r="L141" s="2"/>
      <c r="M141" s="6" t="s">
        <v>157</v>
      </c>
      <c r="N141" s="13" t="s">
        <v>158</v>
      </c>
      <c r="O141" s="13"/>
      <c r="P141" s="13" t="s">
        <v>159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163</v>
      </c>
      <c r="B144" s="13" t="s">
        <v>164</v>
      </c>
      <c r="C144" s="13"/>
      <c r="D144" s="13" t="s">
        <v>165</v>
      </c>
      <c r="E144" s="14"/>
      <c r="F144" s="2"/>
      <c r="G144" s="6" t="s">
        <v>166</v>
      </c>
      <c r="H144" s="13" t="s">
        <v>164</v>
      </c>
      <c r="I144" s="13"/>
      <c r="J144" s="13" t="s">
        <v>165</v>
      </c>
      <c r="K144" s="14"/>
      <c r="L144" s="2"/>
      <c r="M144" s="6" t="s">
        <v>163</v>
      </c>
      <c r="N144" s="13" t="s">
        <v>164</v>
      </c>
      <c r="O144" s="13"/>
      <c r="P144" s="13" t="s">
        <v>165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199.99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167</v>
      </c>
      <c r="B147" s="13" t="s">
        <v>168</v>
      </c>
      <c r="C147" s="13"/>
      <c r="D147" s="13" t="s">
        <v>169</v>
      </c>
      <c r="E147" s="14"/>
      <c r="F147" s="2"/>
      <c r="G147" s="6" t="s">
        <v>167</v>
      </c>
      <c r="H147" s="13" t="s">
        <v>168</v>
      </c>
      <c r="I147" s="13"/>
      <c r="J147" s="13" t="s">
        <v>169</v>
      </c>
      <c r="K147" s="14"/>
      <c r="L147" s="2"/>
      <c r="M147" s="6" t="s">
        <v>167</v>
      </c>
      <c r="N147" s="13" t="s">
        <v>168</v>
      </c>
      <c r="O147" s="13"/>
      <c r="P147" s="13" t="s">
        <v>169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99.99</v>
      </c>
      <c r="C148" s="126"/>
      <c r="D148" s="126" t="n">
        <f aca="false">(B145+D145+A148+B148)-B151</f>
        <v>582.365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170</v>
      </c>
      <c r="B150" s="13" t="s">
        <v>171</v>
      </c>
      <c r="C150" s="13"/>
      <c r="D150" s="13"/>
      <c r="E150" s="14"/>
      <c r="F150" s="2"/>
      <c r="G150" s="6" t="s">
        <v>170</v>
      </c>
      <c r="H150" s="13" t="s">
        <v>171</v>
      </c>
      <c r="I150" s="13"/>
      <c r="J150" s="13"/>
      <c r="K150" s="14"/>
      <c r="L150" s="2"/>
      <c r="M150" s="6" t="s">
        <v>170</v>
      </c>
      <c r="N150" s="13" t="s">
        <v>171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172</v>
      </c>
      <c r="N153" s="114" t="s">
        <v>173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174</v>
      </c>
      <c r="B154" s="13"/>
      <c r="C154" s="13"/>
      <c r="D154" s="67"/>
      <c r="E154" s="68"/>
      <c r="F154" s="2"/>
      <c r="G154" s="66" t="s">
        <v>174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3"/>
      <c r="E156" s="14"/>
      <c r="F156" s="2"/>
      <c r="G156" s="71" t="s">
        <v>81</v>
      </c>
      <c r="H156" s="72" t="s">
        <v>82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174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179.825814620591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81</v>
      </c>
      <c r="N159" s="72" t="s">
        <v>82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89" activeCellId="0" sqref="B89"/>
    </sheetView>
  </sheetViews>
  <sheetFormatPr defaultColWidth="10.87890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374" t="n">
        <v>46854.17</v>
      </c>
      <c r="C3" s="139" t="n">
        <v>0</v>
      </c>
      <c r="D3" s="374" t="n">
        <v>833.33</v>
      </c>
      <c r="E3" s="140" t="n">
        <v>0</v>
      </c>
      <c r="F3" s="135"/>
      <c r="G3" s="135" t="n">
        <v>25000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0" t="n">
        <v>0</v>
      </c>
      <c r="C4" s="0" t="n">
        <v>0</v>
      </c>
      <c r="D4" s="0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37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376" t="n">
        <f aca="false">G9*100/B3</f>
        <v>-222.685622218897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7" t="n">
        <f aca="false">(B7+C7+D7+E3)</f>
        <v>47687.5</v>
      </c>
      <c r="F9" s="135"/>
      <c r="G9" s="375" t="n">
        <f aca="false">E9-G11</f>
        <v>-104337.5</v>
      </c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37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 E9 + E10 ) * 0.2</f>
        <v>9647.5</v>
      </c>
      <c r="F11" s="135"/>
      <c r="G11" s="375" t="n">
        <f aca="false">G13/1.2</f>
        <v>152025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375" t="n">
        <f aca="false">G15-E14-E13-E12</f>
        <v>182430</v>
      </c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78" t="n">
        <f aca="false">(E9+E10+E13+E14+E11) - E12</f>
        <v>58525</v>
      </c>
      <c r="F15" s="135"/>
      <c r="G15" s="149" t="n">
        <v>183070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379" t="n">
        <f aca="false">(B3+C3+E10)*1.2</f>
        <v>56885.004</v>
      </c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 t="n">
        <v>0</v>
      </c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8.75" hidden="false" customHeight="tru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154" t="s">
        <v>130</v>
      </c>
      <c r="B26" s="156" t="s">
        <v>25</v>
      </c>
      <c r="C26" s="145"/>
      <c r="D26" s="145"/>
      <c r="E26" s="146"/>
      <c r="F26" s="135"/>
      <c r="G26" s="152" t="s">
        <v>30</v>
      </c>
      <c r="H26" s="152" t="s">
        <v>31</v>
      </c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32</v>
      </c>
      <c r="H27" s="153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5"/>
      <c r="G28" s="153" t="s">
        <v>36</v>
      </c>
      <c r="H28" s="153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38"/>
      <c r="B29" s="145"/>
      <c r="C29" s="145"/>
      <c r="D29" s="145"/>
      <c r="E29" s="146"/>
      <c r="F29" s="135"/>
      <c r="G29" s="152" t="s">
        <v>38</v>
      </c>
      <c r="H29" s="380" t="n">
        <v>36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 t="s">
        <v>145</v>
      </c>
      <c r="B30" s="117" t="s">
        <v>278</v>
      </c>
      <c r="C30" s="117"/>
      <c r="D30" s="145"/>
      <c r="E30" s="146"/>
      <c r="F30" s="135"/>
      <c r="G30" s="152" t="s">
        <v>39</v>
      </c>
      <c r="H30" s="380" t="n">
        <v>10000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38"/>
      <c r="B31" s="145"/>
      <c r="C31" s="145"/>
      <c r="D31" s="145"/>
      <c r="E31" s="146"/>
      <c r="F31" s="135"/>
      <c r="G31" s="152" t="s">
        <v>43</v>
      </c>
      <c r="H31" s="365" t="n">
        <v>27500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38" t="s">
        <v>81</v>
      </c>
      <c r="B32" s="145" t="s">
        <v>82</v>
      </c>
      <c r="C32" s="145"/>
      <c r="D32" s="381" t="s">
        <v>279</v>
      </c>
      <c r="E32" s="146"/>
      <c r="F32" s="135"/>
      <c r="G32" s="152" t="s">
        <v>46</v>
      </c>
      <c r="I32" s="365" t="n">
        <v>1030</v>
      </c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2" t="n">
        <f aca="false">H48</f>
        <v>951.531975672137</v>
      </c>
      <c r="E33" s="146"/>
      <c r="F33" s="135"/>
      <c r="G33" s="153" t="s">
        <v>280</v>
      </c>
      <c r="H33" s="383" t="n">
        <f aca="false">E21-E11+((E16*20%)+(E19*20%)+(E20*20%))</f>
        <v>48877.5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138"/>
      <c r="B34" s="145"/>
      <c r="C34" s="145"/>
      <c r="D34" s="145"/>
      <c r="E34" s="146"/>
      <c r="F34" s="135"/>
      <c r="G34" s="135" t="s">
        <v>305</v>
      </c>
      <c r="H34" s="135" t="n">
        <f aca="false">H29</f>
        <v>36</v>
      </c>
      <c r="I34" s="135" t="n">
        <v>43957.29</v>
      </c>
      <c r="J34" s="135" t="n">
        <v>841.24</v>
      </c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38" t="s">
        <v>281</v>
      </c>
      <c r="B35" s="145" t="s">
        <v>282</v>
      </c>
      <c r="C35" s="145"/>
      <c r="D35" s="145" t="s">
        <v>283</v>
      </c>
      <c r="E35" s="146"/>
      <c r="F35" s="135"/>
      <c r="G35" s="162" t="s">
        <v>50</v>
      </c>
      <c r="H35" s="163" t="n">
        <v>0.065</v>
      </c>
      <c r="I35" s="135" t="n">
        <v>46215.83</v>
      </c>
      <c r="J35" s="135" t="n">
        <v>909.69</v>
      </c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25" t="n">
        <f aca="false">H47</f>
        <v>922.920864561026</v>
      </c>
      <c r="B36" s="215" t="n">
        <f aca="false">IF(B26="YES", H42, "")</f>
        <v>28.6111111111111</v>
      </c>
      <c r="C36" s="155"/>
      <c r="D36" s="128" t="n">
        <f aca="false">H31</f>
        <v>27500</v>
      </c>
      <c r="E36" s="146"/>
      <c r="F36" s="135"/>
      <c r="G36" s="135"/>
      <c r="H36" s="135"/>
      <c r="I36" s="135" t="n">
        <f aca="false">I35-I34</f>
        <v>2258.54</v>
      </c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29"/>
      <c r="B37" s="215"/>
      <c r="C37" s="155"/>
      <c r="D37" s="215"/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38"/>
      <c r="B38" s="145"/>
      <c r="C38" s="145"/>
      <c r="D38" s="145"/>
      <c r="E38" s="146"/>
      <c r="F38" s="135"/>
      <c r="G38" s="168" t="s">
        <v>56</v>
      </c>
      <c r="H38" s="168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138" t="s">
        <v>284</v>
      </c>
      <c r="B39" s="145" t="s">
        <v>285</v>
      </c>
      <c r="C39" s="145"/>
      <c r="D39" s="145" t="s">
        <v>286</v>
      </c>
      <c r="E39" s="146"/>
      <c r="F39" s="135"/>
      <c r="G39" s="135" t="s">
        <v>83</v>
      </c>
      <c r="H39" s="165" t="n">
        <f aca="false">H33</f>
        <v>48877.5</v>
      </c>
      <c r="I39" s="165" t="n">
        <f aca="false">(I48*H46)+H44</f>
        <v>63509.8854689439</v>
      </c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6"/>
      <c r="F40" s="135"/>
      <c r="G40" s="135" t="s">
        <v>211</v>
      </c>
      <c r="H40" s="165" t="n">
        <f aca="false">(A40)/1.2</f>
        <v>22916.6666666667</v>
      </c>
      <c r="I40" s="165" t="n">
        <f aca="false">H39-I39</f>
        <v>-14632.3854689439</v>
      </c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138"/>
      <c r="B41" s="145"/>
      <c r="C41" s="145"/>
      <c r="D41" s="145"/>
      <c r="E41" s="146"/>
      <c r="F41" s="135"/>
      <c r="G41" s="135" t="s">
        <v>287</v>
      </c>
      <c r="H41" s="167" t="n">
        <f aca="false">H35/12</f>
        <v>0.00541666666666667</v>
      </c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138"/>
      <c r="B42" s="145"/>
      <c r="C42" s="145"/>
      <c r="D42" s="145"/>
      <c r="E42" s="146"/>
      <c r="F42" s="135"/>
      <c r="G42" s="135" t="s">
        <v>288</v>
      </c>
      <c r="H42" s="165" t="n">
        <f aca="false">(I32/H34)*(C45/100)</f>
        <v>28.6111111111111</v>
      </c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180"/>
      <c r="B43" s="181"/>
      <c r="C43" s="181"/>
      <c r="D43" s="181"/>
      <c r="E43" s="182"/>
      <c r="F43" s="135"/>
      <c r="G43" s="135" t="s">
        <v>289</v>
      </c>
      <c r="H43" s="135"/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384" t="s">
        <v>203</v>
      </c>
      <c r="B44" s="145"/>
      <c r="C44" s="385" t="s">
        <v>204</v>
      </c>
      <c r="D44" s="385"/>
      <c r="E44" s="146"/>
      <c r="F44" s="135"/>
      <c r="G44" s="135" t="s">
        <v>306</v>
      </c>
      <c r="H44" s="165" t="n">
        <f aca="false">(H40/(1+H41)^(H34+1))</f>
        <v>18764.9097705681</v>
      </c>
      <c r="I44" s="16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386" t="s">
        <v>291</v>
      </c>
      <c r="B45" s="145"/>
      <c r="C45" s="390" t="s">
        <v>291</v>
      </c>
      <c r="D45" s="390"/>
      <c r="E45" s="146"/>
      <c r="F45" s="135"/>
      <c r="G45" s="135" t="s">
        <v>307</v>
      </c>
      <c r="H45" s="165" t="n">
        <f aca="false">(H39-H44)</f>
        <v>30112.5902294319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177"/>
      <c r="B46" s="178"/>
      <c r="C46" s="178"/>
      <c r="D46" s="178"/>
      <c r="E46" s="179"/>
      <c r="F46" s="135"/>
      <c r="G46" s="135" t="s">
        <v>308</v>
      </c>
      <c r="H46" s="165" t="n">
        <f aca="false">((1-(1/((1+H41)^H34)))/H41)</f>
        <v>32.627488862498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38"/>
      <c r="B47" s="145"/>
      <c r="C47" s="145"/>
      <c r="D47" s="145"/>
      <c r="E47" s="146"/>
      <c r="F47" s="135"/>
      <c r="G47" s="135" t="s">
        <v>294</v>
      </c>
      <c r="H47" s="165" t="n">
        <f aca="false">H45/H46</f>
        <v>922.920864561026</v>
      </c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172" t="s">
        <v>205</v>
      </c>
      <c r="B48" s="145"/>
      <c r="C48" s="145"/>
      <c r="D48" s="173"/>
      <c r="E48" s="174"/>
      <c r="F48" s="135"/>
      <c r="G48" s="388" t="s">
        <v>295</v>
      </c>
      <c r="H48" s="165" t="n">
        <f aca="false">IF(B26="YES", H47+H42, H47)</f>
        <v>951.531975672137</v>
      </c>
      <c r="I48" s="165" t="n">
        <f aca="false">I49-H42</f>
        <v>1371.38888888889</v>
      </c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138"/>
      <c r="B49" s="175"/>
      <c r="C49" s="175"/>
      <c r="D49" s="145"/>
      <c r="E49" s="146"/>
      <c r="F49" s="135"/>
      <c r="G49" s="135" t="s">
        <v>296</v>
      </c>
      <c r="H49" s="176"/>
      <c r="I49" s="165" t="n">
        <v>1400</v>
      </c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5"/>
      <c r="E50" s="146"/>
      <c r="F50" s="135"/>
      <c r="G50" s="135"/>
      <c r="H50" s="13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5"/>
      <c r="E51" s="146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5"/>
      <c r="E52" s="146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138"/>
      <c r="B53" s="145"/>
      <c r="C53" s="145"/>
      <c r="D53" s="145"/>
      <c r="E53" s="146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7"/>
      <c r="B54" s="178"/>
      <c r="C54" s="178"/>
      <c r="D54" s="178"/>
      <c r="E54" s="179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45"/>
      <c r="B55" s="145"/>
      <c r="C55" s="145"/>
      <c r="D55" s="145"/>
      <c r="E55" s="145"/>
      <c r="F55" s="135"/>
      <c r="G55" s="145"/>
      <c r="H55" s="145"/>
      <c r="I55" s="145"/>
      <c r="J55" s="145"/>
      <c r="K55" s="145"/>
      <c r="L55" s="135"/>
      <c r="M55" s="145"/>
      <c r="N55" s="145"/>
      <c r="O55" s="145"/>
      <c r="P55" s="145"/>
      <c r="Q55" s="14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180"/>
      <c r="B56" s="181"/>
      <c r="C56" s="181"/>
      <c r="D56" s="181"/>
      <c r="E56" s="182"/>
      <c r="F56" s="135"/>
      <c r="G56" s="180"/>
      <c r="H56" s="181"/>
      <c r="I56" s="181"/>
      <c r="J56" s="181"/>
      <c r="K56" s="182"/>
      <c r="L56" s="135"/>
      <c r="M56" s="180"/>
      <c r="N56" s="181"/>
      <c r="O56" s="181"/>
      <c r="P56" s="181"/>
      <c r="Q56" s="182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138" t="s">
        <v>83</v>
      </c>
      <c r="B57" s="145" t="n">
        <f aca="false">IF(B99=Y97,1,IF(B99=Y98,1,IF(B99=Y99,3,IF(B99=Y100,6,IF(B99=Y101,9,IF(B99=Y102,12,IF(B99=Y103,3,IF(B99=Y104,6,IF(B99=Y105,9,0)))))))))</f>
        <v>9</v>
      </c>
      <c r="C57" s="145"/>
      <c r="D57" s="145"/>
      <c r="E57" s="146"/>
      <c r="F57" s="135"/>
      <c r="G57" s="138" t="s">
        <v>83</v>
      </c>
      <c r="H57" s="145" t="n">
        <f aca="false">IF(H99=Y97,1,IF(H99=Y98,1,IF(H99=Y99,3,IF(H99=Y100,6,IF(H99=Y101,9,IF(H99=Y102,12,IF(H99=Y103,3,IF(H99=Y104,6,IF(H99=Y105,9,0)))))))))</f>
        <v>6</v>
      </c>
      <c r="I57" s="145"/>
      <c r="J57" s="145"/>
      <c r="K57" s="146"/>
      <c r="L57" s="135"/>
      <c r="M57" s="138" t="s">
        <v>83</v>
      </c>
      <c r="N57" s="145" t="n">
        <f aca="false">IF(N99=Y97,1,IF(N99=Y98,1,IF(N99=Y99,3,IF(N99=Y100,6,IF(N99=Y101,9,IF(N99=Y102,12,IF(N99=Y103,3,IF(N99=Y104,6,IF(N99=Y105,9,0)))))))))</f>
        <v>6</v>
      </c>
      <c r="O57" s="145"/>
      <c r="P57" s="145"/>
      <c r="Q57" s="146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138" t="s">
        <v>84</v>
      </c>
      <c r="B58" s="145" t="n">
        <f aca="false">IF(B99=Y97,H29-B57,IF(B99=Y98,H29-B57,IF(B99=Y99,H29-1,IF(B99=Y100,H29-1,IF(B99=Y101,H29-1,IF(B99=Y102,H29-1,IF(B99=Y103,H29-B57,IF(B99=Y104,H29-B57,IF(B99=Y105,H29-B57,0)))))))))</f>
        <v>27</v>
      </c>
      <c r="C58" s="145"/>
      <c r="D58" s="145"/>
      <c r="E58" s="146"/>
      <c r="F58" s="135"/>
      <c r="G58" s="138" t="s">
        <v>84</v>
      </c>
      <c r="H58" s="145" t="n">
        <f aca="false">IF(H99=Y97,H29-H57,IF(H99=Y98,H29-H57,IF(H99=Y99,H29-1,IF(H99=Y100,H29-1,IF(H99=Y101,H29-1,IF(H99=Y102,H29-1,IF(H99=Y103,H29-H57,IF(H99=Y104,H29-H57,IF(H99=Y105,H29-H57,0)))))))))</f>
        <v>35</v>
      </c>
      <c r="I58" s="145"/>
      <c r="J58" s="145"/>
      <c r="K58" s="146"/>
      <c r="L58" s="135"/>
      <c r="M58" s="138" t="s">
        <v>84</v>
      </c>
      <c r="N58" s="145" t="n">
        <f aca="false">IF(N99=Y97,H29-N57,IF(N99=Y98,H29-N57,IF(N99=Y99,H29-1,IF(N99=Y100,H29-1,IF(N99=Y101,H29-1,IF(N99=Y102,H29-1,IF(N99=Y103,H29-N57,IF(N99=Y104,H29-N57,IF(N99=Y105,H29-N57,0)))))))))</f>
        <v>35</v>
      </c>
      <c r="O58" s="145"/>
      <c r="P58" s="145"/>
      <c r="Q58" s="146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8"/>
      <c r="H59" s="145"/>
      <c r="I59" s="145"/>
      <c r="J59" s="145"/>
      <c r="K59" s="146"/>
      <c r="L59" s="135"/>
      <c r="M59" s="138"/>
      <c r="N59" s="145"/>
      <c r="O59" s="145"/>
      <c r="P59" s="145"/>
      <c r="Q59" s="146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38"/>
      <c r="B60" s="145"/>
      <c r="C60" s="145"/>
      <c r="D60" s="145"/>
      <c r="E60" s="146"/>
      <c r="F60" s="135"/>
      <c r="G60" s="138"/>
      <c r="H60" s="145"/>
      <c r="I60" s="145"/>
      <c r="J60" s="145"/>
      <c r="K60" s="146"/>
      <c r="L60" s="135"/>
      <c r="M60" s="138"/>
      <c r="N60" s="145"/>
      <c r="O60" s="145"/>
      <c r="P60" s="145"/>
      <c r="Q60" s="146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38" t="s">
        <v>21</v>
      </c>
      <c r="B61" s="144" t="n">
        <f aca="false">G18</f>
        <v>57885</v>
      </c>
      <c r="C61" s="145"/>
      <c r="D61" s="145"/>
      <c r="E61" s="146"/>
      <c r="F61" s="135"/>
      <c r="G61" s="138" t="s">
        <v>21</v>
      </c>
      <c r="H61" s="144" t="n">
        <f aca="false">G18</f>
        <v>57885</v>
      </c>
      <c r="I61" s="145"/>
      <c r="J61" s="145"/>
      <c r="K61" s="146"/>
      <c r="L61" s="135"/>
      <c r="M61" s="138" t="s">
        <v>21</v>
      </c>
      <c r="N61" s="144" t="n">
        <f aca="false">G18</f>
        <v>57885</v>
      </c>
      <c r="O61" s="145"/>
      <c r="P61" s="145"/>
      <c r="Q61" s="146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3" t="s">
        <v>85</v>
      </c>
      <c r="B62" s="184" t="n">
        <v>0.07</v>
      </c>
      <c r="C62" s="145"/>
      <c r="D62" s="145"/>
      <c r="E62" s="146"/>
      <c r="F62" s="135"/>
      <c r="G62" s="183" t="s">
        <v>85</v>
      </c>
      <c r="H62" s="184" t="n">
        <v>0.07</v>
      </c>
      <c r="I62" s="145"/>
      <c r="J62" s="145"/>
      <c r="K62" s="146"/>
      <c r="L62" s="135"/>
      <c r="M62" s="183" t="s">
        <v>85</v>
      </c>
      <c r="N62" s="184" t="n">
        <v>0.07</v>
      </c>
      <c r="O62" s="145"/>
      <c r="P62" s="145"/>
      <c r="Q62" s="146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86</v>
      </c>
      <c r="B63" s="142" t="n">
        <f aca="false">B62+(B62*0.25*(H29/12-1))</f>
        <v>0.105</v>
      </c>
      <c r="C63" s="145"/>
      <c r="D63" s="145"/>
      <c r="E63" s="146"/>
      <c r="F63" s="135"/>
      <c r="G63" s="138" t="s">
        <v>86</v>
      </c>
      <c r="H63" s="142" t="n">
        <f aca="false">H62+(H62*0.25*(H29/12-1))</f>
        <v>0.105</v>
      </c>
      <c r="I63" s="145"/>
      <c r="J63" s="145"/>
      <c r="K63" s="146"/>
      <c r="L63" s="135"/>
      <c r="M63" s="138" t="s">
        <v>86</v>
      </c>
      <c r="N63" s="142" t="n">
        <f aca="false">N62+(N62*0.25*(H29/12-1))</f>
        <v>0.105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77" t="s">
        <v>87</v>
      </c>
      <c r="B64" s="185" t="n">
        <f aca="false">B61*B63</f>
        <v>6077.925</v>
      </c>
      <c r="C64" s="145"/>
      <c r="D64" s="144" t="n">
        <f aca="false">B64-A145</f>
        <v>6077.925</v>
      </c>
      <c r="E64" s="391" t="n">
        <f aca="false">D64/(B58+B57)</f>
        <v>168.83125</v>
      </c>
      <c r="F64" s="135"/>
      <c r="G64" s="177" t="s">
        <v>87</v>
      </c>
      <c r="H64" s="185" t="n">
        <f aca="false">H61*H63</f>
        <v>6077.925</v>
      </c>
      <c r="I64" s="145"/>
      <c r="J64" s="144" t="n">
        <f aca="false">H64-G145</f>
        <v>6077.925</v>
      </c>
      <c r="K64" s="146"/>
      <c r="L64" s="135"/>
      <c r="M64" s="177" t="s">
        <v>87</v>
      </c>
      <c r="N64" s="185" t="n">
        <f aca="false">N61*N63</f>
        <v>6077.925</v>
      </c>
      <c r="O64" s="145"/>
      <c r="P64" s="144" t="n">
        <f aca="false">N64-M145</f>
        <v>6077.925</v>
      </c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83" t="s">
        <v>88</v>
      </c>
      <c r="B65" s="184" t="n">
        <v>0.01</v>
      </c>
      <c r="C65" s="145"/>
      <c r="D65" s="145"/>
      <c r="E65" s="146"/>
      <c r="F65" s="135"/>
      <c r="G65" s="183" t="s">
        <v>88</v>
      </c>
      <c r="H65" s="184" t="n">
        <v>0.01</v>
      </c>
      <c r="I65" s="145"/>
      <c r="J65" s="145"/>
      <c r="K65" s="146"/>
      <c r="L65" s="135"/>
      <c r="M65" s="183" t="s">
        <v>88</v>
      </c>
      <c r="N65" s="184" t="n">
        <v>0.01</v>
      </c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 t="s">
        <v>89</v>
      </c>
      <c r="B66" s="142" t="n">
        <f aca="false">B65+(B65*0.5*(H29/12-1))</f>
        <v>0.02</v>
      </c>
      <c r="C66" s="145"/>
      <c r="D66" s="145"/>
      <c r="E66" s="146"/>
      <c r="F66" s="135"/>
      <c r="G66" s="138" t="s">
        <v>89</v>
      </c>
      <c r="H66" s="142" t="n">
        <f aca="false">H65+(H65*0.5*(H29/12-1))</f>
        <v>0.02</v>
      </c>
      <c r="I66" s="145"/>
      <c r="J66" s="145"/>
      <c r="K66" s="146"/>
      <c r="L66" s="135"/>
      <c r="M66" s="138" t="s">
        <v>89</v>
      </c>
      <c r="N66" s="142" t="n">
        <f aca="false">N65+(N65*0.5*(H29/12-1))</f>
        <v>0.02</v>
      </c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77" t="s">
        <v>90</v>
      </c>
      <c r="B67" s="185" t="n">
        <f aca="false">(B61*B66)/1.2</f>
        <v>964.75</v>
      </c>
      <c r="C67" s="145"/>
      <c r="D67" s="144"/>
      <c r="E67" s="146"/>
      <c r="F67" s="135"/>
      <c r="G67" s="177" t="s">
        <v>90</v>
      </c>
      <c r="H67" s="185" t="n">
        <f aca="false">(H61*H66)/1.2</f>
        <v>964.75</v>
      </c>
      <c r="I67" s="145"/>
      <c r="J67" s="144"/>
      <c r="K67" s="146"/>
      <c r="L67" s="135"/>
      <c r="M67" s="177" t="s">
        <v>90</v>
      </c>
      <c r="N67" s="185" t="n">
        <f aca="false">(N61*N66)/1.2</f>
        <v>964.75</v>
      </c>
      <c r="O67" s="145"/>
      <c r="P67" s="144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91</v>
      </c>
      <c r="B68" s="184" t="n">
        <v>0.0075</v>
      </c>
      <c r="C68" s="145"/>
      <c r="D68" s="145"/>
      <c r="E68" s="146"/>
      <c r="F68" s="135"/>
      <c r="G68" s="183" t="s">
        <v>91</v>
      </c>
      <c r="H68" s="184" t="n">
        <v>0.0075</v>
      </c>
      <c r="I68" s="145"/>
      <c r="J68" s="145"/>
      <c r="K68" s="146"/>
      <c r="L68" s="135"/>
      <c r="M68" s="183" t="s">
        <v>91</v>
      </c>
      <c r="N68" s="184" t="n">
        <v>0.0075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6" t="s">
        <v>92</v>
      </c>
      <c r="B69" s="186" t="n">
        <v>0.12</v>
      </c>
      <c r="C69" s="145"/>
      <c r="D69" s="145"/>
      <c r="E69" s="146"/>
      <c r="F69" s="135"/>
      <c r="G69" s="136" t="s">
        <v>92</v>
      </c>
      <c r="H69" s="186" t="n">
        <v>0.12</v>
      </c>
      <c r="I69" s="145"/>
      <c r="J69" s="145"/>
      <c r="K69" s="146"/>
      <c r="L69" s="135"/>
      <c r="M69" s="136" t="s">
        <v>92</v>
      </c>
      <c r="N69" s="186" t="n">
        <v>0.12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93</v>
      </c>
      <c r="B70" s="187" t="n">
        <f aca="false">B68*(1+B69)</f>
        <v>0.0084</v>
      </c>
      <c r="C70" s="145"/>
      <c r="D70" s="145"/>
      <c r="E70" s="146"/>
      <c r="F70" s="135"/>
      <c r="G70" s="177" t="s">
        <v>93</v>
      </c>
      <c r="H70" s="187" t="n">
        <f aca="false">H68*(1+H69)</f>
        <v>0.0084</v>
      </c>
      <c r="I70" s="145"/>
      <c r="J70" s="145"/>
      <c r="K70" s="146"/>
      <c r="L70" s="135"/>
      <c r="M70" s="177" t="s">
        <v>93</v>
      </c>
      <c r="N70" s="389" t="n">
        <f aca="false">N68*(1+N69)</f>
        <v>0.0084</v>
      </c>
      <c r="O70" s="145"/>
      <c r="P70" s="145"/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94</v>
      </c>
      <c r="B71" s="188" t="n">
        <v>200</v>
      </c>
      <c r="C71" s="145"/>
      <c r="D71" s="145"/>
      <c r="E71" s="146"/>
      <c r="F71" s="135"/>
      <c r="G71" s="183" t="s">
        <v>94</v>
      </c>
      <c r="H71" s="188" t="n">
        <v>160</v>
      </c>
      <c r="I71" s="145"/>
      <c r="J71" s="145"/>
      <c r="K71" s="146"/>
      <c r="L71" s="135"/>
      <c r="M71" s="183" t="s">
        <v>94</v>
      </c>
      <c r="N71" s="188" t="n">
        <v>160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6" t="s">
        <v>95</v>
      </c>
      <c r="B72" s="189" t="n">
        <v>5</v>
      </c>
      <c r="C72" s="145"/>
      <c r="D72" s="145"/>
      <c r="E72" s="146"/>
      <c r="F72" s="135"/>
      <c r="G72" s="136" t="s">
        <v>95</v>
      </c>
      <c r="H72" s="189" t="n">
        <v>4.5</v>
      </c>
      <c r="I72" s="145"/>
      <c r="J72" s="145"/>
      <c r="K72" s="146"/>
      <c r="L72" s="135"/>
      <c r="M72" s="136" t="s">
        <v>95</v>
      </c>
      <c r="N72" s="189" t="n">
        <v>4.5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96</v>
      </c>
      <c r="B73" s="185" t="n">
        <f aca="false">B72*H29</f>
        <v>180</v>
      </c>
      <c r="C73" s="145"/>
      <c r="D73" s="144" t="n">
        <f aca="false">B73+B71</f>
        <v>380</v>
      </c>
      <c r="E73" s="146"/>
      <c r="F73" s="135"/>
      <c r="G73" s="177" t="s">
        <v>96</v>
      </c>
      <c r="H73" s="185" t="n">
        <f aca="false">H72*H29</f>
        <v>162</v>
      </c>
      <c r="I73" s="145"/>
      <c r="J73" s="144" t="n">
        <f aca="false">H73+H71</f>
        <v>322</v>
      </c>
      <c r="K73" s="146"/>
      <c r="L73" s="135"/>
      <c r="M73" s="177" t="s">
        <v>96</v>
      </c>
      <c r="N73" s="185" t="n">
        <f aca="false">N72*H29</f>
        <v>162</v>
      </c>
      <c r="O73" s="145"/>
      <c r="P73" s="144" t="n">
        <f aca="false">N73+N71</f>
        <v>322</v>
      </c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97</v>
      </c>
      <c r="B74" s="188" t="n">
        <v>165</v>
      </c>
      <c r="C74" s="145"/>
      <c r="D74" s="145"/>
      <c r="E74" s="146"/>
      <c r="F74" s="135"/>
      <c r="G74" s="183" t="s">
        <v>97</v>
      </c>
      <c r="H74" s="188" t="n">
        <v>165</v>
      </c>
      <c r="I74" s="145"/>
      <c r="J74" s="145"/>
      <c r="K74" s="146"/>
      <c r="L74" s="135"/>
      <c r="M74" s="191" t="s">
        <v>97</v>
      </c>
      <c r="N74" s="192" t="n">
        <v>0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98</v>
      </c>
      <c r="B75" s="189" t="n">
        <v>355</v>
      </c>
      <c r="C75" s="145"/>
      <c r="D75" s="145"/>
      <c r="E75" s="146"/>
      <c r="F75" s="135"/>
      <c r="G75" s="136" t="s">
        <v>98</v>
      </c>
      <c r="H75" s="189" t="n">
        <v>0</v>
      </c>
      <c r="I75" s="145"/>
      <c r="J75" s="145"/>
      <c r="K75" s="146"/>
      <c r="L75" s="135"/>
      <c r="M75" s="193" t="s">
        <v>98</v>
      </c>
      <c r="N75" s="194" t="n">
        <v>0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99</v>
      </c>
      <c r="B76" s="185" t="n">
        <f aca="false">((B74+B75)/12)*(H29-11)</f>
        <v>1083.33333333333</v>
      </c>
      <c r="C76" s="145"/>
      <c r="D76" s="144" t="n">
        <f aca="false">B76</f>
        <v>1083.33333333333</v>
      </c>
      <c r="E76" s="146"/>
      <c r="F76" s="135"/>
      <c r="G76" s="177" t="s">
        <v>99</v>
      </c>
      <c r="H76" s="185" t="n">
        <f aca="false">((H74+H75)/12)*(H29-11)</f>
        <v>343.75</v>
      </c>
      <c r="I76" s="145"/>
      <c r="J76" s="144" t="n">
        <f aca="false">H76</f>
        <v>343.75</v>
      </c>
      <c r="K76" s="146"/>
      <c r="L76" s="135"/>
      <c r="M76" s="195" t="s">
        <v>99</v>
      </c>
      <c r="N76" s="196" t="n">
        <f aca="false">((N74+N75)/12)*(H29-11)</f>
        <v>0</v>
      </c>
      <c r="O76" s="145"/>
      <c r="P76" s="144" t="n">
        <f aca="false">N76</f>
        <v>0</v>
      </c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100</v>
      </c>
      <c r="B77" s="203" t="n">
        <f aca="false">B102*1.1</f>
        <v>0</v>
      </c>
      <c r="C77" s="145"/>
      <c r="D77" s="144" t="n">
        <f aca="false">B77</f>
        <v>0</v>
      </c>
      <c r="E77" s="391" t="n">
        <f aca="false">D77/(B58+B57)</f>
        <v>0</v>
      </c>
      <c r="F77" s="135"/>
      <c r="G77" s="183" t="s">
        <v>100</v>
      </c>
      <c r="H77" s="188" t="n">
        <v>0</v>
      </c>
      <c r="I77" s="145"/>
      <c r="J77" s="144" t="n">
        <f aca="false">H77</f>
        <v>0</v>
      </c>
      <c r="K77" s="146"/>
      <c r="L77" s="135"/>
      <c r="M77" s="183" t="s">
        <v>100</v>
      </c>
      <c r="N77" s="188" t="n">
        <v>0</v>
      </c>
      <c r="O77" s="145"/>
      <c r="P77" s="144" t="n">
        <f aca="false">N77</f>
        <v>0</v>
      </c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8" t="s">
        <v>102</v>
      </c>
      <c r="B78" s="143" t="n">
        <v>0</v>
      </c>
      <c r="C78" s="145"/>
      <c r="D78" s="144" t="n">
        <f aca="false">B78</f>
        <v>0</v>
      </c>
      <c r="E78" s="391"/>
      <c r="F78" s="135"/>
      <c r="G78" s="138" t="s">
        <v>102</v>
      </c>
      <c r="H78" s="143" t="n">
        <v>0</v>
      </c>
      <c r="I78" s="145"/>
      <c r="J78" s="144" t="n">
        <f aca="false">H78</f>
        <v>0</v>
      </c>
      <c r="K78" s="146"/>
      <c r="L78" s="135"/>
      <c r="M78" s="138" t="s">
        <v>102</v>
      </c>
      <c r="N78" s="143" t="n">
        <v>0</v>
      </c>
      <c r="O78" s="145"/>
      <c r="P78" s="144" t="n">
        <f aca="false">N78</f>
        <v>0</v>
      </c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36" t="s">
        <v>103</v>
      </c>
      <c r="B79" s="189" t="n">
        <v>200</v>
      </c>
      <c r="C79" s="145"/>
      <c r="D79" s="144" t="n">
        <f aca="false">B79</f>
        <v>200</v>
      </c>
      <c r="E79" s="391"/>
      <c r="F79" s="135"/>
      <c r="G79" s="136" t="s">
        <v>103</v>
      </c>
      <c r="H79" s="189" t="n">
        <v>200</v>
      </c>
      <c r="I79" s="145"/>
      <c r="J79" s="144" t="n">
        <f aca="false">H79</f>
        <v>200</v>
      </c>
      <c r="K79" s="146"/>
      <c r="L79" s="135"/>
      <c r="M79" s="136" t="s">
        <v>103</v>
      </c>
      <c r="N79" s="189" t="n">
        <v>200</v>
      </c>
      <c r="O79" s="145"/>
      <c r="P79" s="144" t="n">
        <f aca="false">N79</f>
        <v>200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97" t="s">
        <v>104</v>
      </c>
      <c r="B80" s="198" t="n">
        <v>200</v>
      </c>
      <c r="C80" s="145"/>
      <c r="D80" s="144" t="n">
        <f aca="false">B80</f>
        <v>200</v>
      </c>
      <c r="E80" s="391" t="n">
        <f aca="false">(D73+D76+D79+D80)/(B58+B57)</f>
        <v>51.7592592592593</v>
      </c>
      <c r="F80" s="135"/>
      <c r="G80" s="197" t="s">
        <v>104</v>
      </c>
      <c r="H80" s="198" t="n">
        <v>200</v>
      </c>
      <c r="I80" s="145"/>
      <c r="J80" s="144" t="n">
        <f aca="false">H80</f>
        <v>200</v>
      </c>
      <c r="K80" s="146"/>
      <c r="L80" s="135"/>
      <c r="M80" s="197" t="s">
        <v>104</v>
      </c>
      <c r="N80" s="198" t="n">
        <v>200</v>
      </c>
      <c r="O80" s="145"/>
      <c r="P80" s="144" t="n">
        <f aca="false">N80</f>
        <v>200</v>
      </c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99" t="s">
        <v>105</v>
      </c>
      <c r="B81" s="200" t="n">
        <f aca="false">SUM(D64:D80)</f>
        <v>7941.25833333333</v>
      </c>
      <c r="C81" s="145"/>
      <c r="D81" s="145"/>
      <c r="E81" s="391"/>
      <c r="F81" s="135"/>
      <c r="G81" s="199" t="s">
        <v>105</v>
      </c>
      <c r="H81" s="200" t="n">
        <f aca="false">SUM(J64:J80)</f>
        <v>7143.675</v>
      </c>
      <c r="I81" s="145"/>
      <c r="J81" s="145"/>
      <c r="K81" s="146"/>
      <c r="L81" s="135"/>
      <c r="M81" s="199" t="s">
        <v>105</v>
      </c>
      <c r="N81" s="200" t="n">
        <f aca="false">SUM(P64:P80)</f>
        <v>6799.925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38" t="s">
        <v>106</v>
      </c>
      <c r="B82" s="143" t="n">
        <f aca="false">B81/H29</f>
        <v>220.590509259259</v>
      </c>
      <c r="C82" s="145"/>
      <c r="D82" s="145"/>
      <c r="E82" s="391"/>
      <c r="F82" s="135"/>
      <c r="G82" s="138" t="s">
        <v>106</v>
      </c>
      <c r="H82" s="143" t="n">
        <f aca="false">H81/H29</f>
        <v>198.435416666667</v>
      </c>
      <c r="I82" s="145"/>
      <c r="J82" s="145"/>
      <c r="K82" s="146"/>
      <c r="L82" s="135"/>
      <c r="M82" s="138" t="s">
        <v>106</v>
      </c>
      <c r="N82" s="143" t="n">
        <f aca="false">N81/H29</f>
        <v>188.886805555556</v>
      </c>
      <c r="O82" s="145"/>
      <c r="P82" s="145"/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201" t="s">
        <v>107</v>
      </c>
      <c r="B83" s="202" t="n">
        <f aca="false">H47</f>
        <v>922.920864561026</v>
      </c>
      <c r="C83" s="145"/>
      <c r="D83" s="145"/>
      <c r="E83" s="391" t="n">
        <f aca="false">B83+E80+E77+E64</f>
        <v>1143.51137382028</v>
      </c>
      <c r="F83" s="135"/>
      <c r="G83" s="201" t="s">
        <v>107</v>
      </c>
      <c r="H83" s="202" t="n">
        <f aca="false">H47</f>
        <v>922.920864561026</v>
      </c>
      <c r="I83" s="145"/>
      <c r="J83" s="145"/>
      <c r="K83" s="146"/>
      <c r="L83" s="135"/>
      <c r="M83" s="201" t="s">
        <v>107</v>
      </c>
      <c r="N83" s="202" t="n">
        <f aca="false">H47</f>
        <v>922.920864561026</v>
      </c>
      <c r="O83" s="145"/>
      <c r="P83" s="145"/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/>
      <c r="B84" s="144"/>
      <c r="C84" s="145"/>
      <c r="D84" s="145"/>
      <c r="E84" s="391"/>
      <c r="F84" s="135"/>
      <c r="G84" s="138"/>
      <c r="H84" s="144"/>
      <c r="I84" s="145"/>
      <c r="J84" s="145"/>
      <c r="K84" s="146"/>
      <c r="L84" s="135"/>
      <c r="M84" s="138"/>
      <c r="N84" s="144"/>
      <c r="O84" s="145"/>
      <c r="P84" s="145"/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80" t="s">
        <v>108</v>
      </c>
      <c r="B85" s="203" t="n">
        <f aca="false">((B83*H29)+B81)*1.2</f>
        <v>49399.6913490363</v>
      </c>
      <c r="C85" s="145"/>
      <c r="D85" s="145"/>
      <c r="E85" s="391" t="n">
        <f aca="false">B85/(B58+B57)</f>
        <v>1372.21364858434</v>
      </c>
      <c r="F85" s="135"/>
      <c r="G85" s="180" t="s">
        <v>108</v>
      </c>
      <c r="H85" s="203" t="n">
        <f aca="false">((H83*H29)+H81)*1.2</f>
        <v>48442.5913490363</v>
      </c>
      <c r="I85" s="145"/>
      <c r="J85" s="145"/>
      <c r="K85" s="146"/>
      <c r="L85" s="135"/>
      <c r="M85" s="180" t="s">
        <v>108</v>
      </c>
      <c r="N85" s="203" t="n">
        <f aca="false">((N83*H29)+N81)</f>
        <v>40025.0761241969</v>
      </c>
      <c r="O85" s="145"/>
      <c r="P85" s="145"/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38" t="s">
        <v>109</v>
      </c>
      <c r="B86" s="143" t="n">
        <f aca="false">((((B83*H29)+B81))/(1-B70))*B70</f>
        <v>348.727147482104</v>
      </c>
      <c r="C86" s="145"/>
      <c r="D86" s="145"/>
      <c r="E86" s="391" t="n">
        <f aca="false">B86/(B58+B57)</f>
        <v>9.68686520783622</v>
      </c>
      <c r="F86" s="135"/>
      <c r="G86" s="138" t="s">
        <v>109</v>
      </c>
      <c r="H86" s="143" t="n">
        <f aca="false">((((H83*H29)+H81))/(1-H70))*H70</f>
        <v>341.970693266694</v>
      </c>
      <c r="I86" s="145"/>
      <c r="J86" s="145"/>
      <c r="K86" s="146"/>
      <c r="L86" s="135"/>
      <c r="M86" s="138" t="s">
        <v>109</v>
      </c>
      <c r="N86" s="143" t="n">
        <f aca="false">(N85/(1-N70))*N70</f>
        <v>339.058732798764</v>
      </c>
      <c r="O86" s="145"/>
      <c r="P86" s="145"/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77" t="s">
        <v>110</v>
      </c>
      <c r="B87" s="185" t="n">
        <f aca="false">IF(B110="YES",((B85+B86)-E114),(B85+B86))</f>
        <v>49748.4184965184</v>
      </c>
      <c r="C87" s="145"/>
      <c r="D87" s="145"/>
      <c r="E87" s="391" t="n">
        <f aca="false">E86+E85</f>
        <v>1381.90051379218</v>
      </c>
      <c r="F87" s="135"/>
      <c r="G87" s="177" t="s">
        <v>110</v>
      </c>
      <c r="H87" s="185" t="n">
        <f aca="false">IF(H110="YES",((H85+H86)-K114),(H85+H86))</f>
        <v>48784.562042303</v>
      </c>
      <c r="I87" s="145"/>
      <c r="J87" s="145"/>
      <c r="K87" s="146"/>
      <c r="L87" s="135"/>
      <c r="M87" s="177" t="s">
        <v>110</v>
      </c>
      <c r="N87" s="185" t="n">
        <f aca="false">IF(N110="YES",((N85+N86)-Q114),(N85+N86))</f>
        <v>40364.1348569957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/>
      <c r="B88" s="144"/>
      <c r="C88" s="145"/>
      <c r="D88" s="145"/>
      <c r="E88" s="146"/>
      <c r="F88" s="135"/>
      <c r="G88" s="138"/>
      <c r="H88" s="144"/>
      <c r="I88" s="145"/>
      <c r="J88" s="145"/>
      <c r="K88" s="146"/>
      <c r="L88" s="135"/>
      <c r="M88" s="138"/>
      <c r="N88" s="144"/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199" t="s">
        <v>65</v>
      </c>
      <c r="B89" s="200" t="n">
        <f aca="false">IF(B99=Y98, (D40+(D40*B105))/(B58), (D40+(D40*B105))/(B57+B58))*1.2</f>
        <v>41.2</v>
      </c>
      <c r="C89" s="145"/>
      <c r="D89" s="145"/>
      <c r="E89" s="146"/>
      <c r="F89" s="135"/>
      <c r="G89" s="199" t="s">
        <v>65</v>
      </c>
      <c r="H89" s="200" t="n">
        <f aca="false">IF(H99=Y98, (D40+(D40*H105))/(H58), (D40+(D40*H105))/(H57+H58))*1.2</f>
        <v>36.1756097560976</v>
      </c>
      <c r="I89" s="145"/>
      <c r="J89" s="145"/>
      <c r="K89" s="146"/>
      <c r="L89" s="135"/>
      <c r="M89" s="199" t="s">
        <v>65</v>
      </c>
      <c r="N89" s="200" t="n">
        <f aca="false">IF(N99=Y98, (D40+(D40*N105))/(N58), (D40+(D40*N105))/(N57+N58))</f>
        <v>30.1463414634146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205" t="s">
        <v>111</v>
      </c>
      <c r="B90" s="206" t="n">
        <f aca="false">IF(B99=Y98, (B87-D105)/(B58), B87/(B57+B58))</f>
        <v>1381.90051379218</v>
      </c>
      <c r="C90" s="145"/>
      <c r="D90" s="145"/>
      <c r="E90" s="146"/>
      <c r="F90" s="135"/>
      <c r="G90" s="205" t="s">
        <v>111</v>
      </c>
      <c r="H90" s="206" t="n">
        <f aca="false">IF(H99=Y98, (H87-J105)/(H58), H87/(H57+H58))</f>
        <v>1189.86736688544</v>
      </c>
      <c r="I90" s="145"/>
      <c r="J90" s="145"/>
      <c r="K90" s="146"/>
      <c r="L90" s="135"/>
      <c r="M90" s="205" t="s">
        <v>111</v>
      </c>
      <c r="N90" s="206" t="n">
        <f aca="false">IF(N99=Y98, (N87-P105)/(N58), N87/(N57+N58))</f>
        <v>984.491094073066</v>
      </c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207" t="s">
        <v>112</v>
      </c>
      <c r="B91" s="208" t="n">
        <f aca="false">IF(A105="YES", B90+B89, B90)</f>
        <v>1423.10051379218</v>
      </c>
      <c r="C91" s="145"/>
      <c r="D91" s="145"/>
      <c r="E91" s="146"/>
      <c r="F91" s="135"/>
      <c r="G91" s="207" t="s">
        <v>112</v>
      </c>
      <c r="H91" s="208" t="n">
        <f aca="false">IF(G105="YES", H90+H89, H90)</f>
        <v>1226.04297664154</v>
      </c>
      <c r="I91" s="145"/>
      <c r="J91" s="145"/>
      <c r="K91" s="146"/>
      <c r="L91" s="135"/>
      <c r="M91" s="207" t="s">
        <v>112</v>
      </c>
      <c r="N91" s="208" t="n">
        <f aca="false">IF(M105="YES", N90+N89, N90)</f>
        <v>1014.63743553648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77"/>
      <c r="B92" s="178"/>
      <c r="C92" s="178"/>
      <c r="D92" s="178"/>
      <c r="E92" s="179"/>
      <c r="F92" s="135"/>
      <c r="G92" s="177"/>
      <c r="H92" s="178"/>
      <c r="I92" s="178"/>
      <c r="J92" s="178"/>
      <c r="K92" s="179"/>
      <c r="L92" s="135"/>
      <c r="M92" s="177"/>
      <c r="N92" s="178"/>
      <c r="O92" s="178"/>
      <c r="P92" s="178"/>
      <c r="Q92" s="179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45"/>
      <c r="B93" s="145"/>
      <c r="C93" s="145"/>
      <c r="D93" s="145"/>
      <c r="E93" s="145"/>
      <c r="F93" s="135"/>
      <c r="G93" s="145"/>
      <c r="H93" s="145"/>
      <c r="I93" s="145"/>
      <c r="J93" s="145"/>
      <c r="K93" s="145"/>
      <c r="L93" s="135"/>
      <c r="M93" s="145"/>
      <c r="N93" s="145"/>
      <c r="O93" s="145"/>
      <c r="P93" s="145"/>
      <c r="Q93" s="145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56.25" hidden="false" customHeight="true" outlineLevel="0" collapsed="false">
      <c r="A94" s="27" t="s">
        <v>114</v>
      </c>
      <c r="B94" s="27"/>
      <c r="C94" s="27"/>
      <c r="D94" s="27"/>
      <c r="E94" s="27"/>
      <c r="F94" s="135"/>
      <c r="G94" s="27" t="s">
        <v>114</v>
      </c>
      <c r="H94" s="27"/>
      <c r="I94" s="27"/>
      <c r="J94" s="27"/>
      <c r="K94" s="27"/>
      <c r="L94" s="135"/>
      <c r="M94" s="27" t="s">
        <v>115</v>
      </c>
      <c r="N94" s="27"/>
      <c r="O94" s="27"/>
      <c r="P94" s="27"/>
      <c r="Q94" s="27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38"/>
      <c r="B95" s="145"/>
      <c r="C95" s="145"/>
      <c r="D95" s="145"/>
      <c r="E95" s="146"/>
      <c r="F95" s="135"/>
      <c r="G95" s="138"/>
      <c r="H95" s="145"/>
      <c r="I95" s="145"/>
      <c r="J95" s="145"/>
      <c r="K95" s="146"/>
      <c r="L95" s="135"/>
      <c r="M95" s="138"/>
      <c r="N95" s="145"/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5"/>
      <c r="G96" s="29" t="s">
        <v>116</v>
      </c>
      <c r="H96" s="29"/>
      <c r="I96" s="29"/>
      <c r="J96" s="29"/>
      <c r="K96" s="29"/>
      <c r="L96" s="135"/>
      <c r="M96" s="29" t="s">
        <v>116</v>
      </c>
      <c r="N96" s="29"/>
      <c r="O96" s="29"/>
      <c r="P96" s="29"/>
      <c r="Q96" s="29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138"/>
      <c r="B97" s="145"/>
      <c r="C97" s="145"/>
      <c r="D97" s="145"/>
      <c r="E97" s="146"/>
      <c r="F97" s="135"/>
      <c r="G97" s="138"/>
      <c r="H97" s="145"/>
      <c r="I97" s="145"/>
      <c r="J97" s="145"/>
      <c r="K97" s="146"/>
      <c r="L97" s="135"/>
      <c r="M97" s="138"/>
      <c r="N97" s="145"/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 t="s">
        <v>117</v>
      </c>
      <c r="Z97" s="135"/>
      <c r="AC97" s="2"/>
    </row>
    <row r="98" customFormat="false" ht="18.75" hidden="false" customHeight="true" outlineLevel="0" collapsed="false">
      <c r="A98" s="138" t="s">
        <v>118</v>
      </c>
      <c r="B98" s="145" t="s">
        <v>30</v>
      </c>
      <c r="C98" s="145"/>
      <c r="D98" s="145" t="s">
        <v>119</v>
      </c>
      <c r="E98" s="146"/>
      <c r="F98" s="135"/>
      <c r="G98" s="138" t="s">
        <v>118</v>
      </c>
      <c r="H98" s="145" t="s">
        <v>30</v>
      </c>
      <c r="I98" s="145"/>
      <c r="J98" s="145" t="s">
        <v>119</v>
      </c>
      <c r="K98" s="146"/>
      <c r="L98" s="135"/>
      <c r="M98" s="138" t="s">
        <v>118</v>
      </c>
      <c r="N98" s="145" t="s">
        <v>30</v>
      </c>
      <c r="O98" s="145"/>
      <c r="P98" s="145" t="s">
        <v>119</v>
      </c>
      <c r="Q98" s="146"/>
      <c r="R98" s="135"/>
      <c r="S98" s="135"/>
      <c r="T98" s="135"/>
      <c r="U98" s="135"/>
      <c r="V98" s="135"/>
      <c r="W98" s="135"/>
      <c r="X98" s="135"/>
      <c r="Y98" s="135" t="s">
        <v>120</v>
      </c>
      <c r="Z98" s="135"/>
    </row>
    <row r="99" customFormat="false" ht="18.75" hidden="false" customHeight="true" outlineLevel="0" collapsed="false">
      <c r="A99" s="154" t="s">
        <v>121</v>
      </c>
      <c r="B99" s="109" t="s">
        <v>190</v>
      </c>
      <c r="C99" s="109"/>
      <c r="D99" s="112" t="n">
        <v>1000</v>
      </c>
      <c r="E99" s="112"/>
      <c r="F99" s="135"/>
      <c r="G99" s="154" t="s">
        <v>121</v>
      </c>
      <c r="H99" s="109" t="s">
        <v>125</v>
      </c>
      <c r="I99" s="109"/>
      <c r="J99" s="112" t="n">
        <v>0</v>
      </c>
      <c r="K99" s="112"/>
      <c r="L99" s="135"/>
      <c r="M99" s="154" t="s">
        <v>121</v>
      </c>
      <c r="N99" s="109" t="s">
        <v>125</v>
      </c>
      <c r="O99" s="109"/>
      <c r="P99" s="112" t="n">
        <v>0</v>
      </c>
      <c r="Q99" s="112"/>
      <c r="R99" s="135"/>
      <c r="S99" s="135"/>
      <c r="T99" s="135"/>
      <c r="U99" s="135"/>
      <c r="V99" s="135"/>
      <c r="W99" s="135"/>
      <c r="X99" s="135"/>
      <c r="Y99" s="135" t="s">
        <v>124</v>
      </c>
      <c r="Z99" s="135"/>
    </row>
    <row r="100" customFormat="false" ht="18.75" hidden="false" customHeight="true" outlineLevel="0" collapsed="false">
      <c r="A100" s="138"/>
      <c r="B100" s="145"/>
      <c r="C100" s="145"/>
      <c r="D100" s="145"/>
      <c r="E100" s="146"/>
      <c r="F100" s="135"/>
      <c r="G100" s="138"/>
      <c r="H100" s="145"/>
      <c r="I100" s="145"/>
      <c r="J100" s="145"/>
      <c r="K100" s="146"/>
      <c r="L100" s="135"/>
      <c r="M100" s="138"/>
      <c r="N100" s="145"/>
      <c r="O100" s="145"/>
      <c r="P100" s="145"/>
      <c r="Q100" s="146"/>
      <c r="R100" s="135"/>
      <c r="S100" s="135"/>
      <c r="T100" s="135"/>
      <c r="U100" s="135"/>
      <c r="V100" s="135"/>
      <c r="W100" s="135"/>
      <c r="X100" s="135"/>
      <c r="Y100" s="135" t="s">
        <v>125</v>
      </c>
      <c r="Z100" s="135"/>
    </row>
    <row r="101" customFormat="false" ht="18.75" hidden="false" customHeight="true" outlineLevel="0" collapsed="false">
      <c r="A101" s="138" t="s">
        <v>126</v>
      </c>
      <c r="B101" s="145" t="s">
        <v>127</v>
      </c>
      <c r="C101" s="145"/>
      <c r="D101" s="145" t="s">
        <v>128</v>
      </c>
      <c r="E101" s="146"/>
      <c r="F101" s="135"/>
      <c r="G101" s="138" t="s">
        <v>126</v>
      </c>
      <c r="H101" s="145" t="s">
        <v>127</v>
      </c>
      <c r="I101" s="145"/>
      <c r="J101" s="145" t="s">
        <v>128</v>
      </c>
      <c r="K101" s="146"/>
      <c r="L101" s="135"/>
      <c r="M101" s="138" t="s">
        <v>126</v>
      </c>
      <c r="N101" s="145" t="s">
        <v>127</v>
      </c>
      <c r="O101" s="145"/>
      <c r="P101" s="145" t="s">
        <v>128</v>
      </c>
      <c r="Q101" s="146"/>
      <c r="R101" s="135"/>
      <c r="S101" s="135"/>
      <c r="T101" s="135"/>
      <c r="U101" s="135"/>
      <c r="V101" s="135"/>
      <c r="W101" s="135"/>
      <c r="X101" s="135"/>
      <c r="Y101" s="135" t="s">
        <v>129</v>
      </c>
      <c r="Z101" s="135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5"/>
      <c r="G102" s="111" t="n">
        <v>199.99</v>
      </c>
      <c r="H102" s="112" t="n">
        <v>0</v>
      </c>
      <c r="I102" s="112"/>
      <c r="J102" s="112" t="n">
        <v>0</v>
      </c>
      <c r="K102" s="112"/>
      <c r="L102" s="135"/>
      <c r="M102" s="111" t="n">
        <v>199.99</v>
      </c>
      <c r="N102" s="112" t="n">
        <v>0</v>
      </c>
      <c r="O102" s="112"/>
      <c r="P102" s="112" t="n">
        <v>0</v>
      </c>
      <c r="Q102" s="112"/>
      <c r="R102" s="135"/>
      <c r="S102" s="135"/>
      <c r="T102" s="135"/>
      <c r="U102" s="135"/>
      <c r="V102" s="135"/>
      <c r="W102" s="135"/>
      <c r="X102" s="135"/>
      <c r="Y102" s="135" t="s">
        <v>123</v>
      </c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 t="s">
        <v>122</v>
      </c>
      <c r="Z103" s="135"/>
    </row>
    <row r="104" customFormat="false" ht="18.75" hidden="false" customHeight="true" outlineLevel="0" collapsed="false">
      <c r="A104" s="154" t="s">
        <v>130</v>
      </c>
      <c r="B104" s="135" t="s">
        <v>131</v>
      </c>
      <c r="C104" s="145"/>
      <c r="D104" s="145" t="s">
        <v>132</v>
      </c>
      <c r="E104" s="146"/>
      <c r="F104" s="135"/>
      <c r="G104" s="154" t="s">
        <v>130</v>
      </c>
      <c r="H104" s="135" t="s">
        <v>131</v>
      </c>
      <c r="I104" s="145"/>
      <c r="J104" s="145" t="s">
        <v>132</v>
      </c>
      <c r="K104" s="146"/>
      <c r="L104" s="135"/>
      <c r="M104" s="154" t="s">
        <v>130</v>
      </c>
      <c r="N104" s="135" t="s">
        <v>131</v>
      </c>
      <c r="O104" s="145"/>
      <c r="P104" s="145" t="s">
        <v>132</v>
      </c>
      <c r="Q104" s="146"/>
      <c r="R104" s="135"/>
      <c r="S104" s="135"/>
      <c r="T104" s="135"/>
      <c r="U104" s="135"/>
      <c r="V104" s="135"/>
      <c r="W104" s="135"/>
      <c r="X104" s="135"/>
      <c r="Y104" s="135" t="s">
        <v>133</v>
      </c>
      <c r="Z104" s="135"/>
    </row>
    <row r="105" customFormat="false" ht="18.75" hidden="false" customHeight="true" outlineLevel="0" collapsed="false">
      <c r="A105" s="156" t="s">
        <v>25</v>
      </c>
      <c r="B105" s="113" t="n">
        <v>0.2</v>
      </c>
      <c r="C105" s="113"/>
      <c r="D105" s="112" t="s">
        <v>191</v>
      </c>
      <c r="E105" s="112"/>
      <c r="F105" s="135"/>
      <c r="G105" s="156" t="s">
        <v>25</v>
      </c>
      <c r="H105" s="113" t="n">
        <v>0.2</v>
      </c>
      <c r="I105" s="113"/>
      <c r="J105" s="112"/>
      <c r="K105" s="112"/>
      <c r="L105" s="135"/>
      <c r="M105" s="156" t="s">
        <v>25</v>
      </c>
      <c r="N105" s="113" t="n">
        <v>0.2</v>
      </c>
      <c r="O105" s="113"/>
      <c r="P105" s="112" t="n">
        <v>0</v>
      </c>
      <c r="Q105" s="112"/>
      <c r="R105" s="135"/>
      <c r="S105" s="135"/>
      <c r="T105" s="135"/>
      <c r="U105" s="135"/>
      <c r="V105" s="135"/>
      <c r="W105" s="135"/>
      <c r="X105" s="135"/>
      <c r="Y105" s="135" t="s">
        <v>134</v>
      </c>
      <c r="Z105" s="135"/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customFormat="false" ht="18.75" hidden="false" customHeight="true" outlineLevel="0" collapsed="false">
      <c r="A107" s="138"/>
      <c r="B107" s="145"/>
      <c r="C107" s="145"/>
      <c r="D107" s="145"/>
      <c r="E107" s="146"/>
      <c r="F107" s="135"/>
      <c r="G107" s="138"/>
      <c r="H107" s="145"/>
      <c r="I107" s="145"/>
      <c r="J107" s="145"/>
      <c r="K107" s="146"/>
      <c r="L107" s="135"/>
      <c r="M107" s="138"/>
      <c r="N107" s="145" t="s">
        <v>135</v>
      </c>
      <c r="O107" s="156" t="s">
        <v>25</v>
      </c>
      <c r="P107" s="145"/>
      <c r="Q107" s="146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customFormat="false" ht="18.75" hidden="false" customHeight="true" outlineLevel="0" collapsed="false">
      <c r="A108" s="29" t="s">
        <v>136</v>
      </c>
      <c r="B108" s="29"/>
      <c r="C108" s="29"/>
      <c r="D108" s="29"/>
      <c r="E108" s="29"/>
      <c r="F108" s="135"/>
      <c r="G108" s="29" t="s">
        <v>136</v>
      </c>
      <c r="H108" s="29"/>
      <c r="I108" s="29"/>
      <c r="J108" s="29"/>
      <c r="K108" s="29"/>
      <c r="L108" s="135"/>
      <c r="M108" s="29" t="s">
        <v>136</v>
      </c>
      <c r="N108" s="29"/>
      <c r="O108" s="29"/>
      <c r="P108" s="29"/>
      <c r="Q108" s="29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customFormat="false" ht="18.75" hidden="false" customHeight="true" outlineLevel="0" collapsed="false">
      <c r="A110" s="138" t="s">
        <v>137</v>
      </c>
      <c r="B110" s="156" t="s">
        <v>26</v>
      </c>
      <c r="C110" s="145"/>
      <c r="D110" s="145"/>
      <c r="E110" s="146"/>
      <c r="F110" s="135"/>
      <c r="G110" s="138" t="s">
        <v>137</v>
      </c>
      <c r="H110" s="156" t="s">
        <v>26</v>
      </c>
      <c r="I110" s="145"/>
      <c r="J110" s="145"/>
      <c r="K110" s="146"/>
      <c r="L110" s="135"/>
      <c r="M110" s="138" t="s">
        <v>137</v>
      </c>
      <c r="N110" s="156" t="s">
        <v>26</v>
      </c>
      <c r="O110" s="145"/>
      <c r="P110" s="145"/>
      <c r="Q110" s="146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customFormat="false" ht="18.75" hidden="false" customHeight="true" outlineLevel="0" collapsed="false">
      <c r="A111" s="138"/>
      <c r="B111" s="145"/>
      <c r="C111" s="145"/>
      <c r="D111" s="145"/>
      <c r="E111" s="146"/>
      <c r="F111" s="135"/>
      <c r="G111" s="138"/>
      <c r="H111" s="145"/>
      <c r="I111" s="145"/>
      <c r="J111" s="145"/>
      <c r="K111" s="146"/>
      <c r="L111" s="135"/>
      <c r="M111" s="138"/>
      <c r="N111" s="145"/>
      <c r="O111" s="145"/>
      <c r="P111" s="145"/>
      <c r="Q111" s="146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customFormat="false" ht="18.75" hidden="false" customHeight="true" outlineLevel="0" collapsed="false">
      <c r="A112" s="138" t="s">
        <v>138</v>
      </c>
      <c r="B112" s="145"/>
      <c r="C112" s="145"/>
      <c r="D112" s="111" t="n">
        <v>0</v>
      </c>
      <c r="E112" s="112" t="n">
        <v>0</v>
      </c>
      <c r="F112" s="135"/>
      <c r="G112" s="138" t="s">
        <v>138</v>
      </c>
      <c r="H112" s="145"/>
      <c r="I112" s="145"/>
      <c r="J112" s="111" t="n">
        <v>0</v>
      </c>
      <c r="K112" s="112" t="n">
        <v>0</v>
      </c>
      <c r="L112" s="135"/>
      <c r="M112" s="138" t="s">
        <v>138</v>
      </c>
      <c r="N112" s="145"/>
      <c r="O112" s="145"/>
      <c r="P112" s="111" t="n">
        <v>500</v>
      </c>
      <c r="Q112" s="112" t="n">
        <v>300</v>
      </c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 t="s">
        <v>139</v>
      </c>
      <c r="B113" s="145"/>
      <c r="C113" s="145"/>
      <c r="D113" s="210" t="n">
        <f aca="false">E113</f>
        <v>0</v>
      </c>
      <c r="E113" s="112" t="n">
        <v>0</v>
      </c>
      <c r="F113" s="135"/>
      <c r="G113" s="138" t="s">
        <v>139</v>
      </c>
      <c r="H113" s="145"/>
      <c r="I113" s="145"/>
      <c r="J113" s="210" t="n">
        <f aca="false">K113</f>
        <v>0</v>
      </c>
      <c r="K113" s="112" t="n">
        <v>0</v>
      </c>
      <c r="L113" s="135"/>
      <c r="M113" s="138" t="s">
        <v>139</v>
      </c>
      <c r="N113" s="145"/>
      <c r="O113" s="145"/>
      <c r="P113" s="210" t="n">
        <f aca="false">Q113</f>
        <v>100</v>
      </c>
      <c r="Q113" s="112" t="n">
        <v>100</v>
      </c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138" t="s">
        <v>140</v>
      </c>
      <c r="B114" s="145"/>
      <c r="C114" s="145"/>
      <c r="D114" s="210" t="n">
        <f aca="false">D112-D113</f>
        <v>0</v>
      </c>
      <c r="E114" s="115" t="n">
        <f aca="false">E112-E113</f>
        <v>0</v>
      </c>
      <c r="F114" s="135"/>
      <c r="G114" s="138" t="s">
        <v>140</v>
      </c>
      <c r="H114" s="145"/>
      <c r="I114" s="145"/>
      <c r="J114" s="210" t="n">
        <f aca="false">J112-J113</f>
        <v>0</v>
      </c>
      <c r="K114" s="115" t="n">
        <f aca="false">K112-K113</f>
        <v>0</v>
      </c>
      <c r="L114" s="135"/>
      <c r="M114" s="138" t="s">
        <v>140</v>
      </c>
      <c r="N114" s="145"/>
      <c r="O114" s="145"/>
      <c r="P114" s="210" t="n">
        <f aca="false">P112-P113</f>
        <v>400</v>
      </c>
      <c r="Q114" s="115" t="n">
        <f aca="false">Q112-Q113</f>
        <v>200</v>
      </c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 t="s">
        <v>141</v>
      </c>
      <c r="B115" s="145"/>
      <c r="C115" s="145"/>
      <c r="D115" s="210" t="n">
        <f aca="false">D114-E114</f>
        <v>0</v>
      </c>
      <c r="E115" s="146"/>
      <c r="F115" s="135"/>
      <c r="G115" s="138" t="s">
        <v>141</v>
      </c>
      <c r="H115" s="145"/>
      <c r="I115" s="145"/>
      <c r="J115" s="210" t="n">
        <f aca="false">J114-K114</f>
        <v>0</v>
      </c>
      <c r="K115" s="146"/>
      <c r="L115" s="135"/>
      <c r="M115" s="138" t="s">
        <v>141</v>
      </c>
      <c r="N115" s="145"/>
      <c r="O115" s="145"/>
      <c r="P115" s="210" t="n">
        <f aca="false">P114-Q114</f>
        <v>200</v>
      </c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/>
      <c r="B116" s="145"/>
      <c r="C116" s="145"/>
      <c r="D116" s="145"/>
      <c r="E116" s="146"/>
      <c r="F116" s="135"/>
      <c r="G116" s="138"/>
      <c r="H116" s="145"/>
      <c r="I116" s="145"/>
      <c r="J116" s="145"/>
      <c r="K116" s="146"/>
      <c r="L116" s="135"/>
      <c r="M116" s="138"/>
      <c r="N116" s="145"/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80" t="s">
        <v>142</v>
      </c>
      <c r="B117" s="181"/>
      <c r="C117" s="181"/>
      <c r="D117" s="181"/>
      <c r="E117" s="203" t="n">
        <f aca="false">D99</f>
        <v>1000</v>
      </c>
      <c r="F117" s="135"/>
      <c r="G117" s="180" t="s">
        <v>142</v>
      </c>
      <c r="H117" s="181"/>
      <c r="I117" s="181"/>
      <c r="J117" s="181"/>
      <c r="K117" s="203" t="n">
        <f aca="false">J99</f>
        <v>0</v>
      </c>
      <c r="L117" s="135"/>
      <c r="M117" s="180" t="s">
        <v>142</v>
      </c>
      <c r="N117" s="181"/>
      <c r="O117" s="181"/>
      <c r="P117" s="181"/>
      <c r="Q117" s="203" t="n">
        <f aca="false">P99</f>
        <v>0</v>
      </c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52</v>
      </c>
      <c r="B118" s="145"/>
      <c r="C118" s="145"/>
      <c r="D118" s="145"/>
      <c r="E118" s="143" t="n">
        <f aca="false">A102</f>
        <v>199.99</v>
      </c>
      <c r="F118" s="135"/>
      <c r="G118" s="138" t="s">
        <v>52</v>
      </c>
      <c r="H118" s="145"/>
      <c r="I118" s="145"/>
      <c r="J118" s="145"/>
      <c r="K118" s="143" t="n">
        <f aca="false">G102</f>
        <v>199.99</v>
      </c>
      <c r="L118" s="135"/>
      <c r="M118" s="138" t="s">
        <v>52</v>
      </c>
      <c r="N118" s="145"/>
      <c r="O118" s="145"/>
      <c r="P118" s="145"/>
      <c r="Q118" s="143" t="n">
        <f aca="false">M102</f>
        <v>199.99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211" t="s">
        <v>143</v>
      </c>
      <c r="B119" s="178"/>
      <c r="C119" s="178"/>
      <c r="D119" s="178"/>
      <c r="E119" s="185" t="n">
        <f aca="false">((E118/1.2)+E117)-(D115-E113)</f>
        <v>1166.65833333333</v>
      </c>
      <c r="F119" s="135"/>
      <c r="G119" s="211" t="s">
        <v>143</v>
      </c>
      <c r="H119" s="178"/>
      <c r="I119" s="178"/>
      <c r="J119" s="178"/>
      <c r="K119" s="185" t="n">
        <f aca="false">((K118/1.2)+K117)-(J115-K113)</f>
        <v>166.658333333333</v>
      </c>
      <c r="L119" s="135"/>
      <c r="M119" s="211" t="s">
        <v>143</v>
      </c>
      <c r="N119" s="178"/>
      <c r="O119" s="178"/>
      <c r="P119" s="178"/>
      <c r="Q119" s="185" t="n">
        <f aca="false">(Q118+Q117)-P115</f>
        <v>-0.00999999999999091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/>
      <c r="B120" s="145"/>
      <c r="C120" s="145"/>
      <c r="D120" s="145"/>
      <c r="E120" s="146"/>
      <c r="F120" s="135"/>
      <c r="G120" s="138"/>
      <c r="H120" s="145"/>
      <c r="I120" s="145"/>
      <c r="J120" s="145"/>
      <c r="K120" s="146"/>
      <c r="L120" s="135"/>
      <c r="M120" s="138"/>
      <c r="N120" s="145"/>
      <c r="O120" s="145"/>
      <c r="P120" s="145"/>
      <c r="Q120" s="146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/>
      <c r="B121" s="145"/>
      <c r="C121" s="145"/>
      <c r="D121" s="145"/>
      <c r="E121" s="146"/>
      <c r="F121" s="135"/>
      <c r="G121" s="138"/>
      <c r="H121" s="145"/>
      <c r="I121" s="145"/>
      <c r="J121" s="145"/>
      <c r="K121" s="146"/>
      <c r="L121" s="135"/>
      <c r="M121" s="138"/>
      <c r="N121" s="145"/>
      <c r="O121" s="145"/>
      <c r="P121" s="145"/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29" t="s">
        <v>144</v>
      </c>
      <c r="B122" s="29"/>
      <c r="C122" s="29"/>
      <c r="D122" s="29"/>
      <c r="E122" s="29"/>
      <c r="F122" s="135"/>
      <c r="G122" s="29" t="s">
        <v>144</v>
      </c>
      <c r="H122" s="29"/>
      <c r="I122" s="29"/>
      <c r="J122" s="29"/>
      <c r="K122" s="29"/>
      <c r="L122" s="135"/>
      <c r="M122" s="29" t="s">
        <v>144</v>
      </c>
      <c r="N122" s="29"/>
      <c r="O122" s="29"/>
      <c r="P122" s="29"/>
      <c r="Q122" s="29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38"/>
      <c r="B123" s="145"/>
      <c r="C123" s="145"/>
      <c r="D123" s="145"/>
      <c r="E123" s="146"/>
      <c r="F123" s="135"/>
      <c r="G123" s="138"/>
      <c r="H123" s="145"/>
      <c r="I123" s="145"/>
      <c r="J123" s="145"/>
      <c r="K123" s="146"/>
      <c r="L123" s="135"/>
      <c r="M123" s="138"/>
      <c r="N123" s="145"/>
      <c r="O123" s="145"/>
      <c r="P123" s="145"/>
      <c r="Q123" s="146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145</v>
      </c>
      <c r="B124" s="117" t="n">
        <v>0</v>
      </c>
      <c r="C124" s="117"/>
      <c r="D124" s="145"/>
      <c r="E124" s="146"/>
      <c r="F124" s="135"/>
      <c r="G124" s="138" t="s">
        <v>145</v>
      </c>
      <c r="H124" s="117" t="n">
        <v>0</v>
      </c>
      <c r="I124" s="117"/>
      <c r="J124" s="145"/>
      <c r="K124" s="146"/>
      <c r="L124" s="135"/>
      <c r="M124" s="138" t="s">
        <v>145</v>
      </c>
      <c r="N124" s="117" t="n">
        <v>0</v>
      </c>
      <c r="O124" s="117"/>
      <c r="P124" s="145"/>
      <c r="Q124" s="146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138"/>
      <c r="B125" s="145"/>
      <c r="C125" s="145"/>
      <c r="D125" s="145"/>
      <c r="E125" s="146"/>
      <c r="F125" s="135"/>
      <c r="G125" s="138"/>
      <c r="H125" s="145"/>
      <c r="I125" s="145"/>
      <c r="J125" s="145"/>
      <c r="K125" s="146"/>
      <c r="L125" s="135"/>
      <c r="M125" s="138"/>
      <c r="N125" s="145"/>
      <c r="O125" s="145"/>
      <c r="P125" s="145"/>
      <c r="Q125" s="146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212" t="s">
        <v>148</v>
      </c>
      <c r="B126" s="213" t="s">
        <v>149</v>
      </c>
      <c r="C126" s="213"/>
      <c r="D126" s="213" t="s">
        <v>150</v>
      </c>
      <c r="E126" s="146"/>
      <c r="F126" s="135"/>
      <c r="G126" s="212" t="s">
        <v>148</v>
      </c>
      <c r="H126" s="213" t="s">
        <v>149</v>
      </c>
      <c r="I126" s="213"/>
      <c r="J126" s="213" t="s">
        <v>150</v>
      </c>
      <c r="K126" s="146"/>
      <c r="L126" s="135"/>
      <c r="M126" s="212" t="s">
        <v>146</v>
      </c>
      <c r="N126" s="213" t="s">
        <v>147</v>
      </c>
      <c r="O126" s="213"/>
      <c r="P126" s="213" t="s">
        <v>112</v>
      </c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22" t="n">
        <f aca="false">B90</f>
        <v>1381.90051379218</v>
      </c>
      <c r="B127" s="214" t="n">
        <f aca="false">IF(A105="YES", B89*B57, 0)</f>
        <v>370.8</v>
      </c>
      <c r="C127" s="214"/>
      <c r="D127" s="124" t="n">
        <f aca="false">B91</f>
        <v>1423.10051379218</v>
      </c>
      <c r="E127" s="146"/>
      <c r="F127" s="135"/>
      <c r="G127" s="122" t="n">
        <f aca="false">H90</f>
        <v>1189.86736688544</v>
      </c>
      <c r="H127" s="214" t="n">
        <f aca="false">IF(G105="YES", H89*H57, 0)</f>
        <v>217.053658536585</v>
      </c>
      <c r="I127" s="214"/>
      <c r="J127" s="124" t="n">
        <f aca="false">H91</f>
        <v>1226.04297664154</v>
      </c>
      <c r="K127" s="146"/>
      <c r="L127" s="135"/>
      <c r="M127" s="122" t="n">
        <f aca="false">N90</f>
        <v>984.491094073066</v>
      </c>
      <c r="N127" s="214" t="n">
        <f aca="false">IF(M105="YES", N89*N57, 0)</f>
        <v>180.878048780488</v>
      </c>
      <c r="O127" s="214"/>
      <c r="P127" s="214" t="n">
        <f aca="false">N91</f>
        <v>1014.63743553648</v>
      </c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138"/>
      <c r="B128" s="145"/>
      <c r="C128" s="145"/>
      <c r="D128" s="145"/>
      <c r="E128" s="146"/>
      <c r="F128" s="135"/>
      <c r="G128" s="138"/>
      <c r="H128" s="145"/>
      <c r="I128" s="145"/>
      <c r="J128" s="145"/>
      <c r="K128" s="146"/>
      <c r="L128" s="135"/>
      <c r="M128" s="138"/>
      <c r="N128" s="145"/>
      <c r="O128" s="145"/>
      <c r="P128" s="145"/>
      <c r="Q128" s="146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 t="s">
        <v>81</v>
      </c>
      <c r="B129" s="145" t="s">
        <v>82</v>
      </c>
      <c r="C129" s="145"/>
      <c r="D129" s="145" t="s">
        <v>84</v>
      </c>
      <c r="E129" s="146"/>
      <c r="F129" s="135"/>
      <c r="G129" s="138" t="s">
        <v>81</v>
      </c>
      <c r="H129" s="145" t="s">
        <v>82</v>
      </c>
      <c r="I129" s="145"/>
      <c r="J129" s="145" t="s">
        <v>84</v>
      </c>
      <c r="K129" s="146"/>
      <c r="L129" s="135"/>
      <c r="M129" s="138" t="s">
        <v>81</v>
      </c>
      <c r="N129" s="145" t="s">
        <v>82</v>
      </c>
      <c r="O129" s="145"/>
      <c r="P129" s="145" t="s">
        <v>84</v>
      </c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43" t="n">
        <f aca="false">A152</f>
        <v>36</v>
      </c>
      <c r="B130" s="118" t="n">
        <f aca="false">B151</f>
        <v>10000</v>
      </c>
      <c r="C130" s="45"/>
      <c r="D130" s="118" t="n">
        <f aca="false">B58</f>
        <v>27</v>
      </c>
      <c r="E130" s="146"/>
      <c r="F130" s="135"/>
      <c r="G130" s="43" t="n">
        <f aca="false">G152</f>
        <v>36</v>
      </c>
      <c r="H130" s="118" t="n">
        <f aca="false">B151</f>
        <v>10000</v>
      </c>
      <c r="I130" s="45"/>
      <c r="J130" s="118" t="n">
        <f aca="false">B58</f>
        <v>27</v>
      </c>
      <c r="K130" s="146"/>
      <c r="L130" s="135"/>
      <c r="M130" s="43" t="n">
        <f aca="false">M155</f>
        <v>36</v>
      </c>
      <c r="N130" s="118" t="n">
        <f aca="false">B151</f>
        <v>10000</v>
      </c>
      <c r="O130" s="45"/>
      <c r="P130" s="118" t="n">
        <f aca="false">B58</f>
        <v>27</v>
      </c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154</v>
      </c>
      <c r="B132" s="145" t="s">
        <v>155</v>
      </c>
      <c r="C132" s="145"/>
      <c r="D132" s="145" t="s">
        <v>156</v>
      </c>
      <c r="E132" s="146"/>
      <c r="F132" s="135"/>
      <c r="G132" s="138" t="s">
        <v>154</v>
      </c>
      <c r="H132" s="145" t="s">
        <v>155</v>
      </c>
      <c r="I132" s="145"/>
      <c r="J132" s="145" t="s">
        <v>156</v>
      </c>
      <c r="K132" s="146"/>
      <c r="L132" s="135"/>
      <c r="M132" s="138" t="s">
        <v>151</v>
      </c>
      <c r="N132" s="145" t="s">
        <v>152</v>
      </c>
      <c r="O132" s="145"/>
      <c r="P132" s="145" t="s">
        <v>153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125" t="n">
        <f aca="false">B90*B57</f>
        <v>12437.1046241296</v>
      </c>
      <c r="B133" s="215" t="n">
        <f aca="false">IF(A105="YES", B89*B57, 0)</f>
        <v>370.8</v>
      </c>
      <c r="C133" s="155"/>
      <c r="D133" s="128" t="n">
        <f aca="false">B91*B57</f>
        <v>12807.9046241296</v>
      </c>
      <c r="E133" s="146"/>
      <c r="F133" s="135"/>
      <c r="G133" s="125" t="n">
        <f aca="false">H90*H57</f>
        <v>7139.20420131264</v>
      </c>
      <c r="H133" s="215" t="n">
        <f aca="false">IF(G105="YES", H89*H57, 0)</f>
        <v>217.053658536585</v>
      </c>
      <c r="I133" s="155"/>
      <c r="J133" s="128" t="n">
        <f aca="false">H91*H57</f>
        <v>7356.25785984922</v>
      </c>
      <c r="K133" s="146"/>
      <c r="L133" s="135"/>
      <c r="M133" s="125" t="n">
        <f aca="false">N90*N57</f>
        <v>5906.94656443839</v>
      </c>
      <c r="N133" s="215" t="n">
        <f aca="false">IF(M105="YES", N89*N57, 0)</f>
        <v>180.878048780488</v>
      </c>
      <c r="O133" s="155"/>
      <c r="P133" s="128" t="n">
        <f aca="false">N91*N57</f>
        <v>6087.82461321888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138" t="s">
        <v>160</v>
      </c>
      <c r="B135" s="145" t="s">
        <v>161</v>
      </c>
      <c r="C135" s="145"/>
      <c r="D135" s="145" t="s">
        <v>162</v>
      </c>
      <c r="E135" s="146"/>
      <c r="F135" s="135"/>
      <c r="G135" s="138" t="s">
        <v>160</v>
      </c>
      <c r="H135" s="145" t="s">
        <v>161</v>
      </c>
      <c r="I135" s="145"/>
      <c r="J135" s="145" t="s">
        <v>162</v>
      </c>
      <c r="K135" s="146"/>
      <c r="L135" s="135"/>
      <c r="M135" s="138" t="s">
        <v>157</v>
      </c>
      <c r="N135" s="145" t="s">
        <v>158</v>
      </c>
      <c r="O135" s="145"/>
      <c r="P135" s="145" t="s">
        <v>159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9" t="n">
        <f aca="false">E15*0.000006</f>
        <v>0.35115</v>
      </c>
      <c r="B136" s="215" t="n">
        <f aca="false">IF(A105="YES", E15*0.000002, 0)</f>
        <v>0.11705</v>
      </c>
      <c r="C136" s="215"/>
      <c r="D136" s="215" t="n">
        <f aca="false">A136+B136</f>
        <v>0.4682</v>
      </c>
      <c r="E136" s="130"/>
      <c r="F136" s="135"/>
      <c r="G136" s="129" t="n">
        <f aca="false">E15*0.000006</f>
        <v>0.35115</v>
      </c>
      <c r="H136" s="215" t="n">
        <f aca="false">IF(G105="YES", E15*0.000002, 0)</f>
        <v>0.11705</v>
      </c>
      <c r="I136" s="215"/>
      <c r="J136" s="215" t="n">
        <f aca="false">G136+H136</f>
        <v>0.4682</v>
      </c>
      <c r="K136" s="130"/>
      <c r="L136" s="135"/>
      <c r="M136" s="129" t="n">
        <f aca="false">E15*0.000006</f>
        <v>0.35115</v>
      </c>
      <c r="N136" s="215" t="n">
        <f aca="false">IF(M105="YES", E15*0.000002, 0)</f>
        <v>0.11705</v>
      </c>
      <c r="O136" s="215"/>
      <c r="P136" s="215" t="n">
        <f aca="false">M136+N136</f>
        <v>0.4682</v>
      </c>
      <c r="Q136" s="130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166</v>
      </c>
      <c r="B138" s="145" t="s">
        <v>164</v>
      </c>
      <c r="C138" s="145"/>
      <c r="D138" s="145" t="s">
        <v>165</v>
      </c>
      <c r="E138" s="146"/>
      <c r="F138" s="135"/>
      <c r="G138" s="138" t="s">
        <v>166</v>
      </c>
      <c r="H138" s="145" t="s">
        <v>164</v>
      </c>
      <c r="I138" s="145"/>
      <c r="J138" s="145" t="s">
        <v>165</v>
      </c>
      <c r="K138" s="146"/>
      <c r="L138" s="135"/>
      <c r="M138" s="138" t="s">
        <v>163</v>
      </c>
      <c r="N138" s="145" t="s">
        <v>164</v>
      </c>
      <c r="O138" s="145"/>
      <c r="P138" s="145" t="s">
        <v>165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9" t="n">
        <f aca="false">A102</f>
        <v>199.99</v>
      </c>
      <c r="B139" s="215" t="n">
        <f aca="false">B67</f>
        <v>964.75</v>
      </c>
      <c r="C139" s="215"/>
      <c r="D139" s="215" t="n">
        <f aca="false">B102*0.9</f>
        <v>0</v>
      </c>
      <c r="E139" s="130"/>
      <c r="F139" s="135"/>
      <c r="G139" s="129" t="n">
        <f aca="false">G102</f>
        <v>199.99</v>
      </c>
      <c r="H139" s="215" t="n">
        <f aca="false">H67</f>
        <v>964.75</v>
      </c>
      <c r="I139" s="215"/>
      <c r="J139" s="215" t="n">
        <f aca="false">H102*0.9</f>
        <v>0</v>
      </c>
      <c r="K139" s="130"/>
      <c r="L139" s="135"/>
      <c r="M139" s="129" t="n">
        <f aca="false">M102</f>
        <v>199.99</v>
      </c>
      <c r="N139" s="215" t="n">
        <f aca="false">N67</f>
        <v>964.75</v>
      </c>
      <c r="O139" s="215"/>
      <c r="P139" s="215" t="n">
        <f aca="false">N102*0.9</f>
        <v>0</v>
      </c>
      <c r="Q139" s="130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167</v>
      </c>
      <c r="B141" s="145" t="s">
        <v>168</v>
      </c>
      <c r="C141" s="145"/>
      <c r="D141" s="145" t="s">
        <v>169</v>
      </c>
      <c r="E141" s="146"/>
      <c r="F141" s="135"/>
      <c r="G141" s="138" t="s">
        <v>167</v>
      </c>
      <c r="H141" s="145" t="s">
        <v>168</v>
      </c>
      <c r="I141" s="145"/>
      <c r="J141" s="145" t="s">
        <v>169</v>
      </c>
      <c r="K141" s="146"/>
      <c r="L141" s="135"/>
      <c r="M141" s="138" t="s">
        <v>167</v>
      </c>
      <c r="N141" s="145" t="s">
        <v>168</v>
      </c>
      <c r="O141" s="145"/>
      <c r="P141" s="145" t="s">
        <v>169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IF(A105="YES", ((B36*B105)*0.1)*(A130), 0)</f>
        <v>20.6</v>
      </c>
      <c r="B142" s="215" t="n">
        <f aca="false">A102-100</f>
        <v>99.99</v>
      </c>
      <c r="C142" s="215"/>
      <c r="D142" s="215" t="n">
        <f aca="false">(B139+D139+A142+B142)-B145</f>
        <v>1085.34</v>
      </c>
      <c r="E142" s="130"/>
      <c r="F142" s="135"/>
      <c r="G142" s="129" t="n">
        <f aca="false">IF(G105="YES", ((B36*H105)*0.1)*(G130), 0)</f>
        <v>20.6</v>
      </c>
      <c r="H142" s="215" t="n">
        <f aca="false">G102-100</f>
        <v>99.99</v>
      </c>
      <c r="I142" s="215"/>
      <c r="J142" s="215" t="n">
        <f aca="false">(H139+J139+G142+H142)-H145</f>
        <v>1085.34</v>
      </c>
      <c r="K142" s="130"/>
      <c r="L142" s="135"/>
      <c r="M142" s="129" t="n">
        <f aca="false">IF(M105="YES", ((B36*N105)*0.1)*(M130), 0)</f>
        <v>20.6</v>
      </c>
      <c r="N142" s="215" t="n">
        <f aca="false">M102-100</f>
        <v>99.99</v>
      </c>
      <c r="O142" s="215"/>
      <c r="P142" s="215" t="n">
        <f aca="false">(N139+P139+M142+N142)-N145</f>
        <v>1085.34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170</v>
      </c>
      <c r="B144" s="145" t="s">
        <v>171</v>
      </c>
      <c r="C144" s="145"/>
      <c r="D144" s="145"/>
      <c r="E144" s="146"/>
      <c r="F144" s="135"/>
      <c r="G144" s="138" t="s">
        <v>170</v>
      </c>
      <c r="H144" s="145" t="s">
        <v>171</v>
      </c>
      <c r="I144" s="145"/>
      <c r="J144" s="145"/>
      <c r="K144" s="146"/>
      <c r="L144" s="135"/>
      <c r="M144" s="138" t="s">
        <v>170</v>
      </c>
      <c r="N144" s="145" t="s">
        <v>171</v>
      </c>
      <c r="O144" s="145"/>
      <c r="P144" s="145"/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v>0</v>
      </c>
      <c r="B145" s="215" t="n">
        <f aca="false">(B139+D139+A142+B142)*(A145/B64)</f>
        <v>0</v>
      </c>
      <c r="C145" s="145"/>
      <c r="D145" s="145"/>
      <c r="E145" s="146"/>
      <c r="F145" s="135"/>
      <c r="G145" s="129" t="n">
        <v>0</v>
      </c>
      <c r="H145" s="215" t="n">
        <f aca="false">(H139+J139+G142+H142)*(G145/H64)</f>
        <v>0</v>
      </c>
      <c r="I145" s="145"/>
      <c r="J145" s="145"/>
      <c r="K145" s="146"/>
      <c r="L145" s="135"/>
      <c r="M145" s="129" t="n">
        <v>0</v>
      </c>
      <c r="N145" s="215" t="n">
        <f aca="false">(N139+P139+M142+N142)*(M145/N64)</f>
        <v>0</v>
      </c>
      <c r="O145" s="145"/>
      <c r="P145" s="145"/>
      <c r="Q145" s="146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29"/>
      <c r="N146" s="21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/>
      <c r="B147" s="145"/>
      <c r="C147" s="145"/>
      <c r="D147" s="145"/>
      <c r="E147" s="146"/>
      <c r="F147" s="135"/>
      <c r="G147" s="138"/>
      <c r="H147" s="145"/>
      <c r="I147" s="145"/>
      <c r="J147" s="145"/>
      <c r="K147" s="146"/>
      <c r="L147" s="135"/>
      <c r="M147" s="131" t="s">
        <v>172</v>
      </c>
      <c r="N147" s="210" t="s">
        <v>173</v>
      </c>
      <c r="O147" s="145"/>
      <c r="P147" s="145"/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72" t="s">
        <v>174</v>
      </c>
      <c r="B148" s="145"/>
      <c r="C148" s="145"/>
      <c r="D148" s="173"/>
      <c r="E148" s="174"/>
      <c r="F148" s="135"/>
      <c r="G148" s="172" t="s">
        <v>174</v>
      </c>
      <c r="H148" s="145"/>
      <c r="I148" s="145"/>
      <c r="J148" s="173"/>
      <c r="K148" s="174"/>
      <c r="L148" s="135"/>
      <c r="M148" s="132" t="n">
        <v>18000</v>
      </c>
      <c r="N148" s="133" t="n">
        <v>0.99</v>
      </c>
      <c r="O148" s="133"/>
      <c r="P148" s="145"/>
      <c r="Q148" s="146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75"/>
      <c r="C149" s="175"/>
      <c r="D149" s="145"/>
      <c r="E149" s="146"/>
      <c r="F149" s="135"/>
      <c r="G149" s="138"/>
      <c r="H149" s="175"/>
      <c r="I149" s="17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5"/>
      <c r="E150" s="146"/>
      <c r="F150" s="135"/>
      <c r="G150" s="71" t="s">
        <v>81</v>
      </c>
      <c r="H150" s="72" t="s">
        <v>82</v>
      </c>
      <c r="I150" s="72"/>
      <c r="J150" s="145"/>
      <c r="K150" s="146"/>
      <c r="L150" s="135"/>
      <c r="M150" s="138"/>
      <c r="N150" s="145"/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71"/>
      <c r="B151" s="73" t="n">
        <f aca="false">B51</f>
        <v>10000</v>
      </c>
      <c r="C151" s="73"/>
      <c r="D151" s="145"/>
      <c r="E151" s="146"/>
      <c r="F151" s="135"/>
      <c r="G151" s="71"/>
      <c r="H151" s="73" t="n">
        <f aca="false">B51</f>
        <v>10000</v>
      </c>
      <c r="I151" s="73"/>
      <c r="J151" s="145"/>
      <c r="K151" s="146"/>
      <c r="L151" s="135"/>
      <c r="M151" s="172" t="s">
        <v>174</v>
      </c>
      <c r="N151" s="145"/>
      <c r="O151" s="145"/>
      <c r="P151" s="173"/>
      <c r="Q151" s="174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74" t="n">
        <f aca="false">A52</f>
        <v>36</v>
      </c>
      <c r="B152" s="75" t="n">
        <f aca="false">B91</f>
        <v>1423.10051379218</v>
      </c>
      <c r="C152" s="75"/>
      <c r="D152" s="145"/>
      <c r="E152" s="146"/>
      <c r="F152" s="135"/>
      <c r="G152" s="74" t="n">
        <f aca="false">A52</f>
        <v>36</v>
      </c>
      <c r="H152" s="75" t="n">
        <f aca="false">H91</f>
        <v>1226.04297664154</v>
      </c>
      <c r="I152" s="75"/>
      <c r="J152" s="145"/>
      <c r="K152" s="146"/>
      <c r="L152" s="135"/>
      <c r="M152" s="138"/>
      <c r="N152" s="175"/>
      <c r="O152" s="17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71" t="s">
        <v>81</v>
      </c>
      <c r="N153" s="72" t="s">
        <v>82</v>
      </c>
      <c r="O153" s="72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138"/>
      <c r="B154" s="145"/>
      <c r="C154" s="145"/>
      <c r="D154" s="145"/>
      <c r="E154" s="146"/>
      <c r="F154" s="135"/>
      <c r="G154" s="138"/>
      <c r="H154" s="145"/>
      <c r="I154" s="145"/>
      <c r="J154" s="145"/>
      <c r="K154" s="146"/>
      <c r="L154" s="135"/>
      <c r="M154" s="71"/>
      <c r="N154" s="73" t="n">
        <f aca="false">B51</f>
        <v>10000</v>
      </c>
      <c r="O154" s="7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45"/>
      <c r="C155" s="145"/>
      <c r="D155" s="145"/>
      <c r="E155" s="146"/>
      <c r="F155" s="135"/>
      <c r="G155" s="138"/>
      <c r="H155" s="145"/>
      <c r="I155" s="145"/>
      <c r="J155" s="145"/>
      <c r="K155" s="146"/>
      <c r="L155" s="135"/>
      <c r="M155" s="74" t="n">
        <f aca="false">A52</f>
        <v>36</v>
      </c>
      <c r="N155" s="75" t="n">
        <f aca="false">N91</f>
        <v>1014.63743553648</v>
      </c>
      <c r="O155" s="7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138"/>
      <c r="B156" s="145"/>
      <c r="C156" s="145"/>
      <c r="D156" s="145"/>
      <c r="E156" s="146"/>
      <c r="F156" s="135"/>
      <c r="G156" s="138"/>
      <c r="H156" s="145"/>
      <c r="I156" s="145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177"/>
      <c r="B157" s="178"/>
      <c r="C157" s="178"/>
      <c r="D157" s="178"/>
      <c r="E157" s="179"/>
      <c r="F157" s="135"/>
      <c r="G157" s="177"/>
      <c r="H157" s="178"/>
      <c r="I157" s="178"/>
      <c r="J157" s="178"/>
      <c r="K157" s="179"/>
      <c r="L157" s="135"/>
      <c r="M157" s="138"/>
      <c r="N157" s="145"/>
      <c r="O157" s="145"/>
      <c r="P157" s="145"/>
      <c r="Q157" s="146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8"/>
      <c r="N158" s="145"/>
      <c r="O158" s="14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8"/>
      <c r="N159" s="145"/>
      <c r="O159" s="145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8"/>
      <c r="N160" s="145"/>
      <c r="O160" s="145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8"/>
      <c r="N161" s="145"/>
      <c r="O161" s="14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77"/>
      <c r="N162" s="178"/>
      <c r="O162" s="178"/>
      <c r="P162" s="178"/>
      <c r="Q162" s="179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A126" activeCellId="0" sqref="A126"/>
    </sheetView>
  </sheetViews>
  <sheetFormatPr defaultColWidth="10.87890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374" t="n">
        <v>46854.17</v>
      </c>
      <c r="C3" s="139" t="n">
        <v>0</v>
      </c>
      <c r="D3" s="374" t="n">
        <v>833.33</v>
      </c>
      <c r="E3" s="140" t="n">
        <v>0</v>
      </c>
      <c r="F3" s="135" t="n">
        <v>833.33</v>
      </c>
      <c r="G3" s="135" t="n">
        <v>25000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0" t="n">
        <v>0</v>
      </c>
      <c r="C4" s="0" t="n">
        <v>0</v>
      </c>
      <c r="D4" s="0" t="n">
        <v>0</v>
      </c>
      <c r="E4" s="142"/>
      <c r="F4" s="135" t="n">
        <v>0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 t="n">
        <v>0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37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376" t="n">
        <f aca="false">G9*100/B3</f>
        <v>-222.685622218897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7" t="n">
        <f aca="false">(B7+C7+D7+E3)</f>
        <v>47687.5</v>
      </c>
      <c r="F9" s="135"/>
      <c r="G9" s="375" t="n">
        <f aca="false">E9-G11</f>
        <v>-104337.5</v>
      </c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37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 E9 + E10 ) * 0.2</f>
        <v>9647.5</v>
      </c>
      <c r="F11" s="135"/>
      <c r="G11" s="375" t="n">
        <f aca="false">G13/1.2</f>
        <v>152025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375" t="n">
        <f aca="false">G15-E14-E13-E12</f>
        <v>182430</v>
      </c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78" t="n">
        <f aca="false">(E9+E10+E13+E14+E11) - E12</f>
        <v>58525</v>
      </c>
      <c r="F15" s="135"/>
      <c r="G15" s="149" t="n">
        <v>183070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379" t="n">
        <f aca="false">(B3+C3+E10)*1.2</f>
        <v>56885.004</v>
      </c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 t="n">
        <v>0</v>
      </c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8.75" hidden="false" customHeight="tru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154" t="s">
        <v>130</v>
      </c>
      <c r="B26" s="156" t="s">
        <v>25</v>
      </c>
      <c r="C26" s="145"/>
      <c r="D26" s="145"/>
      <c r="E26" s="146"/>
      <c r="F26" s="135"/>
      <c r="G26" s="152" t="s">
        <v>30</v>
      </c>
      <c r="H26" s="152" t="s">
        <v>31</v>
      </c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32</v>
      </c>
      <c r="H27" s="153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5"/>
      <c r="G28" s="153" t="s">
        <v>36</v>
      </c>
      <c r="H28" s="153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38"/>
      <c r="B29" s="145"/>
      <c r="C29" s="145"/>
      <c r="D29" s="145"/>
      <c r="E29" s="146"/>
      <c r="F29" s="135"/>
      <c r="G29" s="152" t="s">
        <v>38</v>
      </c>
      <c r="H29" s="380" t="n">
        <v>36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 t="s">
        <v>145</v>
      </c>
      <c r="B30" s="117" t="s">
        <v>278</v>
      </c>
      <c r="C30" s="117"/>
      <c r="D30" s="145"/>
      <c r="E30" s="146"/>
      <c r="F30" s="135"/>
      <c r="G30" s="152" t="s">
        <v>39</v>
      </c>
      <c r="H30" s="380" t="n">
        <v>10000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38"/>
      <c r="B31" s="145"/>
      <c r="C31" s="145"/>
      <c r="D31" s="145"/>
      <c r="E31" s="146"/>
      <c r="F31" s="135"/>
      <c r="G31" s="152" t="s">
        <v>43</v>
      </c>
      <c r="H31" s="365" t="n">
        <v>27500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38" t="s">
        <v>81</v>
      </c>
      <c r="B32" s="145" t="s">
        <v>82</v>
      </c>
      <c r="C32" s="145"/>
      <c r="D32" s="381" t="s">
        <v>279</v>
      </c>
      <c r="E32" s="146"/>
      <c r="F32" s="135"/>
      <c r="G32" s="152" t="s">
        <v>46</v>
      </c>
      <c r="I32" s="365" t="n">
        <v>1030</v>
      </c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2" t="n">
        <f aca="false">H48</f>
        <v>951.531975672137</v>
      </c>
      <c r="E33" s="146"/>
      <c r="F33" s="135"/>
      <c r="G33" s="153" t="s">
        <v>280</v>
      </c>
      <c r="H33" s="383" t="n">
        <f aca="false">E21-E11+((E16*20%)+(E19*20%)+(E20*20%))</f>
        <v>48877.5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138"/>
      <c r="B34" s="145"/>
      <c r="C34" s="145"/>
      <c r="D34" s="145"/>
      <c r="E34" s="146"/>
      <c r="F34" s="135"/>
      <c r="G34" s="135" t="s">
        <v>305</v>
      </c>
      <c r="H34" s="135" t="n">
        <f aca="false">H29</f>
        <v>36</v>
      </c>
      <c r="I34" s="135" t="n">
        <v>43957.29</v>
      </c>
      <c r="J34" s="135" t="n">
        <v>841.24</v>
      </c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38" t="s">
        <v>281</v>
      </c>
      <c r="B35" s="145" t="s">
        <v>282</v>
      </c>
      <c r="C35" s="145"/>
      <c r="D35" s="145" t="s">
        <v>283</v>
      </c>
      <c r="E35" s="146"/>
      <c r="F35" s="135"/>
      <c r="G35" s="162" t="s">
        <v>50</v>
      </c>
      <c r="H35" s="163" t="n">
        <v>0.065</v>
      </c>
      <c r="I35" s="135" t="n">
        <v>46215.83</v>
      </c>
      <c r="J35" s="135" t="n">
        <v>909.69</v>
      </c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25" t="n">
        <f aca="false">H47</f>
        <v>922.920864561026</v>
      </c>
      <c r="B36" s="215" t="n">
        <f aca="false">IF(B26="YES", H42, "")</f>
        <v>28.6111111111111</v>
      </c>
      <c r="C36" s="155"/>
      <c r="D36" s="128" t="n">
        <f aca="false">H31</f>
        <v>27500</v>
      </c>
      <c r="E36" s="146"/>
      <c r="F36" s="135"/>
      <c r="G36" s="135"/>
      <c r="H36" s="135"/>
      <c r="I36" s="135" t="n">
        <f aca="false">I35-I34</f>
        <v>2258.54</v>
      </c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29"/>
      <c r="B37" s="215"/>
      <c r="C37" s="155"/>
      <c r="D37" s="215"/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38"/>
      <c r="B38" s="145"/>
      <c r="C38" s="145"/>
      <c r="D38" s="145"/>
      <c r="E38" s="146"/>
      <c r="F38" s="135"/>
      <c r="G38" s="168" t="s">
        <v>56</v>
      </c>
      <c r="H38" s="168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138" t="s">
        <v>284</v>
      </c>
      <c r="B39" s="145" t="s">
        <v>285</v>
      </c>
      <c r="C39" s="145"/>
      <c r="D39" s="145" t="s">
        <v>286</v>
      </c>
      <c r="E39" s="146"/>
      <c r="F39" s="135"/>
      <c r="G39" s="135" t="s">
        <v>83</v>
      </c>
      <c r="H39" s="165" t="n">
        <f aca="false">H33</f>
        <v>48877.5</v>
      </c>
      <c r="I39" s="165" t="n">
        <f aca="false">(I48*H46)+H44</f>
        <v>63509.8854689439</v>
      </c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6"/>
      <c r="F40" s="135"/>
      <c r="G40" s="135" t="s">
        <v>211</v>
      </c>
      <c r="H40" s="165" t="n">
        <f aca="false">(A40)/1.2</f>
        <v>22916.6666666667</v>
      </c>
      <c r="I40" s="165" t="n">
        <f aca="false">H39-I39</f>
        <v>-14632.3854689439</v>
      </c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138"/>
      <c r="B41" s="145"/>
      <c r="C41" s="145"/>
      <c r="D41" s="145"/>
      <c r="E41" s="146"/>
      <c r="F41" s="135"/>
      <c r="G41" s="135" t="s">
        <v>287</v>
      </c>
      <c r="H41" s="167" t="n">
        <f aca="false">H35/12</f>
        <v>0.00541666666666667</v>
      </c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138"/>
      <c r="B42" s="145"/>
      <c r="C42" s="145"/>
      <c r="D42" s="145"/>
      <c r="E42" s="146"/>
      <c r="F42" s="135"/>
      <c r="G42" s="135" t="s">
        <v>288</v>
      </c>
      <c r="H42" s="165" t="n">
        <f aca="false">(I32/H34)*(C45/100)</f>
        <v>28.6111111111111</v>
      </c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180"/>
      <c r="B43" s="181"/>
      <c r="C43" s="181"/>
      <c r="D43" s="181"/>
      <c r="E43" s="182"/>
      <c r="F43" s="135"/>
      <c r="G43" s="135" t="s">
        <v>289</v>
      </c>
      <c r="H43" s="135"/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384" t="s">
        <v>203</v>
      </c>
      <c r="B44" s="145"/>
      <c r="C44" s="385" t="s">
        <v>204</v>
      </c>
      <c r="D44" s="385"/>
      <c r="E44" s="146"/>
      <c r="F44" s="135"/>
      <c r="G44" s="135" t="s">
        <v>306</v>
      </c>
      <c r="H44" s="165" t="n">
        <f aca="false">(H40/(1+H41)^(H34+1))</f>
        <v>18764.9097705681</v>
      </c>
      <c r="I44" s="16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386" t="s">
        <v>291</v>
      </c>
      <c r="B45" s="145"/>
      <c r="C45" s="387" t="s">
        <v>291</v>
      </c>
      <c r="D45" s="387"/>
      <c r="E45" s="146"/>
      <c r="F45" s="135"/>
      <c r="G45" s="135" t="s">
        <v>307</v>
      </c>
      <c r="H45" s="165" t="n">
        <f aca="false">(H39-H44)</f>
        <v>30112.5902294319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177"/>
      <c r="B46" s="178"/>
      <c r="C46" s="178"/>
      <c r="D46" s="178"/>
      <c r="E46" s="179"/>
      <c r="F46" s="135"/>
      <c r="G46" s="135" t="s">
        <v>308</v>
      </c>
      <c r="H46" s="165" t="n">
        <f aca="false">((1-(1/((1+H41)^H34)))/H41)</f>
        <v>32.627488862498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38"/>
      <c r="B47" s="145"/>
      <c r="C47" s="145"/>
      <c r="D47" s="145"/>
      <c r="E47" s="146"/>
      <c r="F47" s="135"/>
      <c r="G47" s="135" t="s">
        <v>294</v>
      </c>
      <c r="H47" s="165" t="n">
        <f aca="false">H45/H46</f>
        <v>922.920864561026</v>
      </c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172" t="s">
        <v>205</v>
      </c>
      <c r="B48" s="145"/>
      <c r="C48" s="145"/>
      <c r="D48" s="173"/>
      <c r="E48" s="174"/>
      <c r="F48" s="135"/>
      <c r="G48" s="388" t="s">
        <v>295</v>
      </c>
      <c r="H48" s="165" t="n">
        <f aca="false">IF(B26="YES", H47+H42, H47)</f>
        <v>951.531975672137</v>
      </c>
      <c r="I48" s="165" t="n">
        <f aca="false">I49-H42</f>
        <v>1371.38888888889</v>
      </c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138"/>
      <c r="B49" s="175"/>
      <c r="C49" s="175"/>
      <c r="D49" s="145"/>
      <c r="E49" s="146"/>
      <c r="F49" s="135"/>
      <c r="G49" s="135" t="s">
        <v>296</v>
      </c>
      <c r="H49" s="176"/>
      <c r="I49" s="165" t="n">
        <v>1400</v>
      </c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5"/>
      <c r="E50" s="146"/>
      <c r="F50" s="135"/>
      <c r="G50" s="135"/>
      <c r="H50" s="13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5"/>
      <c r="E51" s="146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5"/>
      <c r="E52" s="146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138"/>
      <c r="B53" s="145"/>
      <c r="C53" s="145"/>
      <c r="D53" s="145"/>
      <c r="E53" s="146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7"/>
      <c r="B54" s="178"/>
      <c r="C54" s="178"/>
      <c r="D54" s="178"/>
      <c r="E54" s="179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45"/>
      <c r="B55" s="145"/>
      <c r="C55" s="145"/>
      <c r="D55" s="145"/>
      <c r="E55" s="145"/>
      <c r="F55" s="135"/>
      <c r="G55" s="145"/>
      <c r="H55" s="145"/>
      <c r="I55" s="145"/>
      <c r="J55" s="145"/>
      <c r="K55" s="145"/>
      <c r="L55" s="135"/>
      <c r="M55" s="145"/>
      <c r="N55" s="145"/>
      <c r="O55" s="145"/>
      <c r="P55" s="145"/>
      <c r="Q55" s="14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180"/>
      <c r="B56" s="181"/>
      <c r="C56" s="181"/>
      <c r="D56" s="181"/>
      <c r="E56" s="182"/>
      <c r="F56" s="135"/>
      <c r="G56" s="180"/>
      <c r="H56" s="181"/>
      <c r="I56" s="181"/>
      <c r="J56" s="181"/>
      <c r="K56" s="182"/>
      <c r="L56" s="135"/>
      <c r="M56" s="180"/>
      <c r="N56" s="181"/>
      <c r="O56" s="181"/>
      <c r="P56" s="181"/>
      <c r="Q56" s="182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138" t="s">
        <v>83</v>
      </c>
      <c r="B57" s="145" t="n">
        <f aca="false">IF(B99=Y97,1,IF(B99=Y98,1,IF(B99=Y99,3,IF(B99=Y100,6,IF(B99=Y101,9,IF(B99=Y102,12,IF(B99=Y103,3,IF(B99=Y104,6,IF(B99=Y105,9,0)))))))))</f>
        <v>9</v>
      </c>
      <c r="C57" s="145"/>
      <c r="D57" s="145"/>
      <c r="E57" s="146"/>
      <c r="F57" s="135"/>
      <c r="G57" s="138" t="s">
        <v>83</v>
      </c>
      <c r="H57" s="145" t="n">
        <f aca="false">IF(H99=Y97,1,IF(H99=Y98,1,IF(H99=Y99,3,IF(H99=Y100,6,IF(H99=Y101,9,IF(H99=Y102,12,IF(H99=Y103,3,IF(H99=Y104,6,IF(H99=Y105,9,0)))))))))</f>
        <v>6</v>
      </c>
      <c r="I57" s="145"/>
      <c r="J57" s="145"/>
      <c r="K57" s="146"/>
      <c r="L57" s="135"/>
      <c r="M57" s="138" t="s">
        <v>83</v>
      </c>
      <c r="N57" s="145" t="n">
        <f aca="false">IF(N99=Y97,1,IF(N99=Y98,1,IF(N99=Y99,3,IF(N99=Y100,6,IF(N99=Y101,9,IF(N99=Y102,12,IF(N99=Y103,3,IF(N99=Y104,6,IF(N99=Y105,9,0)))))))))</f>
        <v>6</v>
      </c>
      <c r="O57" s="145"/>
      <c r="P57" s="145"/>
      <c r="Q57" s="146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138" t="s">
        <v>84</v>
      </c>
      <c r="B58" s="145" t="n">
        <f aca="false">IF(B99=Y97,H29-B57,IF(B99=Y98,H29-B57,IF(B99=Y99,H29-1,IF(B99=Y100,H29-1,IF(B99=Y101,H29-1,IF(B99=Y102,H29-1,IF(B99=Y103,H29-B57,IF(B99=Y104,H29-B57,IF(B99=Y105,H29-B57,0)))))))))</f>
        <v>27</v>
      </c>
      <c r="C58" s="145"/>
      <c r="D58" s="145"/>
      <c r="E58" s="146"/>
      <c r="F58" s="135"/>
      <c r="G58" s="138" t="s">
        <v>84</v>
      </c>
      <c r="H58" s="145" t="n">
        <f aca="false">IF(H99=Y97,H29-H57,IF(H99=Y98,H29-H57,IF(H99=Y99,H29-1,IF(H99=Y100,H29-1,IF(H99=Y101,H29-1,IF(H99=Y102,H29-1,IF(H99=Y103,H29-H57,IF(H99=Y104,H29-H57,IF(H99=Y105,H29-H57,0)))))))))</f>
        <v>35</v>
      </c>
      <c r="I58" s="145"/>
      <c r="J58" s="145"/>
      <c r="K58" s="146"/>
      <c r="L58" s="135"/>
      <c r="M58" s="138" t="s">
        <v>84</v>
      </c>
      <c r="N58" s="145" t="n">
        <f aca="false">IF(N99=Y97,H29-N57,IF(N99=Y98,H29-N57,IF(N99=Y99,H29-1,IF(N99=Y100,H29-1,IF(N99=Y101,H29-1,IF(N99=Y102,H29-1,IF(N99=Y103,H29-N57,IF(N99=Y104,H29-N57,IF(N99=Y105,H29-N57,0)))))))))</f>
        <v>35</v>
      </c>
      <c r="O58" s="145"/>
      <c r="P58" s="145"/>
      <c r="Q58" s="146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8"/>
      <c r="H59" s="145"/>
      <c r="I59" s="145"/>
      <c r="J59" s="145"/>
      <c r="K59" s="146"/>
      <c r="L59" s="135"/>
      <c r="M59" s="138"/>
      <c r="N59" s="145"/>
      <c r="O59" s="145"/>
      <c r="P59" s="145"/>
      <c r="Q59" s="146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38"/>
      <c r="B60" s="145"/>
      <c r="C60" s="145"/>
      <c r="D60" s="145"/>
      <c r="E60" s="146"/>
      <c r="F60" s="135"/>
      <c r="G60" s="138"/>
      <c r="H60" s="145"/>
      <c r="I60" s="145"/>
      <c r="J60" s="145"/>
      <c r="K60" s="146"/>
      <c r="L60" s="135"/>
      <c r="M60" s="138"/>
      <c r="N60" s="145"/>
      <c r="O60" s="145"/>
      <c r="P60" s="145"/>
      <c r="Q60" s="146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38" t="s">
        <v>21</v>
      </c>
      <c r="B61" s="144" t="n">
        <f aca="false">G18</f>
        <v>57885</v>
      </c>
      <c r="C61" s="145"/>
      <c r="D61" s="145"/>
      <c r="E61" s="146"/>
      <c r="F61" s="135"/>
      <c r="G61" s="138" t="s">
        <v>21</v>
      </c>
      <c r="H61" s="144" t="n">
        <f aca="false">G18</f>
        <v>57885</v>
      </c>
      <c r="I61" s="145"/>
      <c r="J61" s="145"/>
      <c r="K61" s="146"/>
      <c r="L61" s="135"/>
      <c r="M61" s="138" t="s">
        <v>21</v>
      </c>
      <c r="N61" s="144" t="n">
        <f aca="false">G18</f>
        <v>57885</v>
      </c>
      <c r="O61" s="145"/>
      <c r="P61" s="145"/>
      <c r="Q61" s="146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3" t="s">
        <v>85</v>
      </c>
      <c r="B62" s="184" t="n">
        <v>0.07</v>
      </c>
      <c r="C62" s="145"/>
      <c r="D62" s="145"/>
      <c r="E62" s="146"/>
      <c r="F62" s="135"/>
      <c r="G62" s="183" t="s">
        <v>85</v>
      </c>
      <c r="H62" s="184" t="n">
        <v>0.07</v>
      </c>
      <c r="I62" s="145"/>
      <c r="J62" s="145"/>
      <c r="K62" s="146"/>
      <c r="L62" s="135"/>
      <c r="M62" s="183" t="s">
        <v>85</v>
      </c>
      <c r="N62" s="184" t="n">
        <v>0.07</v>
      </c>
      <c r="O62" s="145"/>
      <c r="P62" s="145"/>
      <c r="Q62" s="146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86</v>
      </c>
      <c r="B63" s="142" t="n">
        <f aca="false">B62+(B62*0.25*((H29/12)-1))</f>
        <v>0.105</v>
      </c>
      <c r="C63" s="145"/>
      <c r="D63" s="145"/>
      <c r="E63" s="146"/>
      <c r="F63" s="135"/>
      <c r="G63" s="138" t="s">
        <v>86</v>
      </c>
      <c r="H63" s="142" t="n">
        <f aca="false">H62+(H62*0.25*(H29/12-1))</f>
        <v>0.105</v>
      </c>
      <c r="I63" s="145"/>
      <c r="J63" s="145"/>
      <c r="K63" s="146"/>
      <c r="L63" s="135"/>
      <c r="M63" s="138" t="s">
        <v>86</v>
      </c>
      <c r="N63" s="142" t="n">
        <f aca="false">N62+(N62*0.25*(H29/12-1))</f>
        <v>0.105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77" t="s">
        <v>87</v>
      </c>
      <c r="B64" s="185" t="n">
        <f aca="false">B61*B63</f>
        <v>6077.925</v>
      </c>
      <c r="C64" s="392"/>
      <c r="D64" s="144" t="n">
        <f aca="false">B64</f>
        <v>6077.925</v>
      </c>
      <c r="E64" s="391" t="n">
        <f aca="false">D64/(B58+B57)</f>
        <v>168.83125</v>
      </c>
      <c r="F64" s="135"/>
      <c r="G64" s="177" t="s">
        <v>87</v>
      </c>
      <c r="H64" s="185" t="n">
        <f aca="false">H61*H63</f>
        <v>6077.925</v>
      </c>
      <c r="I64" s="145"/>
      <c r="J64" s="144" t="n">
        <f aca="false">H64-G145</f>
        <v>6077.925</v>
      </c>
      <c r="K64" s="146"/>
      <c r="L64" s="135"/>
      <c r="M64" s="177" t="s">
        <v>87</v>
      </c>
      <c r="N64" s="185" t="n">
        <f aca="false">N61*N63</f>
        <v>6077.925</v>
      </c>
      <c r="O64" s="145"/>
      <c r="P64" s="144" t="n">
        <f aca="false">N64-M145</f>
        <v>6077.925</v>
      </c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83" t="s">
        <v>88</v>
      </c>
      <c r="B65" s="184" t="n">
        <v>0.01</v>
      </c>
      <c r="C65" s="145"/>
      <c r="D65" s="144"/>
      <c r="E65" s="146"/>
      <c r="F65" s="135"/>
      <c r="G65" s="183" t="s">
        <v>88</v>
      </c>
      <c r="H65" s="184" t="n">
        <v>0.01</v>
      </c>
      <c r="I65" s="145"/>
      <c r="J65" s="145"/>
      <c r="K65" s="146"/>
      <c r="L65" s="135"/>
      <c r="M65" s="183" t="s">
        <v>88</v>
      </c>
      <c r="N65" s="184" t="n">
        <v>0.01</v>
      </c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 t="s">
        <v>89</v>
      </c>
      <c r="B66" s="142" t="n">
        <f aca="false">B65+(B65*0.5*(H29/12-1))</f>
        <v>0.02</v>
      </c>
      <c r="C66" s="393"/>
      <c r="D66" s="145"/>
      <c r="E66" s="146"/>
      <c r="F66" s="135"/>
      <c r="G66" s="138" t="s">
        <v>89</v>
      </c>
      <c r="H66" s="142" t="n">
        <f aca="false">H65+(H65*0.5*(H29/12-1))</f>
        <v>0.02</v>
      </c>
      <c r="I66" s="145"/>
      <c r="J66" s="145"/>
      <c r="K66" s="146"/>
      <c r="L66" s="135"/>
      <c r="M66" s="138" t="s">
        <v>89</v>
      </c>
      <c r="N66" s="142" t="n">
        <f aca="false">N65+(N65*0.5*(H29/12-1))</f>
        <v>0.02</v>
      </c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77" t="s">
        <v>90</v>
      </c>
      <c r="B67" s="185" t="n">
        <f aca="false">(B61*B66)</f>
        <v>1157.7</v>
      </c>
      <c r="C67" s="394"/>
      <c r="D67" s="395"/>
      <c r="E67" s="146"/>
      <c r="F67" s="135"/>
      <c r="G67" s="177" t="s">
        <v>90</v>
      </c>
      <c r="H67" s="185" t="n">
        <f aca="false">(H61*H66)/1.2</f>
        <v>964.75</v>
      </c>
      <c r="I67" s="145"/>
      <c r="J67" s="144"/>
      <c r="K67" s="146"/>
      <c r="L67" s="135"/>
      <c r="M67" s="177" t="s">
        <v>90</v>
      </c>
      <c r="N67" s="185" t="n">
        <f aca="false">(N61*N66)/1.2</f>
        <v>964.75</v>
      </c>
      <c r="O67" s="145"/>
      <c r="P67" s="144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91</v>
      </c>
      <c r="B68" s="184" t="n">
        <v>0.0075</v>
      </c>
      <c r="C68" s="396"/>
      <c r="D68" s="144"/>
      <c r="E68" s="146"/>
      <c r="F68" s="135"/>
      <c r="G68" s="183" t="s">
        <v>91</v>
      </c>
      <c r="H68" s="184" t="n">
        <v>0.0075</v>
      </c>
      <c r="I68" s="145"/>
      <c r="J68" s="145"/>
      <c r="K68" s="146"/>
      <c r="L68" s="135"/>
      <c r="M68" s="183" t="s">
        <v>91</v>
      </c>
      <c r="N68" s="184" t="n">
        <v>0.0075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6" t="s">
        <v>92</v>
      </c>
      <c r="B69" s="186" t="n">
        <v>0.12</v>
      </c>
      <c r="C69" s="145"/>
      <c r="D69" s="145"/>
      <c r="E69" s="146"/>
      <c r="F69" s="135"/>
      <c r="G69" s="136" t="s">
        <v>92</v>
      </c>
      <c r="H69" s="186" t="n">
        <v>0.12</v>
      </c>
      <c r="I69" s="145"/>
      <c r="J69" s="145"/>
      <c r="K69" s="146"/>
      <c r="L69" s="135"/>
      <c r="M69" s="136" t="s">
        <v>92</v>
      </c>
      <c r="N69" s="186" t="n">
        <v>0.12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93</v>
      </c>
      <c r="B70" s="187" t="n">
        <f aca="false">B68*(1+B69)</f>
        <v>0.0084</v>
      </c>
      <c r="C70" s="145"/>
      <c r="D70" s="145"/>
      <c r="E70" s="146"/>
      <c r="F70" s="135"/>
      <c r="G70" s="177" t="s">
        <v>93</v>
      </c>
      <c r="H70" s="187" t="n">
        <f aca="false">H68*(1+H69)</f>
        <v>0.0084</v>
      </c>
      <c r="I70" s="145"/>
      <c r="J70" s="145"/>
      <c r="K70" s="146"/>
      <c r="L70" s="135"/>
      <c r="M70" s="177" t="s">
        <v>93</v>
      </c>
      <c r="N70" s="389" t="n">
        <f aca="false">N68*(1+N69)</f>
        <v>0.0084</v>
      </c>
      <c r="O70" s="145"/>
      <c r="P70" s="145"/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94</v>
      </c>
      <c r="B71" s="188" t="n">
        <v>200</v>
      </c>
      <c r="C71" s="145"/>
      <c r="D71" s="145"/>
      <c r="E71" s="146"/>
      <c r="F71" s="135"/>
      <c r="G71" s="183" t="s">
        <v>94</v>
      </c>
      <c r="H71" s="188" t="n">
        <v>160</v>
      </c>
      <c r="I71" s="145"/>
      <c r="J71" s="145"/>
      <c r="K71" s="146"/>
      <c r="L71" s="135"/>
      <c r="M71" s="183" t="s">
        <v>94</v>
      </c>
      <c r="N71" s="188" t="n">
        <v>160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6" t="s">
        <v>95</v>
      </c>
      <c r="B72" s="189" t="n">
        <v>5</v>
      </c>
      <c r="C72" s="145"/>
      <c r="D72" s="145"/>
      <c r="E72" s="146"/>
      <c r="F72" s="135"/>
      <c r="G72" s="136" t="s">
        <v>95</v>
      </c>
      <c r="H72" s="189" t="n">
        <v>4.5</v>
      </c>
      <c r="I72" s="145"/>
      <c r="J72" s="145"/>
      <c r="K72" s="146"/>
      <c r="L72" s="135"/>
      <c r="M72" s="136" t="s">
        <v>95</v>
      </c>
      <c r="N72" s="189" t="n">
        <v>4.5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96</v>
      </c>
      <c r="B73" s="185" t="n">
        <f aca="false">B72*H29</f>
        <v>180</v>
      </c>
      <c r="C73" s="145"/>
      <c r="D73" s="144" t="n">
        <f aca="false">B73+B71</f>
        <v>380</v>
      </c>
      <c r="E73" s="146"/>
      <c r="F73" s="135"/>
      <c r="G73" s="177" t="s">
        <v>96</v>
      </c>
      <c r="H73" s="185" t="n">
        <f aca="false">H72*H29</f>
        <v>162</v>
      </c>
      <c r="I73" s="145"/>
      <c r="J73" s="144" t="n">
        <f aca="false">H73+H71</f>
        <v>322</v>
      </c>
      <c r="K73" s="146"/>
      <c r="L73" s="135"/>
      <c r="M73" s="177" t="s">
        <v>96</v>
      </c>
      <c r="N73" s="185" t="n">
        <f aca="false">N72*H29</f>
        <v>162</v>
      </c>
      <c r="O73" s="145"/>
      <c r="P73" s="144" t="n">
        <f aca="false">N73+N71</f>
        <v>322</v>
      </c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97</v>
      </c>
      <c r="B74" s="188" t="n">
        <v>165</v>
      </c>
      <c r="C74" s="145"/>
      <c r="D74" s="145"/>
      <c r="E74" s="146"/>
      <c r="F74" s="135"/>
      <c r="G74" s="183" t="s">
        <v>97</v>
      </c>
      <c r="H74" s="188" t="n">
        <v>165</v>
      </c>
      <c r="I74" s="145"/>
      <c r="J74" s="145"/>
      <c r="K74" s="146"/>
      <c r="L74" s="135"/>
      <c r="M74" s="191" t="s">
        <v>97</v>
      </c>
      <c r="N74" s="192" t="n">
        <v>0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98</v>
      </c>
      <c r="B75" s="189" t="n">
        <v>355</v>
      </c>
      <c r="C75" s="145"/>
      <c r="D75" s="145"/>
      <c r="E75" s="146"/>
      <c r="F75" s="135"/>
      <c r="G75" s="136" t="s">
        <v>98</v>
      </c>
      <c r="H75" s="189" t="n">
        <v>0</v>
      </c>
      <c r="I75" s="145"/>
      <c r="J75" s="145"/>
      <c r="K75" s="146"/>
      <c r="L75" s="135"/>
      <c r="M75" s="193" t="s">
        <v>98</v>
      </c>
      <c r="N75" s="194" t="n">
        <v>0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99</v>
      </c>
      <c r="B76" s="185" t="n">
        <f aca="false">((B74+B75)/12)*(H29-11)</f>
        <v>1083.33333333333</v>
      </c>
      <c r="C76" s="145"/>
      <c r="D76" s="144" t="n">
        <f aca="false">B76</f>
        <v>1083.33333333333</v>
      </c>
      <c r="E76" s="146"/>
      <c r="F76" s="135"/>
      <c r="G76" s="177" t="s">
        <v>99</v>
      </c>
      <c r="H76" s="185" t="n">
        <f aca="false">((H74+H75)/12)*(H29-11)</f>
        <v>343.75</v>
      </c>
      <c r="I76" s="145"/>
      <c r="J76" s="144" t="n">
        <f aca="false">H76</f>
        <v>343.75</v>
      </c>
      <c r="K76" s="146"/>
      <c r="L76" s="135"/>
      <c r="M76" s="195" t="s">
        <v>99</v>
      </c>
      <c r="N76" s="196" t="n">
        <f aca="false">((N74+N75)/12)*(H29-11)</f>
        <v>0</v>
      </c>
      <c r="O76" s="145"/>
      <c r="P76" s="144" t="n">
        <f aca="false">N76</f>
        <v>0</v>
      </c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0" t="s">
        <v>100</v>
      </c>
      <c r="B77" s="203" t="n">
        <f aca="false">B102*1.1</f>
        <v>0</v>
      </c>
      <c r="C77" s="397"/>
      <c r="D77" s="144" t="n">
        <f aca="false">B77</f>
        <v>0</v>
      </c>
      <c r="E77" s="391" t="n">
        <f aca="false">D77/(B58+B57)</f>
        <v>0</v>
      </c>
      <c r="F77" s="135"/>
      <c r="G77" s="183" t="s">
        <v>100</v>
      </c>
      <c r="H77" s="188" t="n">
        <v>0</v>
      </c>
      <c r="I77" s="145"/>
      <c r="J77" s="144" t="n">
        <f aca="false">H77</f>
        <v>0</v>
      </c>
      <c r="K77" s="146"/>
      <c r="L77" s="135"/>
      <c r="M77" s="183" t="s">
        <v>100</v>
      </c>
      <c r="N77" s="188" t="n">
        <v>0</v>
      </c>
      <c r="O77" s="145"/>
      <c r="P77" s="144" t="n">
        <f aca="false">N77</f>
        <v>0</v>
      </c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8" t="s">
        <v>102</v>
      </c>
      <c r="B78" s="143" t="n">
        <f aca="false">D102/(1-0.1)</f>
        <v>0</v>
      </c>
      <c r="C78" s="397"/>
      <c r="D78" s="144" t="n">
        <f aca="false">B78</f>
        <v>0</v>
      </c>
      <c r="E78" s="391"/>
      <c r="F78" s="135"/>
      <c r="G78" s="138" t="s">
        <v>102</v>
      </c>
      <c r="H78" s="143" t="n">
        <v>0</v>
      </c>
      <c r="I78" s="145"/>
      <c r="J78" s="144" t="n">
        <f aca="false">H78</f>
        <v>0</v>
      </c>
      <c r="K78" s="146"/>
      <c r="L78" s="135"/>
      <c r="M78" s="138" t="s">
        <v>102</v>
      </c>
      <c r="N78" s="143" t="n">
        <v>0</v>
      </c>
      <c r="O78" s="145"/>
      <c r="P78" s="144" t="n">
        <f aca="false">N78</f>
        <v>0</v>
      </c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36" t="s">
        <v>103</v>
      </c>
      <c r="B79" s="189" t="n">
        <v>200</v>
      </c>
      <c r="C79" s="397"/>
      <c r="D79" s="144" t="n">
        <f aca="false">B79</f>
        <v>200</v>
      </c>
      <c r="E79" s="391"/>
      <c r="F79" s="135"/>
      <c r="G79" s="136" t="s">
        <v>103</v>
      </c>
      <c r="H79" s="189" t="n">
        <v>200</v>
      </c>
      <c r="I79" s="145"/>
      <c r="J79" s="144" t="n">
        <f aca="false">H79</f>
        <v>200</v>
      </c>
      <c r="K79" s="146"/>
      <c r="L79" s="135"/>
      <c r="M79" s="136" t="s">
        <v>103</v>
      </c>
      <c r="N79" s="189" t="n">
        <v>200</v>
      </c>
      <c r="O79" s="145"/>
      <c r="P79" s="144" t="n">
        <f aca="false">N79</f>
        <v>200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97" t="s">
        <v>104</v>
      </c>
      <c r="B80" s="198" t="n">
        <v>200</v>
      </c>
      <c r="C80" s="397"/>
      <c r="D80" s="144" t="n">
        <f aca="false">B80</f>
        <v>200</v>
      </c>
      <c r="E80" s="391" t="n">
        <f aca="false">(D73+D76+D79+D80)/(B58+B57)</f>
        <v>51.7592592592593</v>
      </c>
      <c r="F80" s="135"/>
      <c r="G80" s="197" t="s">
        <v>104</v>
      </c>
      <c r="H80" s="198" t="n">
        <v>200</v>
      </c>
      <c r="I80" s="145"/>
      <c r="J80" s="144" t="n">
        <f aca="false">H80</f>
        <v>200</v>
      </c>
      <c r="K80" s="146"/>
      <c r="L80" s="135"/>
      <c r="M80" s="197" t="s">
        <v>104</v>
      </c>
      <c r="N80" s="198" t="n">
        <v>200</v>
      </c>
      <c r="O80" s="145"/>
      <c r="P80" s="144" t="n">
        <f aca="false">N80</f>
        <v>200</v>
      </c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99" t="s">
        <v>105</v>
      </c>
      <c r="B81" s="200" t="n">
        <f aca="false">SUM(D64:D80)</f>
        <v>7941.25833333333</v>
      </c>
      <c r="C81" s="397"/>
      <c r="D81" s="398"/>
      <c r="E81" s="391"/>
      <c r="F81" s="135"/>
      <c r="G81" s="199" t="s">
        <v>105</v>
      </c>
      <c r="H81" s="200" t="n">
        <f aca="false">SUM(J64:J80)</f>
        <v>7143.675</v>
      </c>
      <c r="I81" s="145"/>
      <c r="J81" s="145"/>
      <c r="K81" s="146"/>
      <c r="L81" s="135"/>
      <c r="M81" s="199" t="s">
        <v>105</v>
      </c>
      <c r="N81" s="200" t="n">
        <f aca="false">SUM(P64:P80)</f>
        <v>6799.925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38" t="s">
        <v>106</v>
      </c>
      <c r="B82" s="143" t="n">
        <f aca="false">B81/H29</f>
        <v>220.590509259259</v>
      </c>
      <c r="C82" s="397"/>
      <c r="D82" s="145"/>
      <c r="E82" s="391"/>
      <c r="F82" s="135"/>
      <c r="G82" s="138" t="s">
        <v>106</v>
      </c>
      <c r="H82" s="143" t="n">
        <f aca="false">H81/H29</f>
        <v>198.435416666667</v>
      </c>
      <c r="I82" s="145"/>
      <c r="J82" s="145"/>
      <c r="K82" s="146"/>
      <c r="L82" s="135"/>
      <c r="M82" s="138" t="s">
        <v>106</v>
      </c>
      <c r="N82" s="143" t="n">
        <f aca="false">N81/H29</f>
        <v>188.886805555556</v>
      </c>
      <c r="O82" s="145"/>
      <c r="P82" s="145"/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201" t="s">
        <v>107</v>
      </c>
      <c r="B83" s="202" t="n">
        <f aca="false">H47</f>
        <v>922.920864561026</v>
      </c>
      <c r="C83" s="397"/>
      <c r="D83" s="145"/>
      <c r="E83" s="391" t="n">
        <f aca="false">B83+E80+E77+E64</f>
        <v>1143.51137382028</v>
      </c>
      <c r="F83" s="135"/>
      <c r="G83" s="201" t="s">
        <v>107</v>
      </c>
      <c r="H83" s="202" t="n">
        <f aca="false">H47</f>
        <v>922.920864561026</v>
      </c>
      <c r="I83" s="145"/>
      <c r="J83" s="145"/>
      <c r="K83" s="146"/>
      <c r="L83" s="135"/>
      <c r="M83" s="201" t="s">
        <v>107</v>
      </c>
      <c r="N83" s="202" t="n">
        <f aca="false">H47</f>
        <v>922.920864561026</v>
      </c>
      <c r="O83" s="145"/>
      <c r="P83" s="145"/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/>
      <c r="B84" s="144"/>
      <c r="C84" s="397"/>
      <c r="D84" s="397"/>
      <c r="E84" s="391"/>
      <c r="F84" s="135"/>
      <c r="G84" s="138"/>
      <c r="H84" s="144"/>
      <c r="I84" s="145"/>
      <c r="J84" s="145"/>
      <c r="K84" s="146"/>
      <c r="L84" s="135"/>
      <c r="M84" s="138"/>
      <c r="N84" s="144"/>
      <c r="O84" s="145"/>
      <c r="P84" s="145"/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80" t="s">
        <v>108</v>
      </c>
      <c r="B85" s="203" t="n">
        <f aca="false">((B83*H29)+B81)</f>
        <v>41166.4094575303</v>
      </c>
      <c r="C85" s="397"/>
      <c r="D85" s="397"/>
      <c r="E85" s="391" t="n">
        <f aca="false">B85/(B58+B57)</f>
        <v>1143.51137382028</v>
      </c>
      <c r="F85" s="135"/>
      <c r="G85" s="180" t="s">
        <v>108</v>
      </c>
      <c r="H85" s="203" t="n">
        <f aca="false">((H83*H29)+H81)*1.2</f>
        <v>48442.5913490363</v>
      </c>
      <c r="I85" s="145"/>
      <c r="J85" s="145"/>
      <c r="K85" s="146"/>
      <c r="L85" s="135"/>
      <c r="M85" s="180" t="s">
        <v>108</v>
      </c>
      <c r="N85" s="203" t="n">
        <f aca="false">((N83*H29)+N81)</f>
        <v>40025.0761241969</v>
      </c>
      <c r="O85" s="145"/>
      <c r="P85" s="145"/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38" t="s">
        <v>109</v>
      </c>
      <c r="B86" s="143" t="n">
        <f aca="false">(((B83*H29)+B81)/(1-B70))*B70</f>
        <v>348.727147482104</v>
      </c>
      <c r="C86" s="397"/>
      <c r="D86" s="145"/>
      <c r="E86" s="391" t="n">
        <f aca="false">B86/(B58+B57)</f>
        <v>9.68686520783622</v>
      </c>
      <c r="F86" s="135"/>
      <c r="G86" s="138" t="s">
        <v>109</v>
      </c>
      <c r="H86" s="143" t="n">
        <f aca="false">((((H83*H29)+H81))/(1-H70))*H70</f>
        <v>341.970693266694</v>
      </c>
      <c r="I86" s="145"/>
      <c r="J86" s="145"/>
      <c r="K86" s="146"/>
      <c r="L86" s="135"/>
      <c r="M86" s="138" t="s">
        <v>109</v>
      </c>
      <c r="N86" s="143" t="n">
        <f aca="false">(N85/(1-N70))*N70</f>
        <v>339.058732798764</v>
      </c>
      <c r="O86" s="145"/>
      <c r="P86" s="145"/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77" t="s">
        <v>110</v>
      </c>
      <c r="B87" s="185" t="n">
        <f aca="false">IF(B110="YES",((B85+B86)-E114),((B85+B86)))</f>
        <v>41515.1366050124</v>
      </c>
      <c r="C87" s="397"/>
      <c r="D87" s="399"/>
      <c r="E87" s="391" t="n">
        <f aca="false">E86+E85</f>
        <v>1153.19823902812</v>
      </c>
      <c r="F87" s="135"/>
      <c r="G87" s="177" t="s">
        <v>110</v>
      </c>
      <c r="H87" s="185" t="n">
        <f aca="false">IF(H110="YES",((H85+H86)-K114),(H85+H86))</f>
        <v>48784.562042303</v>
      </c>
      <c r="I87" s="145"/>
      <c r="J87" s="145"/>
      <c r="K87" s="146"/>
      <c r="L87" s="135"/>
      <c r="M87" s="177" t="s">
        <v>110</v>
      </c>
      <c r="N87" s="185" t="n">
        <f aca="false">IF(N110="YES",((N85+N86)-Q114),(N85+N86))</f>
        <v>40364.1348569957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/>
      <c r="B88" s="144"/>
      <c r="C88" s="397"/>
      <c r="D88" s="145"/>
      <c r="E88" s="391"/>
      <c r="F88" s="135"/>
      <c r="G88" s="138"/>
      <c r="H88" s="144"/>
      <c r="I88" s="145"/>
      <c r="J88" s="145"/>
      <c r="K88" s="146"/>
      <c r="L88" s="135"/>
      <c r="M88" s="138"/>
      <c r="N88" s="144"/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199" t="s">
        <v>65</v>
      </c>
      <c r="B89" s="200" t="n">
        <f aca="false">IF(B99=Y98, (I32+(I32*B105))/(B58), (I32+(I32*B105))/(B57+B58))</f>
        <v>34.3333333333333</v>
      </c>
      <c r="C89" s="397"/>
      <c r="D89" s="145"/>
      <c r="E89" s="146"/>
      <c r="F89" s="135"/>
      <c r="G89" s="199" t="s">
        <v>65</v>
      </c>
      <c r="H89" s="200" t="n">
        <f aca="false">IF(H99=Y98, (D40+(D40*H105))/(H58), (D40+(D40*H105))/(H57+H58))*1.2</f>
        <v>36.1756097560976</v>
      </c>
      <c r="I89" s="145"/>
      <c r="J89" s="145"/>
      <c r="K89" s="146"/>
      <c r="L89" s="135"/>
      <c r="M89" s="199" t="s">
        <v>65</v>
      </c>
      <c r="N89" s="200" t="n">
        <f aca="false">IF(N99=Y98, (D40+(D40*N105))/(N58), (D40+(D40*N105))/(N57+N58))</f>
        <v>30.1463414634146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205" t="s">
        <v>111</v>
      </c>
      <c r="B90" s="206" t="n">
        <f aca="false">IF(B99=Y98, (B87-D105)/(B58), B87/(B57+B58))</f>
        <v>1153.19823902812</v>
      </c>
      <c r="C90" s="397"/>
      <c r="D90" s="145"/>
      <c r="E90" s="400"/>
      <c r="F90" s="135"/>
      <c r="G90" s="205" t="s">
        <v>111</v>
      </c>
      <c r="H90" s="206" t="n">
        <f aca="false">IF(H99=Y98, (H87-J105)/(H58), H87/(H57+H58))</f>
        <v>1189.86736688544</v>
      </c>
      <c r="I90" s="145"/>
      <c r="J90" s="145"/>
      <c r="K90" s="146"/>
      <c r="L90" s="135"/>
      <c r="M90" s="205" t="s">
        <v>111</v>
      </c>
      <c r="N90" s="206" t="n">
        <f aca="false">IF(N99=Y98, (N87-P105)/(N58), N87/(N57+N58))</f>
        <v>984.491094073066</v>
      </c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207" t="s">
        <v>112</v>
      </c>
      <c r="B91" s="208" t="n">
        <f aca="false">IF(A105="YES", B90+B89, B90)</f>
        <v>1187.53157236145</v>
      </c>
      <c r="C91" s="397"/>
      <c r="D91" s="401"/>
      <c r="E91" s="190"/>
      <c r="F91" s="135"/>
      <c r="G91" s="207" t="s">
        <v>112</v>
      </c>
      <c r="H91" s="208" t="n">
        <f aca="false">IF(G105="YES", H90+H89, H90)</f>
        <v>1226.04297664154</v>
      </c>
      <c r="I91" s="145"/>
      <c r="J91" s="145"/>
      <c r="K91" s="146"/>
      <c r="L91" s="135"/>
      <c r="M91" s="207" t="s">
        <v>112</v>
      </c>
      <c r="N91" s="208" t="n">
        <f aca="false">IF(M105="YES", N90+N89, N90)</f>
        <v>1014.63743553648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77"/>
      <c r="B92" s="402"/>
      <c r="C92" s="178"/>
      <c r="D92" s="178"/>
      <c r="E92" s="179"/>
      <c r="F92" s="135"/>
      <c r="G92" s="177"/>
      <c r="H92" s="178"/>
      <c r="I92" s="178"/>
      <c r="J92" s="178"/>
      <c r="K92" s="179"/>
      <c r="L92" s="135"/>
      <c r="M92" s="177"/>
      <c r="N92" s="178"/>
      <c r="O92" s="178"/>
      <c r="P92" s="178"/>
      <c r="Q92" s="179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45"/>
      <c r="B93" s="145"/>
      <c r="C93" s="145"/>
      <c r="D93" s="145"/>
      <c r="E93" s="145"/>
      <c r="F93" s="135"/>
      <c r="G93" s="145"/>
      <c r="H93" s="145"/>
      <c r="I93" s="145"/>
      <c r="J93" s="145"/>
      <c r="K93" s="145"/>
      <c r="L93" s="135"/>
      <c r="M93" s="145"/>
      <c r="N93" s="145"/>
      <c r="O93" s="145"/>
      <c r="P93" s="145"/>
      <c r="Q93" s="145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56.25" hidden="false" customHeight="true" outlineLevel="0" collapsed="false">
      <c r="A94" s="27" t="s">
        <v>113</v>
      </c>
      <c r="B94" s="27"/>
      <c r="C94" s="27"/>
      <c r="D94" s="27"/>
      <c r="E94" s="27"/>
      <c r="F94" s="135"/>
      <c r="G94" s="27" t="s">
        <v>114</v>
      </c>
      <c r="H94" s="27"/>
      <c r="I94" s="27"/>
      <c r="J94" s="27"/>
      <c r="K94" s="27"/>
      <c r="L94" s="135"/>
      <c r="M94" s="27" t="s">
        <v>115</v>
      </c>
      <c r="N94" s="27"/>
      <c r="O94" s="27"/>
      <c r="P94" s="27"/>
      <c r="Q94" s="27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38"/>
      <c r="B95" s="145"/>
      <c r="C95" s="145"/>
      <c r="D95" s="145"/>
      <c r="E95" s="146" t="s">
        <v>309</v>
      </c>
      <c r="F95" s="135"/>
      <c r="G95" s="138"/>
      <c r="H95" s="145"/>
      <c r="I95" s="145"/>
      <c r="J95" s="145"/>
      <c r="K95" s="146"/>
      <c r="L95" s="135"/>
      <c r="M95" s="138"/>
      <c r="N95" s="145"/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5"/>
      <c r="G96" s="29" t="s">
        <v>116</v>
      </c>
      <c r="H96" s="29"/>
      <c r="I96" s="29"/>
      <c r="J96" s="29"/>
      <c r="K96" s="29"/>
      <c r="L96" s="135"/>
      <c r="M96" s="29" t="s">
        <v>116</v>
      </c>
      <c r="N96" s="29"/>
      <c r="O96" s="29"/>
      <c r="P96" s="29"/>
      <c r="Q96" s="29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138"/>
      <c r="B97" s="403"/>
      <c r="C97" s="403"/>
      <c r="D97" s="145"/>
      <c r="E97" s="146"/>
      <c r="F97" s="135"/>
      <c r="G97" s="138"/>
      <c r="H97" s="145"/>
      <c r="I97" s="145"/>
      <c r="J97" s="145"/>
      <c r="K97" s="146"/>
      <c r="L97" s="135"/>
      <c r="M97" s="138"/>
      <c r="N97" s="145"/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 t="s">
        <v>117</v>
      </c>
      <c r="Z97" s="135"/>
      <c r="AC97" s="2"/>
    </row>
    <row r="98" customFormat="false" ht="18.75" hidden="false" customHeight="true" outlineLevel="0" collapsed="false">
      <c r="A98" s="138" t="s">
        <v>118</v>
      </c>
      <c r="B98" s="145" t="s">
        <v>30</v>
      </c>
      <c r="C98" s="145"/>
      <c r="D98" s="145" t="s">
        <v>119</v>
      </c>
      <c r="E98" s="146"/>
      <c r="F98" s="135"/>
      <c r="G98" s="138" t="s">
        <v>118</v>
      </c>
      <c r="H98" s="145" t="s">
        <v>30</v>
      </c>
      <c r="I98" s="145"/>
      <c r="J98" s="145" t="s">
        <v>119</v>
      </c>
      <c r="K98" s="146"/>
      <c r="L98" s="135"/>
      <c r="M98" s="138" t="s">
        <v>118</v>
      </c>
      <c r="N98" s="145" t="s">
        <v>30</v>
      </c>
      <c r="O98" s="145"/>
      <c r="P98" s="145" t="s">
        <v>119</v>
      </c>
      <c r="Q98" s="146"/>
      <c r="R98" s="135"/>
      <c r="S98" s="135"/>
      <c r="T98" s="135"/>
      <c r="U98" s="135"/>
      <c r="V98" s="135"/>
      <c r="W98" s="135"/>
      <c r="X98" s="135"/>
      <c r="Y98" s="135" t="s">
        <v>120</v>
      </c>
      <c r="Z98" s="135"/>
    </row>
    <row r="99" customFormat="false" ht="18.75" hidden="false" customHeight="true" outlineLevel="0" collapsed="false">
      <c r="A99" s="154" t="s">
        <v>121</v>
      </c>
      <c r="B99" s="109" t="s">
        <v>190</v>
      </c>
      <c r="C99" s="109"/>
      <c r="D99" s="112" t="n">
        <v>1000</v>
      </c>
      <c r="E99" s="112"/>
      <c r="F99" s="135"/>
      <c r="G99" s="154" t="s">
        <v>121</v>
      </c>
      <c r="H99" s="109" t="s">
        <v>125</v>
      </c>
      <c r="I99" s="109"/>
      <c r="J99" s="112" t="n">
        <v>0</v>
      </c>
      <c r="K99" s="112"/>
      <c r="L99" s="135"/>
      <c r="M99" s="154" t="s">
        <v>121</v>
      </c>
      <c r="N99" s="109" t="s">
        <v>125</v>
      </c>
      <c r="O99" s="109"/>
      <c r="P99" s="112" t="n">
        <v>0</v>
      </c>
      <c r="Q99" s="112"/>
      <c r="R99" s="135"/>
      <c r="S99" s="135"/>
      <c r="T99" s="135"/>
      <c r="U99" s="135"/>
      <c r="V99" s="135"/>
      <c r="W99" s="135"/>
      <c r="X99" s="135"/>
      <c r="Y99" s="135" t="s">
        <v>124</v>
      </c>
      <c r="Z99" s="135"/>
    </row>
    <row r="100" customFormat="false" ht="18.75" hidden="false" customHeight="true" outlineLevel="0" collapsed="false">
      <c r="A100" s="138"/>
      <c r="B100" s="145"/>
      <c r="C100" s="145"/>
      <c r="D100" s="145"/>
      <c r="E100" s="146"/>
      <c r="F100" s="135"/>
      <c r="G100" s="138"/>
      <c r="H100" s="145"/>
      <c r="I100" s="145"/>
      <c r="J100" s="145"/>
      <c r="K100" s="146"/>
      <c r="L100" s="135"/>
      <c r="M100" s="138"/>
      <c r="N100" s="145"/>
      <c r="O100" s="145"/>
      <c r="P100" s="145"/>
      <c r="Q100" s="146"/>
      <c r="R100" s="135"/>
      <c r="S100" s="135"/>
      <c r="T100" s="135"/>
      <c r="U100" s="135"/>
      <c r="V100" s="135"/>
      <c r="W100" s="135"/>
      <c r="X100" s="135"/>
      <c r="Y100" s="135" t="s">
        <v>125</v>
      </c>
      <c r="Z100" s="135"/>
    </row>
    <row r="101" customFormat="false" ht="18.75" hidden="false" customHeight="true" outlineLevel="0" collapsed="false">
      <c r="A101" s="138" t="s">
        <v>126</v>
      </c>
      <c r="B101" s="145" t="s">
        <v>127</v>
      </c>
      <c r="C101" s="145"/>
      <c r="D101" s="145" t="s">
        <v>310</v>
      </c>
      <c r="E101" s="146"/>
      <c r="F101" s="135"/>
      <c r="G101" s="138" t="s">
        <v>126</v>
      </c>
      <c r="H101" s="145" t="s">
        <v>127</v>
      </c>
      <c r="I101" s="145"/>
      <c r="J101" s="145" t="s">
        <v>128</v>
      </c>
      <c r="K101" s="146"/>
      <c r="L101" s="135"/>
      <c r="M101" s="138" t="s">
        <v>126</v>
      </c>
      <c r="N101" s="145" t="s">
        <v>127</v>
      </c>
      <c r="O101" s="145"/>
      <c r="P101" s="145" t="s">
        <v>128</v>
      </c>
      <c r="Q101" s="146"/>
      <c r="R101" s="135"/>
      <c r="S101" s="135"/>
      <c r="T101" s="135"/>
      <c r="U101" s="135"/>
      <c r="V101" s="135"/>
      <c r="W101" s="135"/>
      <c r="X101" s="135"/>
      <c r="Y101" s="135" t="s">
        <v>129</v>
      </c>
      <c r="Z101" s="135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5"/>
      <c r="G102" s="111" t="n">
        <v>199.99</v>
      </c>
      <c r="H102" s="112" t="n">
        <v>0</v>
      </c>
      <c r="I102" s="112"/>
      <c r="J102" s="112" t="n">
        <v>0</v>
      </c>
      <c r="K102" s="112"/>
      <c r="L102" s="135"/>
      <c r="M102" s="111" t="n">
        <v>199.99</v>
      </c>
      <c r="N102" s="112" t="n">
        <v>0</v>
      </c>
      <c r="O102" s="112"/>
      <c r="P102" s="112" t="n">
        <v>0</v>
      </c>
      <c r="Q102" s="112"/>
      <c r="R102" s="135"/>
      <c r="S102" s="135"/>
      <c r="T102" s="135"/>
      <c r="U102" s="135"/>
      <c r="V102" s="135"/>
      <c r="W102" s="135"/>
      <c r="X102" s="135"/>
      <c r="Y102" s="135" t="s">
        <v>123</v>
      </c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 t="s">
        <v>122</v>
      </c>
      <c r="Z103" s="135"/>
    </row>
    <row r="104" customFormat="false" ht="18.75" hidden="false" customHeight="true" outlineLevel="0" collapsed="false">
      <c r="A104" s="154" t="s">
        <v>130</v>
      </c>
      <c r="B104" s="135" t="s">
        <v>131</v>
      </c>
      <c r="C104" s="145"/>
      <c r="D104" s="145" t="s">
        <v>132</v>
      </c>
      <c r="E104" s="146"/>
      <c r="F104" s="135"/>
      <c r="G104" s="154" t="s">
        <v>130</v>
      </c>
      <c r="H104" s="135" t="s">
        <v>131</v>
      </c>
      <c r="I104" s="145"/>
      <c r="J104" s="145" t="s">
        <v>132</v>
      </c>
      <c r="K104" s="146"/>
      <c r="L104" s="135"/>
      <c r="M104" s="154" t="s">
        <v>130</v>
      </c>
      <c r="N104" s="135" t="s">
        <v>131</v>
      </c>
      <c r="O104" s="145"/>
      <c r="P104" s="145" t="s">
        <v>132</v>
      </c>
      <c r="Q104" s="146"/>
      <c r="R104" s="135"/>
      <c r="S104" s="135"/>
      <c r="T104" s="135"/>
      <c r="U104" s="135"/>
      <c r="V104" s="135"/>
      <c r="W104" s="135"/>
      <c r="X104" s="135"/>
      <c r="Y104" s="135" t="s">
        <v>133</v>
      </c>
      <c r="Z104" s="135"/>
    </row>
    <row r="105" customFormat="false" ht="18.75" hidden="false" customHeight="true" outlineLevel="0" collapsed="false">
      <c r="A105" s="156" t="s">
        <v>25</v>
      </c>
      <c r="B105" s="113" t="n">
        <v>0.2</v>
      </c>
      <c r="C105" s="113"/>
      <c r="D105" s="112" t="s">
        <v>191</v>
      </c>
      <c r="E105" s="112"/>
      <c r="F105" s="135"/>
      <c r="G105" s="156" t="s">
        <v>25</v>
      </c>
      <c r="H105" s="113" t="n">
        <v>0.2</v>
      </c>
      <c r="I105" s="113"/>
      <c r="J105" s="112"/>
      <c r="K105" s="112"/>
      <c r="L105" s="135"/>
      <c r="M105" s="156" t="s">
        <v>25</v>
      </c>
      <c r="N105" s="113" t="n">
        <v>0.2</v>
      </c>
      <c r="O105" s="113"/>
      <c r="P105" s="112" t="n">
        <v>0</v>
      </c>
      <c r="Q105" s="112"/>
      <c r="R105" s="135"/>
      <c r="S105" s="135"/>
      <c r="T105" s="135"/>
      <c r="U105" s="135"/>
      <c r="V105" s="135"/>
      <c r="W105" s="135"/>
      <c r="X105" s="135"/>
      <c r="Y105" s="135" t="s">
        <v>134</v>
      </c>
      <c r="Z105" s="135"/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customFormat="false" ht="18.75" hidden="false" customHeight="true" outlineLevel="0" collapsed="false">
      <c r="A107" s="138"/>
      <c r="B107" s="145"/>
      <c r="C107" s="145"/>
      <c r="D107" s="145"/>
      <c r="E107" s="146"/>
      <c r="F107" s="135"/>
      <c r="G107" s="138"/>
      <c r="H107" s="145"/>
      <c r="I107" s="145"/>
      <c r="J107" s="145"/>
      <c r="K107" s="146"/>
      <c r="L107" s="135"/>
      <c r="M107" s="138"/>
      <c r="N107" s="145" t="s">
        <v>135</v>
      </c>
      <c r="O107" s="156" t="s">
        <v>25</v>
      </c>
      <c r="P107" s="145"/>
      <c r="Q107" s="146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customFormat="false" ht="18.75" hidden="false" customHeight="true" outlineLevel="0" collapsed="false">
      <c r="A108" s="29" t="n">
        <v>199.99</v>
      </c>
      <c r="B108" s="29" t="n">
        <v>0</v>
      </c>
      <c r="C108" s="29"/>
      <c r="D108" s="29"/>
      <c r="E108" s="29"/>
      <c r="F108" s="135"/>
      <c r="G108" s="29" t="s">
        <v>136</v>
      </c>
      <c r="H108" s="29"/>
      <c r="I108" s="29"/>
      <c r="J108" s="29"/>
      <c r="K108" s="29"/>
      <c r="L108" s="135"/>
      <c r="M108" s="29" t="s">
        <v>136</v>
      </c>
      <c r="N108" s="29"/>
      <c r="O108" s="29"/>
      <c r="P108" s="29"/>
      <c r="Q108" s="29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customFormat="false" ht="18.75" hidden="false" customHeight="true" outlineLevel="0" collapsed="false">
      <c r="A110" s="138" t="s">
        <v>137</v>
      </c>
      <c r="B110" s="156" t="s">
        <v>26</v>
      </c>
      <c r="C110" s="145"/>
      <c r="D110" s="145"/>
      <c r="E110" s="146"/>
      <c r="F110" s="135"/>
      <c r="G110" s="138" t="s">
        <v>137</v>
      </c>
      <c r="H110" s="156" t="s">
        <v>26</v>
      </c>
      <c r="I110" s="145"/>
      <c r="J110" s="145"/>
      <c r="K110" s="146"/>
      <c r="L110" s="135"/>
      <c r="M110" s="138" t="s">
        <v>137</v>
      </c>
      <c r="N110" s="156" t="s">
        <v>26</v>
      </c>
      <c r="O110" s="145"/>
      <c r="P110" s="145"/>
      <c r="Q110" s="146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customFormat="false" ht="18.75" hidden="false" customHeight="true" outlineLevel="0" collapsed="false">
      <c r="A111" s="138" t="s">
        <v>26</v>
      </c>
      <c r="B111" s="145"/>
      <c r="C111" s="145"/>
      <c r="D111" s="145"/>
      <c r="E111" s="146"/>
      <c r="F111" s="135"/>
      <c r="G111" s="138"/>
      <c r="H111" s="145"/>
      <c r="I111" s="145"/>
      <c r="J111" s="145"/>
      <c r="K111" s="146"/>
      <c r="L111" s="135"/>
      <c r="M111" s="138"/>
      <c r="N111" s="145"/>
      <c r="O111" s="145"/>
      <c r="P111" s="145"/>
      <c r="Q111" s="146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customFormat="false" ht="18.75" hidden="false" customHeight="true" outlineLevel="0" collapsed="false">
      <c r="A112" s="138" t="s">
        <v>138</v>
      </c>
      <c r="B112" s="145"/>
      <c r="C112" s="145"/>
      <c r="D112" s="111" t="n">
        <v>0</v>
      </c>
      <c r="E112" s="112" t="n">
        <v>0</v>
      </c>
      <c r="F112" s="135"/>
      <c r="G112" s="138" t="s">
        <v>138</v>
      </c>
      <c r="H112" s="145"/>
      <c r="I112" s="145"/>
      <c r="J112" s="111" t="n">
        <v>0</v>
      </c>
      <c r="K112" s="112" t="n">
        <v>0</v>
      </c>
      <c r="L112" s="135"/>
      <c r="M112" s="138" t="s">
        <v>138</v>
      </c>
      <c r="N112" s="145"/>
      <c r="O112" s="145"/>
      <c r="P112" s="111" t="n">
        <v>500</v>
      </c>
      <c r="Q112" s="112" t="n">
        <v>300</v>
      </c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 t="s">
        <v>139</v>
      </c>
      <c r="B113" s="145"/>
      <c r="C113" s="145"/>
      <c r="D113" s="210" t="n">
        <f aca="false">E113</f>
        <v>0</v>
      </c>
      <c r="E113" s="112" t="n">
        <v>0</v>
      </c>
      <c r="F113" s="135"/>
      <c r="G113" s="138" t="s">
        <v>139</v>
      </c>
      <c r="H113" s="145"/>
      <c r="I113" s="145"/>
      <c r="J113" s="210" t="n">
        <f aca="false">K113</f>
        <v>0</v>
      </c>
      <c r="K113" s="112" t="n">
        <v>0</v>
      </c>
      <c r="L113" s="135"/>
      <c r="M113" s="138" t="s">
        <v>139</v>
      </c>
      <c r="N113" s="145"/>
      <c r="O113" s="145"/>
      <c r="P113" s="210" t="n">
        <f aca="false">Q113</f>
        <v>100</v>
      </c>
      <c r="Q113" s="112" t="n">
        <v>100</v>
      </c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138" t="s">
        <v>140</v>
      </c>
      <c r="B114" s="145"/>
      <c r="C114" s="145"/>
      <c r="D114" s="210" t="n">
        <f aca="false">D112-D113</f>
        <v>0</v>
      </c>
      <c r="E114" s="115" t="n">
        <f aca="false">E112-E113</f>
        <v>0</v>
      </c>
      <c r="F114" s="135"/>
      <c r="G114" s="138" t="s">
        <v>140</v>
      </c>
      <c r="H114" s="145"/>
      <c r="I114" s="145"/>
      <c r="J114" s="210" t="n">
        <f aca="false">J112-J113</f>
        <v>0</v>
      </c>
      <c r="K114" s="115" t="n">
        <f aca="false">K112-K113</f>
        <v>0</v>
      </c>
      <c r="L114" s="135"/>
      <c r="M114" s="138" t="s">
        <v>140</v>
      </c>
      <c r="N114" s="145"/>
      <c r="O114" s="145"/>
      <c r="P114" s="210" t="n">
        <f aca="false">P112-P113</f>
        <v>400</v>
      </c>
      <c r="Q114" s="115" t="n">
        <f aca="false">Q112-Q113</f>
        <v>200</v>
      </c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 t="s">
        <v>141</v>
      </c>
      <c r="B115" s="145"/>
      <c r="C115" s="145"/>
      <c r="D115" s="210" t="n">
        <f aca="false">D114-E114</f>
        <v>0</v>
      </c>
      <c r="E115" s="146"/>
      <c r="F115" s="135"/>
      <c r="G115" s="138" t="s">
        <v>141</v>
      </c>
      <c r="H115" s="145"/>
      <c r="I115" s="145"/>
      <c r="J115" s="210" t="n">
        <f aca="false">J114-K114</f>
        <v>0</v>
      </c>
      <c r="K115" s="146"/>
      <c r="L115" s="135"/>
      <c r="M115" s="138" t="s">
        <v>141</v>
      </c>
      <c r="N115" s="145"/>
      <c r="O115" s="145"/>
      <c r="P115" s="210" t="n">
        <f aca="false">P114-Q114</f>
        <v>200</v>
      </c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/>
      <c r="B116" s="145"/>
      <c r="C116" s="145"/>
      <c r="D116" s="145"/>
      <c r="E116" s="146"/>
      <c r="F116" s="135"/>
      <c r="G116" s="138"/>
      <c r="H116" s="145"/>
      <c r="I116" s="145"/>
      <c r="J116" s="145"/>
      <c r="K116" s="146"/>
      <c r="L116" s="135"/>
      <c r="M116" s="138"/>
      <c r="N116" s="145"/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80" t="s">
        <v>142</v>
      </c>
      <c r="B117" s="181"/>
      <c r="C117" s="181"/>
      <c r="D117" s="181"/>
      <c r="E117" s="203" t="n">
        <v>1000</v>
      </c>
      <c r="F117" s="135"/>
      <c r="G117" s="180" t="s">
        <v>142</v>
      </c>
      <c r="H117" s="181"/>
      <c r="I117" s="181"/>
      <c r="J117" s="181"/>
      <c r="K117" s="203" t="n">
        <f aca="false">J99</f>
        <v>0</v>
      </c>
      <c r="L117" s="135"/>
      <c r="M117" s="180" t="s">
        <v>142</v>
      </c>
      <c r="N117" s="181"/>
      <c r="O117" s="181"/>
      <c r="P117" s="181"/>
      <c r="Q117" s="203" t="n">
        <f aca="false">P99</f>
        <v>0</v>
      </c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52</v>
      </c>
      <c r="B118" s="145"/>
      <c r="C118" s="145"/>
      <c r="D118" s="145"/>
      <c r="E118" s="143" t="n">
        <v>199.99</v>
      </c>
      <c r="F118" s="135"/>
      <c r="G118" s="138" t="s">
        <v>52</v>
      </c>
      <c r="H118" s="145"/>
      <c r="I118" s="145"/>
      <c r="J118" s="145"/>
      <c r="K118" s="143" t="n">
        <f aca="false">G102</f>
        <v>199.99</v>
      </c>
      <c r="L118" s="135"/>
      <c r="M118" s="138" t="s">
        <v>52</v>
      </c>
      <c r="N118" s="145"/>
      <c r="O118" s="145"/>
      <c r="P118" s="145"/>
      <c r="Q118" s="143" t="n">
        <f aca="false">M102</f>
        <v>199.99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211" t="s">
        <v>143</v>
      </c>
      <c r="B119" s="178"/>
      <c r="C119" s="178"/>
      <c r="D119" s="178"/>
      <c r="E119" s="185" t="n">
        <f aca="false">IF(B110="YES",((E118*1.2)+E117)-E114,((E118*1.2)+E117))</f>
        <v>1239.988</v>
      </c>
      <c r="F119" s="135"/>
      <c r="G119" s="211" t="s">
        <v>143</v>
      </c>
      <c r="H119" s="178"/>
      <c r="I119" s="178"/>
      <c r="J119" s="178"/>
      <c r="K119" s="185" t="n">
        <f aca="false">((K118/1.2)+K117)-(J115-K113)</f>
        <v>166.658333333333</v>
      </c>
      <c r="L119" s="135"/>
      <c r="M119" s="211" t="s">
        <v>143</v>
      </c>
      <c r="N119" s="178"/>
      <c r="O119" s="178"/>
      <c r="P119" s="178"/>
      <c r="Q119" s="185" t="n">
        <f aca="false">(Q118+Q117)-P115</f>
        <v>-0.00999999999999091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/>
      <c r="B120" s="145"/>
      <c r="C120" s="145"/>
      <c r="D120" s="145"/>
      <c r="E120" s="146"/>
      <c r="F120" s="135"/>
      <c r="G120" s="138"/>
      <c r="H120" s="145"/>
      <c r="I120" s="145"/>
      <c r="J120" s="145"/>
      <c r="K120" s="146"/>
      <c r="L120" s="135"/>
      <c r="M120" s="138"/>
      <c r="N120" s="145"/>
      <c r="O120" s="145"/>
      <c r="P120" s="145"/>
      <c r="Q120" s="146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/>
      <c r="B121" s="145"/>
      <c r="C121" s="145"/>
      <c r="D121" s="145"/>
      <c r="E121" s="146"/>
      <c r="F121" s="135"/>
      <c r="G121" s="138"/>
      <c r="H121" s="145"/>
      <c r="I121" s="145"/>
      <c r="J121" s="145"/>
      <c r="K121" s="146"/>
      <c r="L121" s="135"/>
      <c r="M121" s="138"/>
      <c r="N121" s="145"/>
      <c r="O121" s="145"/>
      <c r="P121" s="145"/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29" t="s">
        <v>144</v>
      </c>
      <c r="B122" s="29"/>
      <c r="C122" s="29"/>
      <c r="D122" s="29"/>
      <c r="E122" s="29"/>
      <c r="F122" s="135"/>
      <c r="G122" s="29" t="s">
        <v>144</v>
      </c>
      <c r="H122" s="29"/>
      <c r="I122" s="29"/>
      <c r="J122" s="29"/>
      <c r="K122" s="29"/>
      <c r="L122" s="135"/>
      <c r="M122" s="29" t="s">
        <v>144</v>
      </c>
      <c r="N122" s="29"/>
      <c r="O122" s="29"/>
      <c r="P122" s="29"/>
      <c r="Q122" s="29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38"/>
      <c r="B123" s="145"/>
      <c r="C123" s="145"/>
      <c r="D123" s="145"/>
      <c r="E123" s="146"/>
      <c r="F123" s="135"/>
      <c r="G123" s="138"/>
      <c r="H123" s="145"/>
      <c r="I123" s="145"/>
      <c r="J123" s="145"/>
      <c r="K123" s="146"/>
      <c r="L123" s="135"/>
      <c r="M123" s="138"/>
      <c r="N123" s="145"/>
      <c r="O123" s="145"/>
      <c r="P123" s="145"/>
      <c r="Q123" s="146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145</v>
      </c>
      <c r="B124" s="404" t="n">
        <v>0</v>
      </c>
      <c r="C124" s="404"/>
      <c r="D124" s="145"/>
      <c r="E124" s="146"/>
      <c r="F124" s="135"/>
      <c r="G124" s="138" t="s">
        <v>145</v>
      </c>
      <c r="H124" s="117" t="n">
        <v>0</v>
      </c>
      <c r="I124" s="117"/>
      <c r="J124" s="145"/>
      <c r="K124" s="146"/>
      <c r="L124" s="135"/>
      <c r="M124" s="138" t="s">
        <v>145</v>
      </c>
      <c r="N124" s="117" t="n">
        <v>0</v>
      </c>
      <c r="O124" s="117"/>
      <c r="P124" s="145"/>
      <c r="Q124" s="146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138"/>
      <c r="B125" s="145"/>
      <c r="C125" s="145"/>
      <c r="D125" s="145"/>
      <c r="E125" s="146"/>
      <c r="F125" s="135"/>
      <c r="G125" s="138"/>
      <c r="H125" s="145"/>
      <c r="I125" s="145"/>
      <c r="J125" s="145"/>
      <c r="K125" s="146"/>
      <c r="L125" s="135"/>
      <c r="M125" s="138"/>
      <c r="N125" s="145"/>
      <c r="O125" s="145"/>
      <c r="P125" s="145"/>
      <c r="Q125" s="146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212" t="s">
        <v>146</v>
      </c>
      <c r="B126" s="213" t="s">
        <v>147</v>
      </c>
      <c r="C126" s="213"/>
      <c r="D126" s="213" t="s">
        <v>112</v>
      </c>
      <c r="E126" s="146"/>
      <c r="F126" s="135"/>
      <c r="G126" s="212" t="s">
        <v>148</v>
      </c>
      <c r="H126" s="213" t="s">
        <v>149</v>
      </c>
      <c r="I126" s="213"/>
      <c r="J126" s="213" t="s">
        <v>150</v>
      </c>
      <c r="K126" s="146"/>
      <c r="L126" s="135"/>
      <c r="M126" s="212" t="s">
        <v>146</v>
      </c>
      <c r="N126" s="213" t="s">
        <v>147</v>
      </c>
      <c r="O126" s="213"/>
      <c r="P126" s="213" t="s">
        <v>112</v>
      </c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22" t="n">
        <f aca="false">B90</f>
        <v>1153.19823902812</v>
      </c>
      <c r="B127" s="214" t="n">
        <f aca="false">IF(A105="YES", B89*B57, 0)</f>
        <v>309</v>
      </c>
      <c r="C127" s="214"/>
      <c r="D127" s="214" t="n">
        <f aca="false">B91</f>
        <v>1187.53157236145</v>
      </c>
      <c r="E127" s="146"/>
      <c r="F127" s="135"/>
      <c r="G127" s="122" t="n">
        <f aca="false">H90</f>
        <v>1189.86736688544</v>
      </c>
      <c r="H127" s="214" t="n">
        <f aca="false">IF(G105="YES", H89*H57, 0)</f>
        <v>217.053658536585</v>
      </c>
      <c r="I127" s="214"/>
      <c r="J127" s="124" t="n">
        <f aca="false">H91</f>
        <v>1226.04297664154</v>
      </c>
      <c r="K127" s="146"/>
      <c r="L127" s="135"/>
      <c r="M127" s="122" t="n">
        <f aca="false">N90</f>
        <v>984.491094073066</v>
      </c>
      <c r="N127" s="214" t="n">
        <f aca="false">IF(M105="YES", N89*N57, 0)</f>
        <v>180.878048780488</v>
      </c>
      <c r="O127" s="214"/>
      <c r="P127" s="214" t="n">
        <f aca="false">N91</f>
        <v>1014.63743553648</v>
      </c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138"/>
      <c r="B128" s="145"/>
      <c r="C128" s="145"/>
      <c r="D128" s="145"/>
      <c r="E128" s="146"/>
      <c r="F128" s="135"/>
      <c r="G128" s="138"/>
      <c r="H128" s="145"/>
      <c r="I128" s="145"/>
      <c r="J128" s="145"/>
      <c r="K128" s="146"/>
      <c r="L128" s="135"/>
      <c r="M128" s="138"/>
      <c r="N128" s="145"/>
      <c r="O128" s="145"/>
      <c r="P128" s="145"/>
      <c r="Q128" s="146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 t="s">
        <v>81</v>
      </c>
      <c r="B129" s="145" t="s">
        <v>82</v>
      </c>
      <c r="C129" s="145"/>
      <c r="D129" s="145" t="s">
        <v>84</v>
      </c>
      <c r="E129" s="146"/>
      <c r="F129" s="135"/>
      <c r="G129" s="138" t="s">
        <v>81</v>
      </c>
      <c r="H129" s="145" t="s">
        <v>82</v>
      </c>
      <c r="I129" s="145"/>
      <c r="J129" s="145" t="s">
        <v>84</v>
      </c>
      <c r="K129" s="146"/>
      <c r="L129" s="135"/>
      <c r="M129" s="138" t="s">
        <v>81</v>
      </c>
      <c r="N129" s="145" t="s">
        <v>82</v>
      </c>
      <c r="O129" s="145"/>
      <c r="P129" s="145" t="s">
        <v>84</v>
      </c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43" t="n">
        <f aca="false">A152</f>
        <v>36</v>
      </c>
      <c r="B130" s="118" t="n">
        <f aca="false">B151</f>
        <v>10000</v>
      </c>
      <c r="C130" s="45"/>
      <c r="D130" s="118" t="n">
        <f aca="false">B58</f>
        <v>27</v>
      </c>
      <c r="E130" s="146"/>
      <c r="F130" s="135"/>
      <c r="G130" s="43" t="n">
        <f aca="false">G152</f>
        <v>36</v>
      </c>
      <c r="H130" s="118" t="n">
        <f aca="false">B151</f>
        <v>10000</v>
      </c>
      <c r="I130" s="45"/>
      <c r="J130" s="118" t="n">
        <f aca="false">B58</f>
        <v>27</v>
      </c>
      <c r="K130" s="146"/>
      <c r="L130" s="135"/>
      <c r="M130" s="43" t="n">
        <f aca="false">M155</f>
        <v>36</v>
      </c>
      <c r="N130" s="118" t="n">
        <f aca="false">B151</f>
        <v>10000</v>
      </c>
      <c r="O130" s="45"/>
      <c r="P130" s="118" t="n">
        <f aca="false">B58</f>
        <v>27</v>
      </c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151</v>
      </c>
      <c r="B132" s="145" t="s">
        <v>152</v>
      </c>
      <c r="C132" s="145"/>
      <c r="D132" s="145" t="s">
        <v>153</v>
      </c>
      <c r="E132" s="146"/>
      <c r="F132" s="135"/>
      <c r="G132" s="138" t="s">
        <v>154</v>
      </c>
      <c r="H132" s="145" t="s">
        <v>155</v>
      </c>
      <c r="I132" s="145"/>
      <c r="J132" s="145" t="s">
        <v>156</v>
      </c>
      <c r="K132" s="146"/>
      <c r="L132" s="135"/>
      <c r="M132" s="138" t="s">
        <v>151</v>
      </c>
      <c r="N132" s="145" t="s">
        <v>152</v>
      </c>
      <c r="O132" s="145"/>
      <c r="P132" s="145" t="s">
        <v>153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125" t="n">
        <f aca="false">B90*B57</f>
        <v>10378.7841512531</v>
      </c>
      <c r="B133" s="215" t="n">
        <f aca="false">IF(A105="YES", B89*B57, 0)</f>
        <v>309</v>
      </c>
      <c r="C133" s="155"/>
      <c r="D133" s="128" t="n">
        <f aca="false">B91*B57</f>
        <v>10687.7841512531</v>
      </c>
      <c r="E133" s="146"/>
      <c r="F133" s="135"/>
      <c r="G133" s="125" t="n">
        <f aca="false">H90*H57</f>
        <v>7139.20420131264</v>
      </c>
      <c r="H133" s="215" t="n">
        <f aca="false">IF(G105="YES", H89*H57, 0)</f>
        <v>217.053658536585</v>
      </c>
      <c r="I133" s="155"/>
      <c r="J133" s="128" t="n">
        <f aca="false">H91*H57</f>
        <v>7356.25785984922</v>
      </c>
      <c r="K133" s="146"/>
      <c r="L133" s="135"/>
      <c r="M133" s="125" t="n">
        <f aca="false">N90*N57</f>
        <v>5906.94656443839</v>
      </c>
      <c r="N133" s="215" t="n">
        <f aca="false">IF(M105="YES", N89*N57, 0)</f>
        <v>180.878048780488</v>
      </c>
      <c r="O133" s="155"/>
      <c r="P133" s="128" t="n">
        <f aca="false">N91*N57</f>
        <v>6087.82461321888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138" t="s">
        <v>157</v>
      </c>
      <c r="B135" s="145" t="s">
        <v>158</v>
      </c>
      <c r="C135" s="145"/>
      <c r="D135" s="145" t="s">
        <v>159</v>
      </c>
      <c r="E135" s="146"/>
      <c r="F135" s="135"/>
      <c r="G135" s="138" t="s">
        <v>160</v>
      </c>
      <c r="H135" s="145" t="s">
        <v>161</v>
      </c>
      <c r="I135" s="145"/>
      <c r="J135" s="145" t="s">
        <v>162</v>
      </c>
      <c r="K135" s="146"/>
      <c r="L135" s="135"/>
      <c r="M135" s="138" t="s">
        <v>157</v>
      </c>
      <c r="N135" s="145" t="s">
        <v>158</v>
      </c>
      <c r="O135" s="145"/>
      <c r="P135" s="145" t="s">
        <v>159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405" t="n">
        <f aca="false">E15*0.000006</f>
        <v>0.35115</v>
      </c>
      <c r="B136" s="406" t="n">
        <f aca="false">IF(A105="YES", E15*0.000002, 0)</f>
        <v>0.11705</v>
      </c>
      <c r="C136" s="215"/>
      <c r="D136" s="406" t="n">
        <f aca="false">A136+B136</f>
        <v>0.4682</v>
      </c>
      <c r="E136" s="130"/>
      <c r="F136" s="135"/>
      <c r="G136" s="129" t="n">
        <f aca="false">E15*0.000006</f>
        <v>0.35115</v>
      </c>
      <c r="H136" s="215" t="n">
        <f aca="false">IF(G105="YES", E15*0.000002, 0)</f>
        <v>0.11705</v>
      </c>
      <c r="I136" s="215"/>
      <c r="J136" s="215" t="n">
        <f aca="false">G136+H136</f>
        <v>0.4682</v>
      </c>
      <c r="K136" s="130"/>
      <c r="L136" s="135"/>
      <c r="M136" s="129" t="n">
        <f aca="false">E15*0.000006</f>
        <v>0.35115</v>
      </c>
      <c r="N136" s="215" t="n">
        <f aca="false">IF(M105="YES", E15*0.000002, 0)</f>
        <v>0.11705</v>
      </c>
      <c r="O136" s="215"/>
      <c r="P136" s="215" t="n">
        <f aca="false">M136+N136</f>
        <v>0.4682</v>
      </c>
      <c r="Q136" s="130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163</v>
      </c>
      <c r="B138" s="145" t="s">
        <v>164</v>
      </c>
      <c r="C138" s="145"/>
      <c r="D138" s="145" t="s">
        <v>165</v>
      </c>
      <c r="E138" s="146"/>
      <c r="F138" s="135"/>
      <c r="G138" s="138" t="s">
        <v>166</v>
      </c>
      <c r="H138" s="145" t="s">
        <v>164</v>
      </c>
      <c r="I138" s="145"/>
      <c r="J138" s="145" t="s">
        <v>165</v>
      </c>
      <c r="K138" s="146"/>
      <c r="L138" s="135"/>
      <c r="M138" s="138" t="s">
        <v>163</v>
      </c>
      <c r="N138" s="145" t="s">
        <v>164</v>
      </c>
      <c r="O138" s="145"/>
      <c r="P138" s="145" t="s">
        <v>165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9" t="n">
        <f aca="false">A102</f>
        <v>199.99</v>
      </c>
      <c r="B139" s="215" t="n">
        <f aca="false">B67</f>
        <v>1157.7</v>
      </c>
      <c r="C139" s="215"/>
      <c r="D139" s="215" t="n">
        <f aca="false">B102*0.9</f>
        <v>0</v>
      </c>
      <c r="E139" s="130"/>
      <c r="F139" s="135"/>
      <c r="G139" s="129" t="n">
        <f aca="false">G102</f>
        <v>199.99</v>
      </c>
      <c r="H139" s="215" t="n">
        <f aca="false">H67</f>
        <v>964.75</v>
      </c>
      <c r="I139" s="215"/>
      <c r="J139" s="215" t="n">
        <f aca="false">H102*0.9</f>
        <v>0</v>
      </c>
      <c r="K139" s="130"/>
      <c r="L139" s="135"/>
      <c r="M139" s="129" t="n">
        <f aca="false">M102</f>
        <v>199.99</v>
      </c>
      <c r="N139" s="215" t="n">
        <f aca="false">N67</f>
        <v>964.75</v>
      </c>
      <c r="O139" s="215"/>
      <c r="P139" s="215" t="n">
        <f aca="false">N102*0.9</f>
        <v>0</v>
      </c>
      <c r="Q139" s="130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167</v>
      </c>
      <c r="B141" s="145" t="s">
        <v>168</v>
      </c>
      <c r="C141" s="145"/>
      <c r="D141" s="145" t="s">
        <v>169</v>
      </c>
      <c r="E141" s="146"/>
      <c r="F141" s="135"/>
      <c r="G141" s="138" t="s">
        <v>167</v>
      </c>
      <c r="H141" s="145" t="s">
        <v>168</v>
      </c>
      <c r="I141" s="145"/>
      <c r="J141" s="145" t="s">
        <v>169</v>
      </c>
      <c r="K141" s="146"/>
      <c r="L141" s="135"/>
      <c r="M141" s="138" t="s">
        <v>167</v>
      </c>
      <c r="N141" s="145" t="s">
        <v>168</v>
      </c>
      <c r="O141" s="145"/>
      <c r="P141" s="145" t="s">
        <v>169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IF(A105="YES", ((B36*B105)*0.1)*(A130), 0)</f>
        <v>20.6</v>
      </c>
      <c r="B142" s="215" t="n">
        <f aca="false">A102-100</f>
        <v>99.99</v>
      </c>
      <c r="C142" s="215"/>
      <c r="D142" s="215" t="n">
        <f aca="false">(B139+D139+A142+B142)-B145</f>
        <v>1278.29</v>
      </c>
      <c r="E142" s="130"/>
      <c r="F142" s="135"/>
      <c r="G142" s="129" t="n">
        <f aca="false">IF(G105="YES", ((B36*H105)*0.1)*(G130), 0)</f>
        <v>20.6</v>
      </c>
      <c r="H142" s="215" t="n">
        <f aca="false">G102-100</f>
        <v>99.99</v>
      </c>
      <c r="I142" s="215"/>
      <c r="J142" s="215" t="n">
        <f aca="false">(H139+J139+G142+H142)-H145</f>
        <v>1085.34</v>
      </c>
      <c r="K142" s="130"/>
      <c r="L142" s="135"/>
      <c r="M142" s="129" t="n">
        <f aca="false">IF(M105="YES", ((B36*N105)*0.1)*(M130), 0)</f>
        <v>20.6</v>
      </c>
      <c r="N142" s="215" t="n">
        <f aca="false">M102-100</f>
        <v>99.99</v>
      </c>
      <c r="O142" s="215"/>
      <c r="P142" s="215" t="n">
        <f aca="false">(N139+P139+M142+N142)-N145</f>
        <v>1085.34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170</v>
      </c>
      <c r="B144" s="145" t="s">
        <v>171</v>
      </c>
      <c r="C144" s="145"/>
      <c r="D144" s="145"/>
      <c r="E144" s="146"/>
      <c r="F144" s="135"/>
      <c r="G144" s="138" t="s">
        <v>170</v>
      </c>
      <c r="H144" s="145" t="s">
        <v>171</v>
      </c>
      <c r="I144" s="145"/>
      <c r="J144" s="145"/>
      <c r="K144" s="146"/>
      <c r="L144" s="135"/>
      <c r="M144" s="138" t="s">
        <v>170</v>
      </c>
      <c r="N144" s="145" t="s">
        <v>171</v>
      </c>
      <c r="O144" s="145"/>
      <c r="P144" s="145"/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v>0</v>
      </c>
      <c r="B145" s="215" t="n">
        <f aca="false">(B139+D139+A142+B142)*(A145/B64)</f>
        <v>0</v>
      </c>
      <c r="C145" s="145"/>
      <c r="D145" s="145"/>
      <c r="E145" s="146"/>
      <c r="F145" s="135"/>
      <c r="G145" s="129" t="n">
        <v>0</v>
      </c>
      <c r="H145" s="215" t="n">
        <f aca="false">(H139+J139+G142+H142)*(G145/H64)</f>
        <v>0</v>
      </c>
      <c r="I145" s="145"/>
      <c r="J145" s="145"/>
      <c r="K145" s="146"/>
      <c r="L145" s="135"/>
      <c r="M145" s="129" t="n">
        <v>0</v>
      </c>
      <c r="N145" s="215" t="n">
        <f aca="false">(N139+P139+M142+N142)*(M145/N64)</f>
        <v>0</v>
      </c>
      <c r="O145" s="145"/>
      <c r="P145" s="145"/>
      <c r="Q145" s="146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29"/>
      <c r="N146" s="21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/>
      <c r="B147" s="145"/>
      <c r="C147" s="145"/>
      <c r="D147" s="145"/>
      <c r="E147" s="146"/>
      <c r="F147" s="135"/>
      <c r="G147" s="138"/>
      <c r="H147" s="145"/>
      <c r="I147" s="145"/>
      <c r="J147" s="145"/>
      <c r="K147" s="146"/>
      <c r="L147" s="135"/>
      <c r="M147" s="131" t="s">
        <v>172</v>
      </c>
      <c r="N147" s="210" t="s">
        <v>173</v>
      </c>
      <c r="O147" s="145"/>
      <c r="P147" s="145"/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72" t="s">
        <v>174</v>
      </c>
      <c r="B148" s="145"/>
      <c r="C148" s="145"/>
      <c r="D148" s="173"/>
      <c r="E148" s="174"/>
      <c r="F148" s="135"/>
      <c r="G148" s="172" t="s">
        <v>174</v>
      </c>
      <c r="H148" s="145"/>
      <c r="I148" s="145"/>
      <c r="J148" s="173"/>
      <c r="K148" s="174"/>
      <c r="L148" s="135"/>
      <c r="M148" s="132" t="n">
        <v>18000</v>
      </c>
      <c r="N148" s="133" t="n">
        <v>0.99</v>
      </c>
      <c r="O148" s="133"/>
      <c r="P148" s="145"/>
      <c r="Q148" s="146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75"/>
      <c r="C149" s="175"/>
      <c r="D149" s="145"/>
      <c r="E149" s="146"/>
      <c r="F149" s="135"/>
      <c r="G149" s="138"/>
      <c r="H149" s="175"/>
      <c r="I149" s="17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5"/>
      <c r="E150" s="146"/>
      <c r="F150" s="135"/>
      <c r="G150" s="71" t="s">
        <v>81</v>
      </c>
      <c r="H150" s="72" t="s">
        <v>82</v>
      </c>
      <c r="I150" s="72"/>
      <c r="J150" s="145"/>
      <c r="K150" s="146"/>
      <c r="L150" s="135"/>
      <c r="M150" s="138"/>
      <c r="N150" s="145"/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71"/>
      <c r="B151" s="73" t="n">
        <f aca="false">B51</f>
        <v>10000</v>
      </c>
      <c r="C151" s="73"/>
      <c r="D151" s="145"/>
      <c r="E151" s="146"/>
      <c r="F151" s="135"/>
      <c r="G151" s="71"/>
      <c r="H151" s="73" t="n">
        <f aca="false">B51</f>
        <v>10000</v>
      </c>
      <c r="I151" s="73"/>
      <c r="J151" s="145"/>
      <c r="K151" s="146"/>
      <c r="L151" s="135"/>
      <c r="M151" s="172" t="s">
        <v>174</v>
      </c>
      <c r="N151" s="145"/>
      <c r="O151" s="145"/>
      <c r="P151" s="173"/>
      <c r="Q151" s="174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74" t="n">
        <f aca="false">A52</f>
        <v>36</v>
      </c>
      <c r="B152" s="75" t="n">
        <f aca="false">B91</f>
        <v>1187.53157236145</v>
      </c>
      <c r="C152" s="75"/>
      <c r="D152" s="145"/>
      <c r="E152" s="146"/>
      <c r="F152" s="135"/>
      <c r="G152" s="74" t="n">
        <f aca="false">A52</f>
        <v>36</v>
      </c>
      <c r="H152" s="75" t="n">
        <f aca="false">H91</f>
        <v>1226.04297664154</v>
      </c>
      <c r="I152" s="75"/>
      <c r="J152" s="145"/>
      <c r="K152" s="146"/>
      <c r="L152" s="135"/>
      <c r="M152" s="138"/>
      <c r="N152" s="175"/>
      <c r="O152" s="17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71" t="s">
        <v>81</v>
      </c>
      <c r="N153" s="72" t="s">
        <v>82</v>
      </c>
      <c r="O153" s="72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138"/>
      <c r="B154" s="145"/>
      <c r="C154" s="145"/>
      <c r="D154" s="145"/>
      <c r="E154" s="146"/>
      <c r="F154" s="135"/>
      <c r="G154" s="138"/>
      <c r="H154" s="145"/>
      <c r="I154" s="145"/>
      <c r="J154" s="145"/>
      <c r="K154" s="146"/>
      <c r="L154" s="135"/>
      <c r="M154" s="71"/>
      <c r="N154" s="73" t="n">
        <f aca="false">B51</f>
        <v>10000</v>
      </c>
      <c r="O154" s="7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45"/>
      <c r="C155" s="145"/>
      <c r="D155" s="145"/>
      <c r="E155" s="146"/>
      <c r="F155" s="135"/>
      <c r="G155" s="138"/>
      <c r="H155" s="145"/>
      <c r="I155" s="145"/>
      <c r="J155" s="145"/>
      <c r="K155" s="146"/>
      <c r="L155" s="135"/>
      <c r="M155" s="74" t="n">
        <f aca="false">A52</f>
        <v>36</v>
      </c>
      <c r="N155" s="75" t="n">
        <f aca="false">N91</f>
        <v>1014.63743553648</v>
      </c>
      <c r="O155" s="7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138"/>
      <c r="B156" s="145"/>
      <c r="C156" s="145"/>
      <c r="D156" s="145"/>
      <c r="E156" s="146"/>
      <c r="F156" s="135"/>
      <c r="G156" s="138"/>
      <c r="H156" s="145"/>
      <c r="I156" s="145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177"/>
      <c r="B157" s="178"/>
      <c r="C157" s="178"/>
      <c r="D157" s="178"/>
      <c r="E157" s="179"/>
      <c r="F157" s="135"/>
      <c r="G157" s="177"/>
      <c r="H157" s="178"/>
      <c r="I157" s="178"/>
      <c r="J157" s="178"/>
      <c r="K157" s="179"/>
      <c r="L157" s="135"/>
      <c r="M157" s="138"/>
      <c r="N157" s="145"/>
      <c r="O157" s="145"/>
      <c r="P157" s="145"/>
      <c r="Q157" s="146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8"/>
      <c r="N158" s="145"/>
      <c r="O158" s="14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8"/>
      <c r="N159" s="145"/>
      <c r="O159" s="145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8"/>
      <c r="N160" s="145"/>
      <c r="O160" s="145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8"/>
      <c r="N161" s="145"/>
      <c r="O161" s="14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77"/>
      <c r="N162" s="178"/>
      <c r="O162" s="178"/>
      <c r="P162" s="178"/>
      <c r="Q162" s="179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0.878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139" t="n">
        <v>46854.17</v>
      </c>
      <c r="C3" s="139" t="n">
        <v>0</v>
      </c>
      <c r="D3" s="139" t="n">
        <v>833.33</v>
      </c>
      <c r="E3" s="140" t="n">
        <v>0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7" t="n">
        <f aca="false">B7+C7+D7+E3</f>
        <v>47687.5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(E9+E10)*20%</f>
        <v>9647.5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8" t="n">
        <f aca="false">(E9+E10+E13+E14+E11)-E12</f>
        <v>58525</v>
      </c>
      <c r="F15" s="135"/>
      <c r="G15" s="149" t="n">
        <f aca="false">E15</f>
        <v>58525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/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7.35" hidden="false" customHeight="fals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IF(A32=Y103,1,IF(A32=Y104,1,IF(A32=Y105,3,IF(A32=Y106,6,IF(A32=Y107,9,IF(A32=Y108,12,IF(A32=Y109,3,IF(A32=Y110,6,IF(A32=Y111,9,0)))))))))</f>
        <v>0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IF(A32=Y103,H29-H37,IF(A32=Y104,H29-H37,IF(A32=Y105,H29-1,IF(A32=Y106,H29-1,IF(A32=Y107,H29-1,IF(A32=Y108,H29-1,IF(A32=Y109,H29-H37,IF(A32=Y110,H29-H37,IF(A32=Y111,H29-H37,0)))))))))</f>
        <v>0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n">
        <f aca="false">B35</f>
        <v>12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n">
        <f aca="false">D35</f>
        <v>5000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n">
        <f aca="false">D38</f>
        <v>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56" t="s">
        <v>117</v>
      </c>
      <c r="B32" s="159" t="n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n">
        <f aca="false">IF(A32=Z103,A41,IF(A32=Z104,A41,IF(A32=Z105,(A41*3),IF(A32=Z106,(A41*6),IF(A32=Z107,(A41*9),IF(A32=Z108,(A41*12),IF(A32=Z109,A41,IF(A32=Z110,A41,IF(A32=Z111,A41,0)))))))))</f>
        <v>50</v>
      </c>
      <c r="E32" s="159"/>
      <c r="F32" s="135"/>
      <c r="G32" s="160" t="s">
        <v>177</v>
      </c>
      <c r="H32" s="158" t="n">
        <f aca="false">A41</f>
        <v>50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18.75" hidden="false" customHeight="tru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n">
        <f aca="false">D41</f>
        <v>6000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n">
        <f aca="false">A44</f>
        <v>12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59" t="n">
        <f aca="false">B32+D32</f>
        <v>550</v>
      </c>
      <c r="B35" s="37" t="n">
        <v>12</v>
      </c>
      <c r="C35" s="37"/>
      <c r="D35" s="37" t="n">
        <v>5000</v>
      </c>
      <c r="E35" s="37"/>
      <c r="F35" s="135"/>
      <c r="G35" s="162"/>
      <c r="H35" s="163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38"/>
      <c r="B36" s="145"/>
      <c r="C36" s="145"/>
      <c r="D36" s="145"/>
      <c r="E36" s="146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64" t="n">
        <f aca="false">(B35/12)*D35</f>
        <v>5000</v>
      </c>
      <c r="B38" s="37" t="s">
        <v>25</v>
      </c>
      <c r="C38" s="37"/>
      <c r="D38" s="42" t="n">
        <v>500</v>
      </c>
      <c r="E38" s="42"/>
      <c r="F38" s="135"/>
      <c r="G38" s="135"/>
      <c r="H38" s="135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57"/>
      <c r="B39" s="45"/>
      <c r="C39" s="45"/>
      <c r="D39" s="145"/>
      <c r="E39" s="146"/>
      <c r="F39" s="135"/>
      <c r="G39" s="135"/>
      <c r="H39" s="165"/>
      <c r="I39" s="165"/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16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42" t="n">
        <v>50</v>
      </c>
      <c r="B41" s="55" t="n">
        <f aca="false">IF(B38="YES", D38+A41, D38)</f>
        <v>550</v>
      </c>
      <c r="C41" s="55"/>
      <c r="D41" s="42" t="n">
        <v>6000</v>
      </c>
      <c r="E41" s="42"/>
      <c r="F41" s="135"/>
      <c r="G41" s="135"/>
      <c r="H41" s="167"/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501</v>
      </c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42" t="n">
        <v>12</v>
      </c>
      <c r="B44" s="42" t="n">
        <v>1</v>
      </c>
      <c r="C44" s="42"/>
      <c r="D44" s="42" t="n">
        <v>1</v>
      </c>
      <c r="E44" s="42"/>
      <c r="F44" s="135"/>
      <c r="G44" s="135" t="s">
        <v>185</v>
      </c>
      <c r="H44" s="165" t="n">
        <f aca="false">H32</f>
        <v>50</v>
      </c>
      <c r="I44" s="62" t="n">
        <f aca="false">((A41*(B35-1))+D32)/B35</f>
        <v>50</v>
      </c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551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501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70" t="n">
        <v>0</v>
      </c>
      <c r="B47" s="367" t="n">
        <v>0.01</v>
      </c>
      <c r="C47" s="367"/>
      <c r="D47" s="42" t="n">
        <v>1</v>
      </c>
      <c r="E47" s="42"/>
      <c r="F47" s="135"/>
      <c r="G47" s="135"/>
      <c r="H47" s="165"/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5"/>
      <c r="G48" s="135"/>
      <c r="H48" s="165"/>
      <c r="I48" s="16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57" t="s">
        <v>311</v>
      </c>
      <c r="B49" s="45"/>
      <c r="C49" s="45"/>
      <c r="D49" s="45"/>
      <c r="E49" s="61"/>
      <c r="F49" s="135"/>
      <c r="G49" s="135"/>
      <c r="H49" s="165"/>
      <c r="I49" s="16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A50" s="156" t="s">
        <v>26</v>
      </c>
      <c r="B50" s="45"/>
      <c r="C50" s="45"/>
      <c r="D50" s="45"/>
      <c r="E50" s="61"/>
      <c r="F50" s="135"/>
      <c r="G50" s="135"/>
      <c r="H50" s="16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5"/>
      <c r="G51" s="135"/>
      <c r="H51" s="165"/>
      <c r="I51" s="16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65" t="s">
        <v>302</v>
      </c>
      <c r="B52" s="45"/>
      <c r="C52" s="45"/>
      <c r="D52" s="45"/>
      <c r="E52" s="61"/>
      <c r="F52" s="135"/>
      <c r="G52" s="135"/>
      <c r="H52" s="165"/>
      <c r="I52" s="16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5"/>
      <c r="G53" s="135"/>
      <c r="H53" s="165"/>
      <c r="I53" s="16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2" t="s">
        <v>205</v>
      </c>
      <c r="B54" s="145"/>
      <c r="C54" s="145"/>
      <c r="D54" s="173"/>
      <c r="E54" s="174"/>
      <c r="F54" s="135"/>
      <c r="G54" s="135"/>
      <c r="H54" s="165"/>
      <c r="I54" s="16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38"/>
      <c r="B55" s="175"/>
      <c r="C55" s="175"/>
      <c r="D55" s="145"/>
      <c r="E55" s="146"/>
      <c r="F55" s="135"/>
      <c r="G55" s="135"/>
      <c r="H55" s="176"/>
      <c r="I55" s="16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5"/>
      <c r="E56" s="146"/>
      <c r="F56" s="135"/>
      <c r="G56" s="135"/>
      <c r="H56" s="135"/>
      <c r="I56" s="16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71"/>
      <c r="B57" s="73" t="n">
        <f aca="false">H30</f>
        <v>5000</v>
      </c>
      <c r="C57" s="73"/>
      <c r="D57" s="145"/>
      <c r="E57" s="146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74" t="n">
        <f aca="false">H29</f>
        <v>12</v>
      </c>
      <c r="B58" s="75" t="n">
        <f aca="false">H45</f>
        <v>551</v>
      </c>
      <c r="C58" s="75"/>
      <c r="D58" s="145"/>
      <c r="E58" s="146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77"/>
      <c r="B60" s="178"/>
      <c r="C60" s="178"/>
      <c r="D60" s="178"/>
      <c r="E60" s="179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45"/>
      <c r="B61" s="145"/>
      <c r="C61" s="145"/>
      <c r="D61" s="145"/>
      <c r="E61" s="145"/>
      <c r="F61" s="135"/>
      <c r="G61" s="145"/>
      <c r="H61" s="145"/>
      <c r="I61" s="145"/>
      <c r="J61" s="145"/>
      <c r="K61" s="145"/>
      <c r="L61" s="135"/>
      <c r="M61" s="145"/>
      <c r="N61" s="145"/>
      <c r="O61" s="145"/>
      <c r="P61" s="145"/>
      <c r="Q61" s="145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0"/>
      <c r="B62" s="181"/>
      <c r="C62" s="181"/>
      <c r="D62" s="181"/>
      <c r="E62" s="182"/>
      <c r="F62" s="135"/>
      <c r="G62" s="180"/>
      <c r="H62" s="181"/>
      <c r="I62" s="181"/>
      <c r="J62" s="181"/>
      <c r="K62" s="182"/>
      <c r="L62" s="135"/>
      <c r="M62" s="180"/>
      <c r="N62" s="181"/>
      <c r="O62" s="181"/>
      <c r="P62" s="181"/>
      <c r="Q62" s="182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83</v>
      </c>
      <c r="B63" s="145" t="n">
        <f aca="false">IF(B105=Z103,1,IF(B105=Z104,1,IF(B105=Z105,3,IF(B105=Z106,6,IF(B105=Z107,9,IF(B105=Z108,12,IF(B105=Z109,3,IF(B105=Z110,6,IF(B105=Z111,9,0)))))))))</f>
        <v>12</v>
      </c>
      <c r="C63" s="145"/>
      <c r="D63" s="145"/>
      <c r="E63" s="146"/>
      <c r="F63" s="135"/>
      <c r="G63" s="138" t="s">
        <v>83</v>
      </c>
      <c r="H63" s="145" t="n">
        <f aca="false">IF(H105=Y103,1,IF(H105=Y104,1,IF(H105=Y105,3,IF(H105=Y106,6,IF(H105=Y107,9,IF(H105=Y108,12,IF(H105=Y109,3,IF(H105=Y110,6,IF(H105=Y111,9,0)))))))))</f>
        <v>0</v>
      </c>
      <c r="I63" s="145"/>
      <c r="J63" s="145"/>
      <c r="K63" s="146"/>
      <c r="L63" s="135"/>
      <c r="M63" s="138" t="s">
        <v>83</v>
      </c>
      <c r="N63" s="145" t="n">
        <f aca="false">IF(N105=Y103,1,IF(N105=Y104,1,IF(N105=Y105,3,IF(N105=Y106,6,IF(N105=Y107,9,IF(N105=Y108,12,IF(N105=Y109,3,IF(N105=Y110,6,IF(N105=Y111,9,0)))))))))</f>
        <v>0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38" t="s">
        <v>84</v>
      </c>
      <c r="B64" s="145" t="n">
        <f aca="false">IF(B105=Z103,H29-B63,IF(B105=Z104,H29-B63,IF(B105=Z105,H29-1,IF(B105=Z106,H29-1,IF(B105=Z107,H29-1,IF(B105=Z108,H29-1,IF(B105=Z109,H29-B63,IF(B105=Z110,H29-B63,IF(B105=Z111,H29-B63,0)))))))))</f>
        <v>11</v>
      </c>
      <c r="C64" s="145"/>
      <c r="D64" s="145"/>
      <c r="E64" s="146"/>
      <c r="F64" s="135"/>
      <c r="G64" s="138" t="s">
        <v>84</v>
      </c>
      <c r="H64" s="145" t="n">
        <f aca="false">IF(H105=Y103,H29-H63,IF(H105=Y104,H29-H63,IF(H105=Y105,H29-1,IF(H105=Y106,H29-1,IF(H105=Y107,H29-1,IF(H105=Y108,H29-1,IF(H105=Y109,H29-H63,IF(H105=Y110,H29-H63,IF(H105=Y111,H29-H63,0)))))))))</f>
        <v>0</v>
      </c>
      <c r="I64" s="145"/>
      <c r="J64" s="145"/>
      <c r="K64" s="146"/>
      <c r="L64" s="135"/>
      <c r="M64" s="138" t="s">
        <v>84</v>
      </c>
      <c r="N64" s="145" t="n">
        <f aca="false">IF(N105=Y103,H29-N63,IF(N105=Y104,H29-N63,IF(N105=Y105,H29-1,IF(N105=Y106,H29-1,IF(N105=Y107,H29-1,IF(N105=Y108,H29-1,IF(N105=Y109,H29-N63,IF(N105=Y110,H29-N63,IF(N105=Y111,H29-N63,0)))))))))</f>
        <v>0</v>
      </c>
      <c r="O64" s="145"/>
      <c r="P64" s="145"/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38"/>
      <c r="B65" s="145"/>
      <c r="C65" s="145"/>
      <c r="D65" s="145"/>
      <c r="E65" s="146"/>
      <c r="F65" s="135"/>
      <c r="G65" s="138"/>
      <c r="H65" s="145"/>
      <c r="I65" s="145"/>
      <c r="J65" s="145"/>
      <c r="K65" s="146"/>
      <c r="L65" s="135"/>
      <c r="M65" s="138"/>
      <c r="N65" s="145"/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/>
      <c r="B66" s="145"/>
      <c r="C66" s="145"/>
      <c r="D66" s="145"/>
      <c r="E66" s="146"/>
      <c r="F66" s="135"/>
      <c r="G66" s="138"/>
      <c r="H66" s="145"/>
      <c r="I66" s="145"/>
      <c r="J66" s="145"/>
      <c r="K66" s="146"/>
      <c r="L66" s="135"/>
      <c r="M66" s="138"/>
      <c r="N66" s="145"/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38" t="s">
        <v>21</v>
      </c>
      <c r="B67" s="144" t="n">
        <f aca="false">G18</f>
        <v>57885</v>
      </c>
      <c r="C67" s="145"/>
      <c r="D67" s="145"/>
      <c r="E67" s="146"/>
      <c r="F67" s="135"/>
      <c r="G67" s="138" t="s">
        <v>21</v>
      </c>
      <c r="H67" s="144" t="n">
        <f aca="false">G18</f>
        <v>57885</v>
      </c>
      <c r="I67" s="145"/>
      <c r="J67" s="145"/>
      <c r="K67" s="146"/>
      <c r="L67" s="135"/>
      <c r="M67" s="138" t="s">
        <v>21</v>
      </c>
      <c r="N67" s="144" t="n">
        <f aca="false">G18</f>
        <v>57885</v>
      </c>
      <c r="O67" s="145"/>
      <c r="P67" s="145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85</v>
      </c>
      <c r="B68" s="184" t="n">
        <v>0.07</v>
      </c>
      <c r="C68" s="145"/>
      <c r="D68" s="145"/>
      <c r="E68" s="146"/>
      <c r="F68" s="135"/>
      <c r="G68" s="183" t="s">
        <v>85</v>
      </c>
      <c r="H68" s="184" t="n">
        <v>0.07</v>
      </c>
      <c r="I68" s="145"/>
      <c r="J68" s="145"/>
      <c r="K68" s="146"/>
      <c r="L68" s="135"/>
      <c r="M68" s="183" t="s">
        <v>85</v>
      </c>
      <c r="N68" s="184" t="n">
        <v>0.07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8" t="s">
        <v>86</v>
      </c>
      <c r="B69" s="142" t="n">
        <f aca="false">B68+(B68*0.25*(H29/12-1))</f>
        <v>0.07</v>
      </c>
      <c r="C69" s="145"/>
      <c r="D69" s="145"/>
      <c r="E69" s="146"/>
      <c r="F69" s="135"/>
      <c r="G69" s="138" t="s">
        <v>86</v>
      </c>
      <c r="H69" s="142" t="n">
        <f aca="false">H68+(H68*0.25*(H29/12-1))</f>
        <v>0.07</v>
      </c>
      <c r="I69" s="145"/>
      <c r="J69" s="145"/>
      <c r="K69" s="146"/>
      <c r="L69" s="135"/>
      <c r="M69" s="138" t="s">
        <v>86</v>
      </c>
      <c r="N69" s="142" t="n">
        <f aca="false">N68+(N68*0.25*(H29/12-1))</f>
        <v>0.07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87</v>
      </c>
      <c r="B70" s="185" t="n">
        <f aca="false">B67*B69</f>
        <v>4051.95</v>
      </c>
      <c r="C70" s="145"/>
      <c r="D70" s="144" t="n">
        <f aca="false">B70-A151</f>
        <v>4051.95</v>
      </c>
      <c r="E70" s="146" t="n">
        <f aca="false">D70/12</f>
        <v>337.6625</v>
      </c>
      <c r="F70" s="135"/>
      <c r="G70" s="177" t="s">
        <v>87</v>
      </c>
      <c r="H70" s="185" t="n">
        <f aca="false">H67*H69</f>
        <v>4051.95</v>
      </c>
      <c r="I70" s="145"/>
      <c r="J70" s="144" t="n">
        <f aca="false">H70-G151</f>
        <v>4051.95</v>
      </c>
      <c r="K70" s="146"/>
      <c r="L70" s="135"/>
      <c r="M70" s="177" t="s">
        <v>87</v>
      </c>
      <c r="N70" s="185" t="n">
        <f aca="false">N67*N69</f>
        <v>4051.95</v>
      </c>
      <c r="O70" s="145"/>
      <c r="P70" s="144" t="n">
        <f aca="false">N70-M151</f>
        <v>4051.95</v>
      </c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88</v>
      </c>
      <c r="B71" s="184" t="n">
        <v>0.01</v>
      </c>
      <c r="C71" s="145"/>
      <c r="D71" s="145"/>
      <c r="E71" s="146"/>
      <c r="F71" s="135"/>
      <c r="G71" s="183" t="s">
        <v>88</v>
      </c>
      <c r="H71" s="184" t="n">
        <v>0.005</v>
      </c>
      <c r="I71" s="145"/>
      <c r="J71" s="145"/>
      <c r="K71" s="146"/>
      <c r="L71" s="135"/>
      <c r="M71" s="183" t="s">
        <v>88</v>
      </c>
      <c r="N71" s="184" t="n">
        <v>0.005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8" t="s">
        <v>89</v>
      </c>
      <c r="B72" s="142" t="n">
        <f aca="false">B71+(B71*0.5*(H29/12-1))</f>
        <v>0.01</v>
      </c>
      <c r="C72" s="145"/>
      <c r="D72" s="145"/>
      <c r="E72" s="146"/>
      <c r="F72" s="135"/>
      <c r="G72" s="138" t="s">
        <v>89</v>
      </c>
      <c r="H72" s="142" t="n">
        <f aca="false">H71+(H71*0.5*(H29/12-1))</f>
        <v>0.005</v>
      </c>
      <c r="I72" s="145"/>
      <c r="J72" s="145"/>
      <c r="K72" s="146"/>
      <c r="L72" s="135"/>
      <c r="M72" s="138" t="s">
        <v>89</v>
      </c>
      <c r="N72" s="142" t="n">
        <f aca="false">N71+(N71*0.5*(H29/12-1))</f>
        <v>0.005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90</v>
      </c>
      <c r="B73" s="185" t="n">
        <f aca="false">B67*B72</f>
        <v>578.85</v>
      </c>
      <c r="C73" s="145"/>
      <c r="D73" s="144"/>
      <c r="E73" s="146"/>
      <c r="F73" s="135"/>
      <c r="G73" s="177" t="s">
        <v>90</v>
      </c>
      <c r="H73" s="185" t="n">
        <f aca="false">H67*H72</f>
        <v>289.425</v>
      </c>
      <c r="I73" s="145"/>
      <c r="J73" s="144"/>
      <c r="K73" s="146"/>
      <c r="L73" s="135"/>
      <c r="M73" s="177" t="s">
        <v>90</v>
      </c>
      <c r="N73" s="185" t="n">
        <f aca="false">N67*N72</f>
        <v>289.425</v>
      </c>
      <c r="O73" s="145"/>
      <c r="P73" s="144"/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91</v>
      </c>
      <c r="B74" s="184" t="n">
        <v>0.0075</v>
      </c>
      <c r="C74" s="145"/>
      <c r="D74" s="145"/>
      <c r="E74" s="146"/>
      <c r="F74" s="135"/>
      <c r="G74" s="183" t="s">
        <v>91</v>
      </c>
      <c r="H74" s="184" t="n">
        <v>0.0075</v>
      </c>
      <c r="I74" s="145"/>
      <c r="J74" s="145"/>
      <c r="K74" s="146"/>
      <c r="L74" s="135"/>
      <c r="M74" s="183" t="s">
        <v>91</v>
      </c>
      <c r="N74" s="184" t="n">
        <v>0.0075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92</v>
      </c>
      <c r="B75" s="186" t="n">
        <v>0.12</v>
      </c>
      <c r="C75" s="145"/>
      <c r="D75" s="145"/>
      <c r="E75" s="146"/>
      <c r="F75" s="135"/>
      <c r="G75" s="136" t="s">
        <v>92</v>
      </c>
      <c r="H75" s="186" t="n">
        <v>0.12</v>
      </c>
      <c r="I75" s="145"/>
      <c r="J75" s="145"/>
      <c r="K75" s="146"/>
      <c r="L75" s="135"/>
      <c r="M75" s="136" t="s">
        <v>92</v>
      </c>
      <c r="N75" s="186" t="n">
        <v>0.12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93</v>
      </c>
      <c r="B76" s="187" t="n">
        <f aca="false">B74*(1+B75)</f>
        <v>0.0084</v>
      </c>
      <c r="C76" s="145"/>
      <c r="D76" s="145"/>
      <c r="E76" s="146"/>
      <c r="F76" s="135"/>
      <c r="G76" s="177" t="s">
        <v>93</v>
      </c>
      <c r="H76" s="187" t="n">
        <f aca="false">H74*(1+H75)</f>
        <v>0.0084</v>
      </c>
      <c r="I76" s="145"/>
      <c r="J76" s="145"/>
      <c r="K76" s="146"/>
      <c r="L76" s="135"/>
      <c r="M76" s="177" t="s">
        <v>93</v>
      </c>
      <c r="N76" s="187" t="n">
        <f aca="false">N74*(1+N75)</f>
        <v>0.0084</v>
      </c>
      <c r="O76" s="145"/>
      <c r="P76" s="145"/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94</v>
      </c>
      <c r="B77" s="188" t="n">
        <v>200</v>
      </c>
      <c r="C77" s="145"/>
      <c r="D77" s="145"/>
      <c r="E77" s="146"/>
      <c r="F77" s="135"/>
      <c r="G77" s="183" t="s">
        <v>94</v>
      </c>
      <c r="H77" s="188" t="n">
        <v>160</v>
      </c>
      <c r="I77" s="145"/>
      <c r="J77" s="145"/>
      <c r="K77" s="146"/>
      <c r="L77" s="135"/>
      <c r="M77" s="183" t="s">
        <v>94</v>
      </c>
      <c r="N77" s="188" t="n">
        <v>160</v>
      </c>
      <c r="O77" s="145"/>
      <c r="P77" s="145"/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6" t="s">
        <v>95</v>
      </c>
      <c r="B78" s="189" t="n">
        <v>5</v>
      </c>
      <c r="C78" s="145"/>
      <c r="D78" s="145"/>
      <c r="E78" s="146"/>
      <c r="F78" s="135"/>
      <c r="G78" s="136" t="s">
        <v>95</v>
      </c>
      <c r="H78" s="189" t="n">
        <v>4.5</v>
      </c>
      <c r="I78" s="145"/>
      <c r="J78" s="145"/>
      <c r="K78" s="146"/>
      <c r="L78" s="135"/>
      <c r="M78" s="136" t="s">
        <v>95</v>
      </c>
      <c r="N78" s="189" t="n">
        <v>4.5</v>
      </c>
      <c r="O78" s="145"/>
      <c r="P78" s="145"/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77" t="s">
        <v>96</v>
      </c>
      <c r="B79" s="185" t="n">
        <f aca="false">B78*H29</f>
        <v>60</v>
      </c>
      <c r="C79" s="145"/>
      <c r="D79" s="144" t="n">
        <f aca="false">B79+B77</f>
        <v>260</v>
      </c>
      <c r="E79" s="190" t="n">
        <f aca="false">D79+D85+D86</f>
        <v>660</v>
      </c>
      <c r="F79" s="135"/>
      <c r="G79" s="177" t="s">
        <v>96</v>
      </c>
      <c r="H79" s="185" t="n">
        <f aca="false">H78*H29</f>
        <v>54</v>
      </c>
      <c r="I79" s="145"/>
      <c r="J79" s="144" t="n">
        <f aca="false">H79+H77</f>
        <v>214</v>
      </c>
      <c r="K79" s="146"/>
      <c r="L79" s="135"/>
      <c r="M79" s="177" t="s">
        <v>96</v>
      </c>
      <c r="N79" s="185" t="n">
        <f aca="false">N78*H29</f>
        <v>54</v>
      </c>
      <c r="O79" s="145"/>
      <c r="P79" s="144" t="n">
        <f aca="false">N79+N77</f>
        <v>214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83" t="s">
        <v>97</v>
      </c>
      <c r="B80" s="188" t="n">
        <v>0</v>
      </c>
      <c r="C80" s="145"/>
      <c r="D80" s="145"/>
      <c r="E80" s="190" t="n">
        <f aca="false">E79+D82</f>
        <v>660</v>
      </c>
      <c r="F80" s="135"/>
      <c r="G80" s="183" t="s">
        <v>97</v>
      </c>
      <c r="H80" s="188" t="n">
        <v>150</v>
      </c>
      <c r="I80" s="145"/>
      <c r="J80" s="145"/>
      <c r="K80" s="146"/>
      <c r="L80" s="135"/>
      <c r="M80" s="191" t="s">
        <v>97</v>
      </c>
      <c r="N80" s="192" t="n">
        <v>0</v>
      </c>
      <c r="O80" s="145"/>
      <c r="P80" s="145"/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36" t="s">
        <v>98</v>
      </c>
      <c r="B81" s="189" t="n">
        <v>0</v>
      </c>
      <c r="C81" s="145"/>
      <c r="D81" s="145"/>
      <c r="E81" s="146" t="n">
        <f aca="false">E80/12</f>
        <v>55</v>
      </c>
      <c r="F81" s="135"/>
      <c r="G81" s="136" t="s">
        <v>98</v>
      </c>
      <c r="H81" s="189" t="n">
        <f aca="false">IF(G18&gt;40000, 325, 0)</f>
        <v>325</v>
      </c>
      <c r="I81" s="145"/>
      <c r="J81" s="145"/>
      <c r="K81" s="146"/>
      <c r="L81" s="135"/>
      <c r="M81" s="193" t="s">
        <v>98</v>
      </c>
      <c r="N81" s="194" t="n">
        <v>0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77" t="s">
        <v>99</v>
      </c>
      <c r="B82" s="185" t="n">
        <f aca="false">((B80+B81)/12)*(H29-11)</f>
        <v>0</v>
      </c>
      <c r="C82" s="145"/>
      <c r="D82" s="144" t="n">
        <f aca="false">IF(A50="YES", 0, B82)</f>
        <v>0</v>
      </c>
      <c r="E82" s="146"/>
      <c r="F82" s="135"/>
      <c r="G82" s="177" t="s">
        <v>99</v>
      </c>
      <c r="H82" s="185" t="n">
        <f aca="false">((H80+H81)/12)*(H29-11)</f>
        <v>39.5833333333333</v>
      </c>
      <c r="I82" s="145"/>
      <c r="J82" s="144" t="n">
        <f aca="false">IF(A50="YES", 0, H82)</f>
        <v>39.5833333333333</v>
      </c>
      <c r="K82" s="146"/>
      <c r="L82" s="135"/>
      <c r="M82" s="195" t="s">
        <v>99</v>
      </c>
      <c r="N82" s="196" t="n">
        <f aca="false">((N80+N81)/12)*(H29-11)</f>
        <v>0</v>
      </c>
      <c r="O82" s="145"/>
      <c r="P82" s="144" t="n">
        <f aca="false">IF(A50="YES", 0, N82)</f>
        <v>0</v>
      </c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183" t="s">
        <v>100</v>
      </c>
      <c r="B83" s="188" t="n">
        <v>0</v>
      </c>
      <c r="C83" s="145"/>
      <c r="D83" s="144" t="n">
        <f aca="false">B83</f>
        <v>0</v>
      </c>
      <c r="E83" s="146" t="n">
        <f aca="false">D83/12</f>
        <v>0</v>
      </c>
      <c r="F83" s="135"/>
      <c r="G83" s="183" t="s">
        <v>100</v>
      </c>
      <c r="H83" s="188" t="n">
        <f aca="false">H108</f>
        <v>1200</v>
      </c>
      <c r="I83" s="145"/>
      <c r="J83" s="144" t="n">
        <f aca="false">H83</f>
        <v>1200</v>
      </c>
      <c r="K83" s="146"/>
      <c r="L83" s="135"/>
      <c r="M83" s="183" t="s">
        <v>100</v>
      </c>
      <c r="N83" s="188" t="n">
        <f aca="false">N108</f>
        <v>1200</v>
      </c>
      <c r="O83" s="145"/>
      <c r="P83" s="144" t="n">
        <f aca="false">N83</f>
        <v>1200</v>
      </c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 t="s">
        <v>101</v>
      </c>
      <c r="B84" s="143" t="n">
        <v>0</v>
      </c>
      <c r="C84" s="145"/>
      <c r="D84" s="144" t="n">
        <f aca="false">B84</f>
        <v>0</v>
      </c>
      <c r="E84" s="146"/>
      <c r="F84" s="135"/>
      <c r="G84" s="138" t="s">
        <v>102</v>
      </c>
      <c r="H84" s="143" t="n">
        <f aca="false">J108</f>
        <v>1500</v>
      </c>
      <c r="I84" s="145"/>
      <c r="J84" s="144" t="n">
        <f aca="false">H84</f>
        <v>1500</v>
      </c>
      <c r="K84" s="146"/>
      <c r="L84" s="135"/>
      <c r="M84" s="138" t="s">
        <v>102</v>
      </c>
      <c r="N84" s="143" t="n">
        <f aca="false">P108</f>
        <v>1500</v>
      </c>
      <c r="O84" s="145"/>
      <c r="P84" s="144" t="n">
        <f aca="false">N84</f>
        <v>1500</v>
      </c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36" t="s">
        <v>103</v>
      </c>
      <c r="B85" s="189" t="n">
        <v>200</v>
      </c>
      <c r="C85" s="145"/>
      <c r="D85" s="144" t="n">
        <f aca="false">B85</f>
        <v>200</v>
      </c>
      <c r="E85" s="146"/>
      <c r="F85" s="135"/>
      <c r="G85" s="136" t="s">
        <v>103</v>
      </c>
      <c r="H85" s="189" t="n">
        <v>100</v>
      </c>
      <c r="I85" s="145"/>
      <c r="J85" s="144" t="n">
        <f aca="false">H85</f>
        <v>100</v>
      </c>
      <c r="K85" s="146"/>
      <c r="L85" s="135"/>
      <c r="M85" s="136" t="s">
        <v>103</v>
      </c>
      <c r="N85" s="189" t="n">
        <v>100</v>
      </c>
      <c r="O85" s="145"/>
      <c r="P85" s="144" t="n">
        <f aca="false">N85</f>
        <v>100</v>
      </c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97" t="s">
        <v>104</v>
      </c>
      <c r="B86" s="198" t="n">
        <v>200</v>
      </c>
      <c r="C86" s="145"/>
      <c r="D86" s="144" t="n">
        <f aca="false">B86</f>
        <v>200</v>
      </c>
      <c r="E86" s="146"/>
      <c r="F86" s="135"/>
      <c r="G86" s="197" t="s">
        <v>104</v>
      </c>
      <c r="H86" s="198" t="n">
        <v>100</v>
      </c>
      <c r="I86" s="145"/>
      <c r="J86" s="144" t="n">
        <f aca="false">H86</f>
        <v>100</v>
      </c>
      <c r="K86" s="146"/>
      <c r="L86" s="135"/>
      <c r="M86" s="197" t="s">
        <v>104</v>
      </c>
      <c r="N86" s="198" t="n">
        <v>100</v>
      </c>
      <c r="O86" s="145"/>
      <c r="P86" s="144" t="n">
        <f aca="false">N86</f>
        <v>100</v>
      </c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99" t="s">
        <v>105</v>
      </c>
      <c r="B87" s="200" t="n">
        <f aca="false">SUM(D70:D86)</f>
        <v>4711.95</v>
      </c>
      <c r="C87" s="145"/>
      <c r="D87" s="145"/>
      <c r="E87" s="146"/>
      <c r="F87" s="135"/>
      <c r="G87" s="199" t="s">
        <v>105</v>
      </c>
      <c r="H87" s="200" t="n">
        <f aca="false">SUM(J70:J86)</f>
        <v>7205.53333333333</v>
      </c>
      <c r="I87" s="145"/>
      <c r="J87" s="145"/>
      <c r="K87" s="146"/>
      <c r="L87" s="135"/>
      <c r="M87" s="199" t="s">
        <v>105</v>
      </c>
      <c r="N87" s="200" t="n">
        <f aca="false">SUM(P70:P86)</f>
        <v>7165.95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 t="s">
        <v>106</v>
      </c>
      <c r="B88" s="143" t="n">
        <f aca="false">B87/H29</f>
        <v>392.6625</v>
      </c>
      <c r="C88" s="145"/>
      <c r="D88" s="145"/>
      <c r="E88" s="146"/>
      <c r="F88" s="135"/>
      <c r="G88" s="138" t="s">
        <v>106</v>
      </c>
      <c r="H88" s="143" t="n">
        <f aca="false">H87/H29</f>
        <v>600.461111111111</v>
      </c>
      <c r="I88" s="145"/>
      <c r="J88" s="145"/>
      <c r="K88" s="146"/>
      <c r="L88" s="135"/>
      <c r="M88" s="138" t="s">
        <v>106</v>
      </c>
      <c r="N88" s="143" t="n">
        <f aca="false">N87/H29</f>
        <v>597.1625</v>
      </c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201" t="s">
        <v>107</v>
      </c>
      <c r="B89" s="202" t="n">
        <f aca="false">H46</f>
        <v>501</v>
      </c>
      <c r="C89" s="145"/>
      <c r="D89" s="145"/>
      <c r="E89" s="146"/>
      <c r="F89" s="135"/>
      <c r="G89" s="201" t="s">
        <v>107</v>
      </c>
      <c r="H89" s="202" t="n">
        <f aca="false">H46</f>
        <v>501</v>
      </c>
      <c r="I89" s="145"/>
      <c r="J89" s="145"/>
      <c r="K89" s="146"/>
      <c r="L89" s="135"/>
      <c r="M89" s="201" t="s">
        <v>107</v>
      </c>
      <c r="N89" s="202" t="n">
        <f aca="false">H46</f>
        <v>501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138"/>
      <c r="B90" s="144"/>
      <c r="C90" s="145"/>
      <c r="D90" s="145"/>
      <c r="E90" s="146"/>
      <c r="F90" s="135"/>
      <c r="G90" s="138"/>
      <c r="H90" s="144"/>
      <c r="I90" s="145"/>
      <c r="J90" s="145"/>
      <c r="K90" s="146"/>
      <c r="L90" s="135"/>
      <c r="M90" s="138"/>
      <c r="N90" s="144"/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180" t="s">
        <v>108</v>
      </c>
      <c r="B91" s="203" t="n">
        <f aca="false">((B89*H29)+B87)</f>
        <v>10723.95</v>
      </c>
      <c r="C91" s="145"/>
      <c r="D91" s="145"/>
      <c r="E91" s="146"/>
      <c r="F91" s="135"/>
      <c r="G91" s="180" t="s">
        <v>108</v>
      </c>
      <c r="H91" s="203" t="n">
        <f aca="false">((H89*H29)+H87)*1.2</f>
        <v>15861.04</v>
      </c>
      <c r="I91" s="145"/>
      <c r="J91" s="145"/>
      <c r="K91" s="146"/>
      <c r="L91" s="135"/>
      <c r="M91" s="180" t="s">
        <v>108</v>
      </c>
      <c r="N91" s="203" t="n">
        <f aca="false">((N89*H29)+N87)</f>
        <v>13177.95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38" t="s">
        <v>109</v>
      </c>
      <c r="B92" s="143" t="n">
        <f aca="false">(((B89*H29)+B87)/(1-B76))*B76</f>
        <v>90.8442718838241</v>
      </c>
      <c r="C92" s="145"/>
      <c r="D92" s="145"/>
      <c r="E92" s="204"/>
      <c r="F92" s="135"/>
      <c r="G92" s="138" t="s">
        <v>109</v>
      </c>
      <c r="H92" s="143" t="n">
        <f aca="false">(((H89*H29)+H87)/(1-H76))*H76</f>
        <v>111.967809600645</v>
      </c>
      <c r="I92" s="145"/>
      <c r="J92" s="145"/>
      <c r="K92" s="146"/>
      <c r="L92" s="135"/>
      <c r="M92" s="138" t="s">
        <v>109</v>
      </c>
      <c r="N92" s="143" t="n">
        <f aca="false">(N91/(1-N76))*N76</f>
        <v>111.632492940702</v>
      </c>
      <c r="O92" s="145"/>
      <c r="P92" s="145"/>
      <c r="Q92" s="146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77" t="s">
        <v>110</v>
      </c>
      <c r="B93" s="185" t="n">
        <f aca="false">IF(B116="YES",((B91+B92)-E120),(B91+B92))</f>
        <v>10814.7942718838</v>
      </c>
      <c r="C93" s="145"/>
      <c r="D93" s="145"/>
      <c r="E93" s="146"/>
      <c r="F93" s="135"/>
      <c r="G93" s="177" t="s">
        <v>110</v>
      </c>
      <c r="H93" s="185" t="n">
        <f aca="false">IF(H116="YES",((H91+H92)-K120),(H91+H92))</f>
        <v>17973.0078096006</v>
      </c>
      <c r="I93" s="145"/>
      <c r="J93" s="145"/>
      <c r="K93" s="146"/>
      <c r="L93" s="135"/>
      <c r="M93" s="177" t="s">
        <v>110</v>
      </c>
      <c r="N93" s="185" t="n">
        <f aca="false">IF(N116="YES",((N91+N92)-K120),(N91+N92))</f>
        <v>15289.5824929407</v>
      </c>
      <c r="O93" s="145"/>
      <c r="P93" s="145"/>
      <c r="Q93" s="146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18.75" hidden="false" customHeight="true" outlineLevel="0" collapsed="false">
      <c r="A94" s="138"/>
      <c r="B94" s="144"/>
      <c r="C94" s="145"/>
      <c r="D94" s="145"/>
      <c r="E94" s="146"/>
      <c r="F94" s="135"/>
      <c r="G94" s="138"/>
      <c r="H94" s="144"/>
      <c r="I94" s="145"/>
      <c r="J94" s="145"/>
      <c r="K94" s="146"/>
      <c r="L94" s="135"/>
      <c r="M94" s="138"/>
      <c r="N94" s="144"/>
      <c r="O94" s="145"/>
      <c r="P94" s="145"/>
      <c r="Q94" s="146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99" t="s">
        <v>65</v>
      </c>
      <c r="B95" s="200" t="n">
        <f aca="false">((H44*B35)+((H44*B35)*B111))/(B63+B64)</f>
        <v>31.304347826087</v>
      </c>
      <c r="C95" s="145"/>
      <c r="D95" s="145"/>
      <c r="E95" s="146"/>
      <c r="F95" s="135"/>
      <c r="G95" s="199" t="s">
        <v>65</v>
      </c>
      <c r="H95" s="200" t="e">
        <f aca="false">(((H44*B35)+((H44*B35)*H111))/(H63+H64))*1.2</f>
        <v>#DIV/0!</v>
      </c>
      <c r="I95" s="145"/>
      <c r="J95" s="145"/>
      <c r="K95" s="146"/>
      <c r="L95" s="135"/>
      <c r="M95" s="199" t="s">
        <v>65</v>
      </c>
      <c r="N95" s="200" t="e">
        <f aca="false">((H44*B35)+((H44*B35)*N111))/(N63+N64)</f>
        <v>#DIV/0!</v>
      </c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05" t="s">
        <v>111</v>
      </c>
      <c r="B96" s="206" t="n">
        <f aca="false">IF(B105=Y104, (B93-D111)/(B64), B93/(B63+B64))</f>
        <v>470.208446603645</v>
      </c>
      <c r="C96" s="145"/>
      <c r="D96" s="145"/>
      <c r="E96" s="146"/>
      <c r="F96" s="135"/>
      <c r="G96" s="205" t="s">
        <v>111</v>
      </c>
      <c r="H96" s="206" t="e">
        <f aca="false">IF(H105=Y104, (H93-J111)/(H64), H93/(H63+H64))</f>
        <v>#DIV/0!</v>
      </c>
      <c r="I96" s="145"/>
      <c r="J96" s="145"/>
      <c r="K96" s="146"/>
      <c r="L96" s="135"/>
      <c r="M96" s="205" t="s">
        <v>111</v>
      </c>
      <c r="N96" s="206" t="e">
        <f aca="false">IF(N105=Y104, (N93-P111)/(N64), N93/(N63+N64))</f>
        <v>#DIV/0!</v>
      </c>
      <c r="O96" s="145"/>
      <c r="P96" s="145"/>
      <c r="Q96" s="146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207" t="s">
        <v>112</v>
      </c>
      <c r="B97" s="208" t="n">
        <f aca="false">IF(A111="YES", B96+B95, B96)</f>
        <v>501.512794429732</v>
      </c>
      <c r="C97" s="145"/>
      <c r="D97" s="209"/>
      <c r="E97" s="146"/>
      <c r="F97" s="135"/>
      <c r="G97" s="207" t="s">
        <v>112</v>
      </c>
      <c r="H97" s="208" t="e">
        <f aca="false">IF(G111="YES", H96+H95, H96)</f>
        <v>#DIV/0!</v>
      </c>
      <c r="I97" s="145"/>
      <c r="J97" s="145"/>
      <c r="K97" s="146"/>
      <c r="L97" s="135"/>
      <c r="M97" s="207" t="s">
        <v>112</v>
      </c>
      <c r="N97" s="208" t="e">
        <f aca="false">IF(M111="YES", N96+N95, N96)</f>
        <v>#DIV/0!</v>
      </c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/>
      <c r="Z97" s="135"/>
    </row>
    <row r="98" customFormat="false" ht="18.75" hidden="false" customHeight="true" outlineLevel="0" collapsed="false">
      <c r="A98" s="177"/>
      <c r="B98" s="178"/>
      <c r="C98" s="178"/>
      <c r="D98" s="178"/>
      <c r="E98" s="179"/>
      <c r="F98" s="135"/>
      <c r="G98" s="177"/>
      <c r="H98" s="178"/>
      <c r="I98" s="178"/>
      <c r="J98" s="178"/>
      <c r="K98" s="179"/>
      <c r="L98" s="135"/>
      <c r="M98" s="177"/>
      <c r="N98" s="178"/>
      <c r="O98" s="178"/>
      <c r="P98" s="178"/>
      <c r="Q98" s="179"/>
      <c r="R98" s="135"/>
      <c r="S98" s="135"/>
      <c r="T98" s="135"/>
      <c r="U98" s="135"/>
      <c r="V98" s="135"/>
      <c r="W98" s="135"/>
      <c r="X98" s="135"/>
      <c r="Y98" s="135"/>
      <c r="Z98" s="135"/>
    </row>
    <row r="99" customFormat="false" ht="18.75" hidden="false" customHeight="true" outlineLevel="0" collapsed="false">
      <c r="A99" s="145"/>
      <c r="B99" s="145"/>
      <c r="C99" s="145"/>
      <c r="D99" s="145"/>
      <c r="E99" s="145"/>
      <c r="F99" s="135"/>
      <c r="G99" s="145"/>
      <c r="H99" s="145"/>
      <c r="I99" s="145"/>
      <c r="J99" s="145"/>
      <c r="K99" s="145"/>
      <c r="L99" s="135"/>
      <c r="M99" s="145"/>
      <c r="N99" s="145"/>
      <c r="O99" s="145"/>
      <c r="P99" s="145"/>
      <c r="Q99" s="145"/>
      <c r="R99" s="135"/>
      <c r="S99" s="135"/>
      <c r="T99" s="135"/>
      <c r="U99" s="135"/>
      <c r="V99" s="135"/>
      <c r="W99" s="135"/>
      <c r="X99" s="135"/>
      <c r="Y99" s="135"/>
      <c r="Z99" s="135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5"/>
      <c r="G100" s="27" t="s">
        <v>114</v>
      </c>
      <c r="H100" s="27"/>
      <c r="I100" s="27"/>
      <c r="J100" s="27"/>
      <c r="K100" s="27"/>
      <c r="L100" s="135"/>
      <c r="M100" s="27" t="s">
        <v>115</v>
      </c>
      <c r="N100" s="27"/>
      <c r="O100" s="27"/>
      <c r="P100" s="27"/>
      <c r="Q100" s="27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customFormat="false" ht="18.75" hidden="false" customHeight="true" outlineLevel="0" collapsed="false">
      <c r="A101" s="138"/>
      <c r="B101" s="145"/>
      <c r="C101" s="145"/>
      <c r="D101" s="145"/>
      <c r="E101" s="146"/>
      <c r="F101" s="135"/>
      <c r="G101" s="138"/>
      <c r="H101" s="145"/>
      <c r="I101" s="145"/>
      <c r="J101" s="145"/>
      <c r="K101" s="146"/>
      <c r="L101" s="135"/>
      <c r="M101" s="138"/>
      <c r="N101" s="145"/>
      <c r="O101" s="145"/>
      <c r="P101" s="145"/>
      <c r="Q101" s="146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5"/>
      <c r="G102" s="29" t="s">
        <v>116</v>
      </c>
      <c r="H102" s="29"/>
      <c r="I102" s="29"/>
      <c r="J102" s="29"/>
      <c r="K102" s="29"/>
      <c r="L102" s="135"/>
      <c r="M102" s="29" t="s">
        <v>116</v>
      </c>
      <c r="N102" s="29"/>
      <c r="O102" s="29"/>
      <c r="P102" s="29"/>
      <c r="Q102" s="29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/>
      <c r="Z103" s="135" t="s">
        <v>117</v>
      </c>
    </row>
    <row r="104" customFormat="false" ht="18.75" hidden="false" customHeight="true" outlineLevel="0" collapsed="false">
      <c r="A104" s="138" t="s">
        <v>118</v>
      </c>
      <c r="B104" s="145" t="s">
        <v>30</v>
      </c>
      <c r="C104" s="145"/>
      <c r="D104" s="145" t="s">
        <v>119</v>
      </c>
      <c r="E104" s="146"/>
      <c r="F104" s="135"/>
      <c r="G104" s="138" t="s">
        <v>118</v>
      </c>
      <c r="H104" s="145" t="s">
        <v>30</v>
      </c>
      <c r="I104" s="145"/>
      <c r="J104" s="145" t="s">
        <v>119</v>
      </c>
      <c r="K104" s="146"/>
      <c r="L104" s="135"/>
      <c r="M104" s="138" t="s">
        <v>118</v>
      </c>
      <c r="N104" s="145" t="s">
        <v>30</v>
      </c>
      <c r="O104" s="145"/>
      <c r="P104" s="145" t="s">
        <v>119</v>
      </c>
      <c r="Q104" s="146"/>
      <c r="R104" s="135"/>
      <c r="S104" s="135"/>
      <c r="T104" s="135"/>
      <c r="U104" s="135"/>
      <c r="V104" s="135"/>
      <c r="W104" s="135"/>
      <c r="X104" s="135"/>
      <c r="Y104" s="135"/>
      <c r="Z104" s="135" t="s">
        <v>120</v>
      </c>
    </row>
    <row r="105" customFormat="false" ht="18.75" hidden="false" customHeight="true" outlineLevel="0" collapsed="false">
      <c r="A105" s="154" t="s">
        <v>121</v>
      </c>
      <c r="B105" s="109" t="s">
        <v>123</v>
      </c>
      <c r="C105" s="109"/>
      <c r="D105" s="110" t="n">
        <v>0</v>
      </c>
      <c r="E105" s="110"/>
      <c r="F105" s="135"/>
      <c r="G105" s="154" t="s">
        <v>121</v>
      </c>
      <c r="H105" s="109" t="s">
        <v>122</v>
      </c>
      <c r="I105" s="109"/>
      <c r="J105" s="110" t="n">
        <v>5000</v>
      </c>
      <c r="K105" s="110"/>
      <c r="L105" s="135"/>
      <c r="M105" s="154" t="s">
        <v>121</v>
      </c>
      <c r="N105" s="109" t="s">
        <v>123</v>
      </c>
      <c r="O105" s="109"/>
      <c r="P105" s="110" t="n">
        <v>0</v>
      </c>
      <c r="Q105" s="110"/>
      <c r="R105" s="135"/>
      <c r="S105" s="135"/>
      <c r="T105" s="135"/>
      <c r="U105" s="135"/>
      <c r="V105" s="135"/>
      <c r="W105" s="135"/>
      <c r="X105" s="135"/>
      <c r="Y105" s="135"/>
      <c r="Z105" s="135" t="s">
        <v>124</v>
      </c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 t="s">
        <v>125</v>
      </c>
    </row>
    <row r="107" customFormat="false" ht="18.75" hidden="false" customHeight="true" outlineLevel="0" collapsed="false">
      <c r="A107" s="138" t="s">
        <v>126</v>
      </c>
      <c r="B107" s="145" t="s">
        <v>127</v>
      </c>
      <c r="C107" s="145"/>
      <c r="D107" s="145" t="s">
        <v>128</v>
      </c>
      <c r="E107" s="146"/>
      <c r="F107" s="135"/>
      <c r="G107" s="138" t="s">
        <v>126</v>
      </c>
      <c r="H107" s="145" t="s">
        <v>127</v>
      </c>
      <c r="I107" s="145"/>
      <c r="J107" s="145" t="s">
        <v>128</v>
      </c>
      <c r="K107" s="146"/>
      <c r="L107" s="135"/>
      <c r="M107" s="138" t="s">
        <v>126</v>
      </c>
      <c r="N107" s="145" t="s">
        <v>127</v>
      </c>
      <c r="O107" s="145"/>
      <c r="P107" s="145" t="s">
        <v>128</v>
      </c>
      <c r="Q107" s="146"/>
      <c r="R107" s="135"/>
      <c r="S107" s="135"/>
      <c r="T107" s="135"/>
      <c r="U107" s="135"/>
      <c r="V107" s="135"/>
      <c r="W107" s="135"/>
      <c r="X107" s="135"/>
      <c r="Y107" s="135"/>
      <c r="Z107" s="135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5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5"/>
      <c r="M108" s="111" t="n">
        <v>199.99</v>
      </c>
      <c r="N108" s="112" t="n">
        <v>1200</v>
      </c>
      <c r="O108" s="112"/>
      <c r="P108" s="112" t="n">
        <v>1500</v>
      </c>
      <c r="Q108" s="112"/>
      <c r="R108" s="135"/>
      <c r="S108" s="135"/>
      <c r="T108" s="135"/>
      <c r="U108" s="135"/>
      <c r="V108" s="135"/>
      <c r="W108" s="135"/>
      <c r="X108" s="135"/>
      <c r="Y108" s="135"/>
      <c r="Z108" s="135" t="s">
        <v>123</v>
      </c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 t="s">
        <v>122</v>
      </c>
    </row>
    <row r="110" customFormat="false" ht="18.75" hidden="false" customHeight="true" outlineLevel="0" collapsed="false">
      <c r="A110" s="154" t="s">
        <v>130</v>
      </c>
      <c r="B110" s="135" t="s">
        <v>131</v>
      </c>
      <c r="C110" s="145"/>
      <c r="D110" s="145" t="s">
        <v>132</v>
      </c>
      <c r="E110" s="146"/>
      <c r="F110" s="135"/>
      <c r="G110" s="154" t="s">
        <v>130</v>
      </c>
      <c r="H110" s="135" t="s">
        <v>131</v>
      </c>
      <c r="I110" s="145"/>
      <c r="J110" s="145" t="s">
        <v>132</v>
      </c>
      <c r="K110" s="146"/>
      <c r="L110" s="135"/>
      <c r="M110" s="154" t="s">
        <v>130</v>
      </c>
      <c r="N110" s="135" t="s">
        <v>131</v>
      </c>
      <c r="O110" s="145"/>
      <c r="P110" s="145" t="s">
        <v>132</v>
      </c>
      <c r="Q110" s="146"/>
      <c r="R110" s="135"/>
      <c r="S110" s="135"/>
      <c r="T110" s="135"/>
      <c r="U110" s="135"/>
      <c r="V110" s="135"/>
      <c r="W110" s="135"/>
      <c r="X110" s="135"/>
      <c r="Y110" s="135"/>
      <c r="Z110" s="135" t="s">
        <v>133</v>
      </c>
    </row>
    <row r="111" customFormat="false" ht="18.75" hidden="false" customHeight="true" outlineLevel="0" collapsed="false">
      <c r="A111" s="156" t="s">
        <v>25</v>
      </c>
      <c r="B111" s="113" t="n">
        <v>0.2</v>
      </c>
      <c r="C111" s="113"/>
      <c r="D111" s="112" t="n">
        <v>200</v>
      </c>
      <c r="E111" s="112"/>
      <c r="F111" s="135"/>
      <c r="G111" s="156" t="s">
        <v>25</v>
      </c>
      <c r="H111" s="113" t="n">
        <v>0.2</v>
      </c>
      <c r="I111" s="113"/>
      <c r="J111" s="112" t="n">
        <v>5000</v>
      </c>
      <c r="K111" s="112"/>
      <c r="L111" s="135"/>
      <c r="M111" s="156" t="s">
        <v>25</v>
      </c>
      <c r="N111" s="113" t="n">
        <v>0.2</v>
      </c>
      <c r="O111" s="113"/>
      <c r="P111" s="112" t="n">
        <v>5000</v>
      </c>
      <c r="Q111" s="112"/>
      <c r="R111" s="135"/>
      <c r="S111" s="135"/>
      <c r="T111" s="135"/>
      <c r="U111" s="135"/>
      <c r="V111" s="135"/>
      <c r="W111" s="135"/>
      <c r="X111" s="135"/>
      <c r="Y111" s="135"/>
      <c r="Z111" s="135" t="s">
        <v>134</v>
      </c>
    </row>
    <row r="112" customFormat="false" ht="18.75" hidden="false" customHeight="true" outlineLevel="0" collapsed="false">
      <c r="A112" s="138"/>
      <c r="B112" s="145"/>
      <c r="C112" s="145"/>
      <c r="D112" s="145"/>
      <c r="E112" s="146"/>
      <c r="F112" s="135"/>
      <c r="G112" s="138"/>
      <c r="H112" s="145"/>
      <c r="I112" s="145"/>
      <c r="J112" s="145"/>
      <c r="K112" s="146"/>
      <c r="L112" s="135"/>
      <c r="M112" s="138"/>
      <c r="N112" s="145"/>
      <c r="O112" s="145"/>
      <c r="P112" s="145"/>
      <c r="Q112" s="146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/>
      <c r="B113" s="145"/>
      <c r="C113" s="145"/>
      <c r="D113" s="145"/>
      <c r="E113" s="146"/>
      <c r="F113" s="135"/>
      <c r="G113" s="138"/>
      <c r="H113" s="145"/>
      <c r="I113" s="145"/>
      <c r="J113" s="145"/>
      <c r="K113" s="146"/>
      <c r="L113" s="135"/>
      <c r="M113" s="138"/>
      <c r="N113" s="145" t="s">
        <v>135</v>
      </c>
      <c r="O113" s="156" t="s">
        <v>25</v>
      </c>
      <c r="P113" s="145"/>
      <c r="Q113" s="146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29" t="s">
        <v>136</v>
      </c>
      <c r="B114" s="29"/>
      <c r="C114" s="29"/>
      <c r="D114" s="29"/>
      <c r="E114" s="29"/>
      <c r="F114" s="135"/>
      <c r="G114" s="29" t="s">
        <v>136</v>
      </c>
      <c r="H114" s="29"/>
      <c r="I114" s="29"/>
      <c r="J114" s="29"/>
      <c r="K114" s="29"/>
      <c r="L114" s="135"/>
      <c r="M114" s="29" t="s">
        <v>136</v>
      </c>
      <c r="N114" s="29"/>
      <c r="O114" s="29"/>
      <c r="P114" s="29"/>
      <c r="Q114" s="29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/>
      <c r="B115" s="145"/>
      <c r="C115" s="145"/>
      <c r="D115" s="145"/>
      <c r="E115" s="146"/>
      <c r="F115" s="135"/>
      <c r="G115" s="138"/>
      <c r="H115" s="145"/>
      <c r="I115" s="145"/>
      <c r="J115" s="145"/>
      <c r="K115" s="146"/>
      <c r="L115" s="135"/>
      <c r="M115" s="138"/>
      <c r="N115" s="145"/>
      <c r="O115" s="145"/>
      <c r="P115" s="145"/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 t="s">
        <v>137</v>
      </c>
      <c r="B116" s="156" t="s">
        <v>26</v>
      </c>
      <c r="C116" s="145"/>
      <c r="D116" s="145"/>
      <c r="E116" s="146"/>
      <c r="F116" s="135"/>
      <c r="G116" s="138" t="s">
        <v>137</v>
      </c>
      <c r="H116" s="156" t="s">
        <v>25</v>
      </c>
      <c r="I116" s="145"/>
      <c r="J116" s="145"/>
      <c r="K116" s="146"/>
      <c r="L116" s="135"/>
      <c r="M116" s="138" t="s">
        <v>137</v>
      </c>
      <c r="N116" s="156" t="s">
        <v>25</v>
      </c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38"/>
      <c r="B117" s="145"/>
      <c r="C117" s="145"/>
      <c r="D117" s="145"/>
      <c r="E117" s="146"/>
      <c r="F117" s="135"/>
      <c r="G117" s="138"/>
      <c r="H117" s="145"/>
      <c r="I117" s="145"/>
      <c r="J117" s="145"/>
      <c r="K117" s="146"/>
      <c r="L117" s="135"/>
      <c r="M117" s="138"/>
      <c r="N117" s="145"/>
      <c r="O117" s="145"/>
      <c r="P117" s="145"/>
      <c r="Q117" s="146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138</v>
      </c>
      <c r="B118" s="145"/>
      <c r="C118" s="145"/>
      <c r="D118" s="111" t="n">
        <v>0</v>
      </c>
      <c r="E118" s="112" t="n">
        <v>0</v>
      </c>
      <c r="F118" s="135"/>
      <c r="G118" s="138" t="s">
        <v>138</v>
      </c>
      <c r="H118" s="145"/>
      <c r="I118" s="145"/>
      <c r="J118" s="111" t="n">
        <v>10000</v>
      </c>
      <c r="K118" s="112" t="n">
        <v>5000</v>
      </c>
      <c r="L118" s="135"/>
      <c r="M118" s="138" t="s">
        <v>138</v>
      </c>
      <c r="N118" s="145"/>
      <c r="O118" s="145"/>
      <c r="P118" s="111" t="n">
        <v>10000</v>
      </c>
      <c r="Q118" s="112" t="n">
        <v>5000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138" t="s">
        <v>139</v>
      </c>
      <c r="B119" s="145"/>
      <c r="C119" s="145"/>
      <c r="D119" s="210" t="n">
        <f aca="false">E119</f>
        <v>0</v>
      </c>
      <c r="E119" s="112" t="n">
        <v>0</v>
      </c>
      <c r="F119" s="135"/>
      <c r="G119" s="138" t="s">
        <v>139</v>
      </c>
      <c r="H119" s="145"/>
      <c r="I119" s="145"/>
      <c r="J119" s="210" t="n">
        <f aca="false">K119</f>
        <v>7000</v>
      </c>
      <c r="K119" s="112" t="n">
        <v>7000</v>
      </c>
      <c r="L119" s="135"/>
      <c r="M119" s="138" t="s">
        <v>139</v>
      </c>
      <c r="N119" s="145"/>
      <c r="O119" s="145"/>
      <c r="P119" s="210" t="n">
        <f aca="false">Q119</f>
        <v>7000</v>
      </c>
      <c r="Q119" s="112" t="n">
        <v>7000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 t="s">
        <v>140</v>
      </c>
      <c r="B120" s="145"/>
      <c r="C120" s="145"/>
      <c r="D120" s="210" t="n">
        <f aca="false">D118-D119</f>
        <v>0</v>
      </c>
      <c r="E120" s="115" t="n">
        <f aca="false">E118-E119</f>
        <v>0</v>
      </c>
      <c r="F120" s="135"/>
      <c r="G120" s="138" t="s">
        <v>140</v>
      </c>
      <c r="H120" s="145"/>
      <c r="I120" s="145"/>
      <c r="J120" s="210" t="n">
        <f aca="false">J118-J119</f>
        <v>3000</v>
      </c>
      <c r="K120" s="115" t="n">
        <f aca="false">K118-K119</f>
        <v>-2000</v>
      </c>
      <c r="L120" s="135"/>
      <c r="M120" s="138" t="s">
        <v>140</v>
      </c>
      <c r="N120" s="145"/>
      <c r="O120" s="145"/>
      <c r="P120" s="210" t="n">
        <f aca="false">P118-P119</f>
        <v>3000</v>
      </c>
      <c r="Q120" s="115" t="n">
        <f aca="false">Q118-Q119</f>
        <v>-2000</v>
      </c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 t="s">
        <v>141</v>
      </c>
      <c r="B121" s="145"/>
      <c r="C121" s="145"/>
      <c r="D121" s="210" t="n">
        <f aca="false">D120-E120</f>
        <v>0</v>
      </c>
      <c r="E121" s="146"/>
      <c r="F121" s="135"/>
      <c r="G121" s="138" t="s">
        <v>141</v>
      </c>
      <c r="H121" s="145"/>
      <c r="I121" s="145"/>
      <c r="J121" s="210" t="n">
        <f aca="false">J120-K120</f>
        <v>5000</v>
      </c>
      <c r="K121" s="146"/>
      <c r="L121" s="135"/>
      <c r="M121" s="138" t="s">
        <v>141</v>
      </c>
      <c r="N121" s="145"/>
      <c r="O121" s="145"/>
      <c r="P121" s="210" t="n">
        <f aca="false">P120-Q120</f>
        <v>5000</v>
      </c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138"/>
      <c r="B122" s="145"/>
      <c r="C122" s="145"/>
      <c r="D122" s="145"/>
      <c r="E122" s="146"/>
      <c r="F122" s="135"/>
      <c r="G122" s="138"/>
      <c r="H122" s="145"/>
      <c r="I122" s="145"/>
      <c r="J122" s="145"/>
      <c r="K122" s="146"/>
      <c r="L122" s="135"/>
      <c r="M122" s="138"/>
      <c r="N122" s="145"/>
      <c r="O122" s="145"/>
      <c r="P122" s="145"/>
      <c r="Q122" s="146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80" t="s">
        <v>142</v>
      </c>
      <c r="B123" s="181"/>
      <c r="C123" s="181"/>
      <c r="D123" s="181"/>
      <c r="E123" s="203" t="n">
        <f aca="false">D105</f>
        <v>0</v>
      </c>
      <c r="F123" s="135"/>
      <c r="G123" s="180" t="s">
        <v>142</v>
      </c>
      <c r="H123" s="181"/>
      <c r="I123" s="181"/>
      <c r="J123" s="181"/>
      <c r="K123" s="203" t="n">
        <f aca="false">J105</f>
        <v>5000</v>
      </c>
      <c r="L123" s="135"/>
      <c r="M123" s="180" t="s">
        <v>142</v>
      </c>
      <c r="N123" s="181"/>
      <c r="O123" s="181"/>
      <c r="P123" s="181"/>
      <c r="Q123" s="203" t="n">
        <f aca="false">P105</f>
        <v>0</v>
      </c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52</v>
      </c>
      <c r="B124" s="145"/>
      <c r="C124" s="145"/>
      <c r="D124" s="145"/>
      <c r="E124" s="143" t="n">
        <f aca="false">A108</f>
        <v>199.99</v>
      </c>
      <c r="F124" s="135"/>
      <c r="G124" s="138" t="s">
        <v>52</v>
      </c>
      <c r="H124" s="145"/>
      <c r="I124" s="145"/>
      <c r="J124" s="145"/>
      <c r="K124" s="143" t="n">
        <f aca="false">G108</f>
        <v>239.988</v>
      </c>
      <c r="L124" s="135"/>
      <c r="M124" s="138" t="s">
        <v>52</v>
      </c>
      <c r="N124" s="145"/>
      <c r="O124" s="145"/>
      <c r="P124" s="145"/>
      <c r="Q124" s="143" t="n">
        <f aca="false">M108</f>
        <v>199.99</v>
      </c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211" t="s">
        <v>143</v>
      </c>
      <c r="B125" s="178"/>
      <c r="C125" s="178"/>
      <c r="D125" s="178"/>
      <c r="E125" s="185" t="n">
        <f aca="false">(E124+E123)-E120</f>
        <v>199.99</v>
      </c>
      <c r="F125" s="135"/>
      <c r="G125" s="211" t="s">
        <v>143</v>
      </c>
      <c r="H125" s="178"/>
      <c r="I125" s="178"/>
      <c r="J125" s="178"/>
      <c r="K125" s="185" t="n">
        <f aca="false">(K124+K123)-K120</f>
        <v>7239.988</v>
      </c>
      <c r="L125" s="135"/>
      <c r="M125" s="211" t="s">
        <v>143</v>
      </c>
      <c r="N125" s="178"/>
      <c r="O125" s="178"/>
      <c r="P125" s="178"/>
      <c r="Q125" s="185" t="n">
        <f aca="false">(Q124+Q123)-Q120</f>
        <v>2199.99</v>
      </c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138"/>
      <c r="B126" s="145"/>
      <c r="C126" s="145"/>
      <c r="D126" s="145"/>
      <c r="E126" s="146"/>
      <c r="F126" s="135"/>
      <c r="G126" s="138"/>
      <c r="H126" s="145"/>
      <c r="I126" s="145"/>
      <c r="J126" s="145"/>
      <c r="K126" s="146"/>
      <c r="L126" s="135"/>
      <c r="M126" s="138"/>
      <c r="N126" s="145"/>
      <c r="O126" s="145"/>
      <c r="P126" s="145"/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38"/>
      <c r="B127" s="145"/>
      <c r="C127" s="145"/>
      <c r="D127" s="145"/>
      <c r="E127" s="146"/>
      <c r="F127" s="135"/>
      <c r="G127" s="138"/>
      <c r="H127" s="145"/>
      <c r="I127" s="145"/>
      <c r="J127" s="145"/>
      <c r="K127" s="146"/>
      <c r="L127" s="135"/>
      <c r="M127" s="138"/>
      <c r="N127" s="145"/>
      <c r="O127" s="145"/>
      <c r="P127" s="145"/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29" t="s">
        <v>144</v>
      </c>
      <c r="B128" s="29"/>
      <c r="C128" s="29"/>
      <c r="D128" s="29"/>
      <c r="E128" s="29"/>
      <c r="F128" s="135"/>
      <c r="G128" s="29" t="s">
        <v>144</v>
      </c>
      <c r="H128" s="29"/>
      <c r="I128" s="29"/>
      <c r="J128" s="29"/>
      <c r="K128" s="29"/>
      <c r="L128" s="135"/>
      <c r="M128" s="29" t="s">
        <v>144</v>
      </c>
      <c r="N128" s="29"/>
      <c r="O128" s="29"/>
      <c r="P128" s="29"/>
      <c r="Q128" s="29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/>
      <c r="B129" s="145"/>
      <c r="C129" s="145"/>
      <c r="D129" s="145"/>
      <c r="E129" s="146"/>
      <c r="F129" s="135"/>
      <c r="G129" s="138"/>
      <c r="H129" s="145"/>
      <c r="I129" s="145"/>
      <c r="J129" s="145"/>
      <c r="K129" s="146"/>
      <c r="L129" s="135"/>
      <c r="M129" s="138"/>
      <c r="N129" s="145"/>
      <c r="O129" s="145"/>
      <c r="P129" s="145"/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138" t="s">
        <v>145</v>
      </c>
      <c r="B130" s="117" t="n">
        <v>1200</v>
      </c>
      <c r="C130" s="117"/>
      <c r="D130" s="145"/>
      <c r="E130" s="146"/>
      <c r="F130" s="135"/>
      <c r="G130" s="138" t="s">
        <v>145</v>
      </c>
      <c r="H130" s="117" t="n">
        <v>0</v>
      </c>
      <c r="I130" s="117"/>
      <c r="J130" s="145"/>
      <c r="K130" s="146"/>
      <c r="L130" s="135"/>
      <c r="M130" s="138" t="s">
        <v>145</v>
      </c>
      <c r="N130" s="117" t="n">
        <v>0</v>
      </c>
      <c r="O130" s="117"/>
      <c r="P130" s="145"/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81</v>
      </c>
      <c r="B132" s="145" t="s">
        <v>82</v>
      </c>
      <c r="C132" s="145"/>
      <c r="D132" s="145" t="s">
        <v>84</v>
      </c>
      <c r="E132" s="146"/>
      <c r="F132" s="135"/>
      <c r="G132" s="138" t="s">
        <v>81</v>
      </c>
      <c r="H132" s="145" t="s">
        <v>82</v>
      </c>
      <c r="I132" s="145"/>
      <c r="J132" s="145" t="s">
        <v>84</v>
      </c>
      <c r="K132" s="146"/>
      <c r="L132" s="135"/>
      <c r="M132" s="138" t="s">
        <v>81</v>
      </c>
      <c r="N132" s="145" t="s">
        <v>82</v>
      </c>
      <c r="O132" s="145"/>
      <c r="P132" s="145" t="s">
        <v>84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43" t="n">
        <f aca="false">A158</f>
        <v>12</v>
      </c>
      <c r="B133" s="118" t="n">
        <f aca="false">B157</f>
        <v>5000</v>
      </c>
      <c r="C133" s="45"/>
      <c r="D133" s="118" t="n">
        <f aca="false">B64</f>
        <v>11</v>
      </c>
      <c r="E133" s="146"/>
      <c r="F133" s="135"/>
      <c r="G133" s="43" t="n">
        <f aca="false">G158</f>
        <v>12</v>
      </c>
      <c r="H133" s="118" t="n">
        <f aca="false">B157</f>
        <v>5000</v>
      </c>
      <c r="I133" s="45"/>
      <c r="J133" s="118" t="n">
        <f aca="false">B64</f>
        <v>11</v>
      </c>
      <c r="K133" s="146"/>
      <c r="L133" s="135"/>
      <c r="M133" s="43" t="n">
        <f aca="false">M161</f>
        <v>12</v>
      </c>
      <c r="N133" s="118" t="n">
        <f aca="false">B157</f>
        <v>5000</v>
      </c>
      <c r="O133" s="45"/>
      <c r="P133" s="118" t="n">
        <f aca="false">B64</f>
        <v>11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212" t="s">
        <v>146</v>
      </c>
      <c r="B135" s="213" t="s">
        <v>147</v>
      </c>
      <c r="C135" s="213"/>
      <c r="D135" s="213" t="s">
        <v>112</v>
      </c>
      <c r="E135" s="146"/>
      <c r="F135" s="135"/>
      <c r="G135" s="212" t="s">
        <v>148</v>
      </c>
      <c r="H135" s="213" t="s">
        <v>149</v>
      </c>
      <c r="I135" s="213"/>
      <c r="J135" s="213" t="s">
        <v>150</v>
      </c>
      <c r="K135" s="146"/>
      <c r="L135" s="135"/>
      <c r="M135" s="212" t="s">
        <v>146</v>
      </c>
      <c r="N135" s="213" t="s">
        <v>147</v>
      </c>
      <c r="O135" s="213"/>
      <c r="P135" s="213" t="s">
        <v>112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2" t="n">
        <f aca="false">B96</f>
        <v>470.208446603645</v>
      </c>
      <c r="B136" s="214" t="n">
        <f aca="false">IF(A111="YES", B95*B63, 0)</f>
        <v>375.652173913043</v>
      </c>
      <c r="C136" s="214"/>
      <c r="D136" s="214" t="n">
        <f aca="false">B97</f>
        <v>501.512794429732</v>
      </c>
      <c r="E136" s="146"/>
      <c r="F136" s="135"/>
      <c r="G136" s="122" t="e">
        <f aca="false">H96</f>
        <v>#DIV/0!</v>
      </c>
      <c r="H136" s="214" t="e">
        <f aca="false">IF(G111="YES", H95*H63, 0)</f>
        <v>#DIV/0!</v>
      </c>
      <c r="I136" s="214"/>
      <c r="J136" s="124" t="e">
        <f aca="false">H97</f>
        <v>#DIV/0!</v>
      </c>
      <c r="K136" s="146"/>
      <c r="L136" s="135"/>
      <c r="M136" s="122" t="e">
        <f aca="false">N96</f>
        <v>#DIV/0!</v>
      </c>
      <c r="N136" s="214" t="e">
        <f aca="false">IF(M111="YES", N95*N63, 0)</f>
        <v>#DIV/0!</v>
      </c>
      <c r="O136" s="214"/>
      <c r="P136" s="214" t="e">
        <f aca="false">N97</f>
        <v>#DIV/0!</v>
      </c>
      <c r="Q136" s="146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151</v>
      </c>
      <c r="B138" s="145" t="s">
        <v>152</v>
      </c>
      <c r="C138" s="145"/>
      <c r="D138" s="145" t="s">
        <v>153</v>
      </c>
      <c r="E138" s="146"/>
      <c r="F138" s="135"/>
      <c r="G138" s="138" t="s">
        <v>154</v>
      </c>
      <c r="H138" s="145" t="s">
        <v>155</v>
      </c>
      <c r="I138" s="145"/>
      <c r="J138" s="145" t="s">
        <v>156</v>
      </c>
      <c r="K138" s="146"/>
      <c r="L138" s="135"/>
      <c r="M138" s="138" t="s">
        <v>151</v>
      </c>
      <c r="N138" s="145" t="s">
        <v>152</v>
      </c>
      <c r="O138" s="145"/>
      <c r="P138" s="145" t="s">
        <v>153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5" t="n">
        <f aca="false">B96*B63</f>
        <v>5642.50135924373</v>
      </c>
      <c r="B139" s="215" t="n">
        <f aca="false">IF(A111="YES", B95*B63, 0)</f>
        <v>375.652173913043</v>
      </c>
      <c r="C139" s="155"/>
      <c r="D139" s="128" t="n">
        <f aca="false">B97*B63</f>
        <v>6018.15353315678</v>
      </c>
      <c r="E139" s="146"/>
      <c r="F139" s="135"/>
      <c r="G139" s="125" t="e">
        <f aca="false">H96*H63</f>
        <v>#DIV/0!</v>
      </c>
      <c r="H139" s="215" t="e">
        <f aca="false">IF(G111="YES", H95*H63, 0)</f>
        <v>#DIV/0!</v>
      </c>
      <c r="I139" s="155"/>
      <c r="J139" s="215" t="e">
        <f aca="false">H97*H63</f>
        <v>#DIV/0!</v>
      </c>
      <c r="K139" s="146"/>
      <c r="L139" s="135"/>
      <c r="M139" s="125" t="e">
        <f aca="false">N96*N63</f>
        <v>#DIV/0!</v>
      </c>
      <c r="N139" s="215" t="e">
        <f aca="false">IF(M111="YES", N95*N63, 0)</f>
        <v>#DIV/0!</v>
      </c>
      <c r="O139" s="155"/>
      <c r="P139" s="128" t="e">
        <f aca="false">N97*N63</f>
        <v>#DIV/0!</v>
      </c>
      <c r="Q139" s="146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157</v>
      </c>
      <c r="B141" s="145" t="s">
        <v>158</v>
      </c>
      <c r="C141" s="145"/>
      <c r="D141" s="145" t="s">
        <v>159</v>
      </c>
      <c r="E141" s="146"/>
      <c r="F141" s="135"/>
      <c r="G141" s="138" t="s">
        <v>160</v>
      </c>
      <c r="H141" s="145" t="s">
        <v>161</v>
      </c>
      <c r="I141" s="145"/>
      <c r="J141" s="145" t="s">
        <v>162</v>
      </c>
      <c r="K141" s="146"/>
      <c r="L141" s="135"/>
      <c r="M141" s="138" t="s">
        <v>157</v>
      </c>
      <c r="N141" s="145" t="s">
        <v>158</v>
      </c>
      <c r="O141" s="145"/>
      <c r="P141" s="145" t="s">
        <v>159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E15*0.000006</f>
        <v>0.35115</v>
      </c>
      <c r="B142" s="215" t="n">
        <f aca="false">IF(A111="YES", E15*0.000002, 0)</f>
        <v>0.11705</v>
      </c>
      <c r="C142" s="215"/>
      <c r="D142" s="215" t="n">
        <f aca="false">A142+B142</f>
        <v>0.4682</v>
      </c>
      <c r="E142" s="130"/>
      <c r="F142" s="135"/>
      <c r="G142" s="129" t="n">
        <f aca="false">E15*0.000006</f>
        <v>0.35115</v>
      </c>
      <c r="H142" s="215" t="n">
        <f aca="false">IF(G111="YES", E15*0.000002, 0)</f>
        <v>0.11705</v>
      </c>
      <c r="I142" s="215"/>
      <c r="J142" s="215" t="n">
        <f aca="false">G142+H142</f>
        <v>0.4682</v>
      </c>
      <c r="K142" s="130"/>
      <c r="L142" s="135"/>
      <c r="M142" s="129" t="n">
        <f aca="false">E15*0.000006</f>
        <v>0.35115</v>
      </c>
      <c r="N142" s="215" t="n">
        <f aca="false">IF(M111="YES", E15*0.000002, 0)</f>
        <v>0.11705</v>
      </c>
      <c r="O142" s="215"/>
      <c r="P142" s="215" t="n">
        <f aca="false">M142+N142</f>
        <v>0.4682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163</v>
      </c>
      <c r="B144" s="145" t="s">
        <v>164</v>
      </c>
      <c r="C144" s="145"/>
      <c r="D144" s="145" t="s">
        <v>165</v>
      </c>
      <c r="E144" s="146"/>
      <c r="F144" s="135"/>
      <c r="G144" s="138" t="s">
        <v>166</v>
      </c>
      <c r="H144" s="145" t="s">
        <v>164</v>
      </c>
      <c r="I144" s="145"/>
      <c r="J144" s="145" t="s">
        <v>165</v>
      </c>
      <c r="K144" s="146"/>
      <c r="L144" s="135"/>
      <c r="M144" s="138" t="s">
        <v>163</v>
      </c>
      <c r="N144" s="145" t="s">
        <v>164</v>
      </c>
      <c r="O144" s="145"/>
      <c r="P144" s="145" t="s">
        <v>165</v>
      </c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f aca="false">A108</f>
        <v>199.99</v>
      </c>
      <c r="B145" s="215" t="n">
        <f aca="false">B73/1.2</f>
        <v>482.375</v>
      </c>
      <c r="C145" s="215"/>
      <c r="D145" s="215" t="n">
        <f aca="false">B108*0.9</f>
        <v>0</v>
      </c>
      <c r="E145" s="130"/>
      <c r="F145" s="135"/>
      <c r="G145" s="129" t="n">
        <f aca="false">G108</f>
        <v>239.988</v>
      </c>
      <c r="H145" s="215" t="n">
        <f aca="false">H73/1.2</f>
        <v>241.1875</v>
      </c>
      <c r="I145" s="215"/>
      <c r="J145" s="215" t="n">
        <f aca="false">H108*0.9</f>
        <v>1080</v>
      </c>
      <c r="K145" s="130"/>
      <c r="L145" s="135"/>
      <c r="M145" s="129" t="n">
        <f aca="false">M108</f>
        <v>199.99</v>
      </c>
      <c r="N145" s="215" t="n">
        <f aca="false">N73/1.2</f>
        <v>241.1875</v>
      </c>
      <c r="O145" s="215"/>
      <c r="P145" s="215" t="n">
        <f aca="false">N108*0.9</f>
        <v>1080</v>
      </c>
      <c r="Q145" s="130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38"/>
      <c r="N146" s="14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 t="s">
        <v>167</v>
      </c>
      <c r="B147" s="145" t="s">
        <v>168</v>
      </c>
      <c r="C147" s="145"/>
      <c r="D147" s="145" t="s">
        <v>169</v>
      </c>
      <c r="E147" s="146"/>
      <c r="F147" s="135"/>
      <c r="G147" s="138" t="s">
        <v>167</v>
      </c>
      <c r="H147" s="145" t="s">
        <v>168</v>
      </c>
      <c r="I147" s="145"/>
      <c r="J147" s="145" t="s">
        <v>169</v>
      </c>
      <c r="K147" s="146"/>
      <c r="L147" s="135"/>
      <c r="M147" s="138" t="s">
        <v>167</v>
      </c>
      <c r="N147" s="145" t="s">
        <v>168</v>
      </c>
      <c r="O147" s="145"/>
      <c r="P147" s="145" t="s">
        <v>169</v>
      </c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29" t="n">
        <f aca="false">IF(A111="YES", ((A41*B111)*0.1)*(A133), 0)</f>
        <v>12</v>
      </c>
      <c r="B148" s="215" t="n">
        <f aca="false">A108-100</f>
        <v>99.99</v>
      </c>
      <c r="C148" s="215"/>
      <c r="D148" s="215" t="n">
        <f aca="false">(B145+D145+A148+B148)-B151</f>
        <v>594.365</v>
      </c>
      <c r="E148" s="130"/>
      <c r="F148" s="135"/>
      <c r="G148" s="129" t="n">
        <f aca="false">IF(G111="YES", ((A41*H111)*0.1)*(G133), 0)</f>
        <v>12</v>
      </c>
      <c r="H148" s="215" t="n">
        <f aca="false">G108-100</f>
        <v>139.988</v>
      </c>
      <c r="I148" s="215"/>
      <c r="J148" s="215" t="n">
        <f aca="false">(H145+J145+G148+H148)-H151</f>
        <v>1473.1755</v>
      </c>
      <c r="K148" s="130"/>
      <c r="L148" s="135"/>
      <c r="M148" s="129" t="n">
        <f aca="false">IF(M111="YES", ((A41*N111)*0.1)*(M133), 0)</f>
        <v>12</v>
      </c>
      <c r="N148" s="215" t="n">
        <f aca="false">M108-100</f>
        <v>99.99</v>
      </c>
      <c r="O148" s="215"/>
      <c r="P148" s="215" t="n">
        <f aca="false">(N145+P145+M148+N148)-N151</f>
        <v>1433.1775</v>
      </c>
      <c r="Q148" s="130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45"/>
      <c r="C149" s="145"/>
      <c r="D149" s="145"/>
      <c r="E149" s="146"/>
      <c r="F149" s="135"/>
      <c r="G149" s="138"/>
      <c r="H149" s="145"/>
      <c r="I149" s="14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138" t="s">
        <v>170</v>
      </c>
      <c r="B150" s="145" t="s">
        <v>171</v>
      </c>
      <c r="C150" s="145"/>
      <c r="D150" s="145"/>
      <c r="E150" s="146"/>
      <c r="F150" s="135"/>
      <c r="G150" s="138" t="s">
        <v>170</v>
      </c>
      <c r="H150" s="145" t="s">
        <v>171</v>
      </c>
      <c r="I150" s="145"/>
      <c r="J150" s="145"/>
      <c r="K150" s="146"/>
      <c r="L150" s="135"/>
      <c r="M150" s="138" t="s">
        <v>170</v>
      </c>
      <c r="N150" s="145" t="s">
        <v>171</v>
      </c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129" t="n">
        <v>0</v>
      </c>
      <c r="B151" s="215" t="n">
        <f aca="false">(B145+D145+A148+B148)*(A151/B70)</f>
        <v>0</v>
      </c>
      <c r="C151" s="145"/>
      <c r="D151" s="145"/>
      <c r="E151" s="146"/>
      <c r="F151" s="135"/>
      <c r="G151" s="129" t="n">
        <f aca="false">IF((1200-H108) &lt;= 0, 0, (1200-H108))</f>
        <v>0</v>
      </c>
      <c r="H151" s="215" t="n">
        <f aca="false">(H145+J145+G148+H148)*(G151/H70)</f>
        <v>0</v>
      </c>
      <c r="I151" s="145"/>
      <c r="J151" s="145"/>
      <c r="K151" s="146"/>
      <c r="L151" s="135"/>
      <c r="M151" s="129" t="n">
        <f aca="false">IF((1200-N108) &lt;= 0, 0, (1200-N108))</f>
        <v>0</v>
      </c>
      <c r="N151" s="215" t="n">
        <f aca="false">(N145+P145+M148+N148)*(M151/N70)</f>
        <v>0</v>
      </c>
      <c r="O151" s="145"/>
      <c r="P151" s="145"/>
      <c r="Q151" s="146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138"/>
      <c r="B152" s="145"/>
      <c r="C152" s="145"/>
      <c r="D152" s="145"/>
      <c r="E152" s="146"/>
      <c r="F152" s="135"/>
      <c r="G152" s="138"/>
      <c r="H152" s="145"/>
      <c r="I152" s="145"/>
      <c r="J152" s="145"/>
      <c r="K152" s="146"/>
      <c r="L152" s="135"/>
      <c r="M152" s="129"/>
      <c r="N152" s="215"/>
      <c r="O152" s="14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131" t="s">
        <v>172</v>
      </c>
      <c r="N153" s="210" t="s">
        <v>173</v>
      </c>
      <c r="O153" s="145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172" t="s">
        <v>174</v>
      </c>
      <c r="B154" s="145"/>
      <c r="C154" s="145"/>
      <c r="D154" s="173"/>
      <c r="E154" s="174"/>
      <c r="F154" s="135"/>
      <c r="G154" s="172" t="s">
        <v>174</v>
      </c>
      <c r="H154" s="145"/>
      <c r="I154" s="145"/>
      <c r="J154" s="173"/>
      <c r="K154" s="174"/>
      <c r="L154" s="135"/>
      <c r="M154" s="132" t="n">
        <f aca="false">H40</f>
        <v>0</v>
      </c>
      <c r="N154" s="133" t="n">
        <v>0.99</v>
      </c>
      <c r="O154" s="13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75"/>
      <c r="C155" s="175"/>
      <c r="D155" s="145"/>
      <c r="E155" s="146"/>
      <c r="F155" s="135"/>
      <c r="G155" s="138"/>
      <c r="H155" s="175"/>
      <c r="I155" s="175"/>
      <c r="J155" s="145"/>
      <c r="K155" s="146"/>
      <c r="L155" s="135"/>
      <c r="M155" s="138"/>
      <c r="N155" s="145"/>
      <c r="O155" s="14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5"/>
      <c r="E156" s="146"/>
      <c r="F156" s="135"/>
      <c r="G156" s="71" t="s">
        <v>81</v>
      </c>
      <c r="H156" s="72" t="s">
        <v>82</v>
      </c>
      <c r="I156" s="72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71"/>
      <c r="B157" s="73" t="n">
        <f aca="false">B57</f>
        <v>5000</v>
      </c>
      <c r="C157" s="73"/>
      <c r="D157" s="145"/>
      <c r="E157" s="146"/>
      <c r="F157" s="135"/>
      <c r="G157" s="71"/>
      <c r="H157" s="73" t="n">
        <f aca="false">B57</f>
        <v>5000</v>
      </c>
      <c r="I157" s="73"/>
      <c r="J157" s="145"/>
      <c r="K157" s="146"/>
      <c r="L157" s="135"/>
      <c r="M157" s="172" t="s">
        <v>174</v>
      </c>
      <c r="N157" s="145"/>
      <c r="O157" s="145"/>
      <c r="P157" s="173"/>
      <c r="Q157" s="174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74" t="n">
        <f aca="false">A58</f>
        <v>12</v>
      </c>
      <c r="B158" s="75" t="n">
        <f aca="false">B97</f>
        <v>501.512794429732</v>
      </c>
      <c r="C158" s="75"/>
      <c r="D158" s="145"/>
      <c r="E158" s="146"/>
      <c r="F158" s="135"/>
      <c r="G158" s="74" t="n">
        <f aca="false">A58</f>
        <v>12</v>
      </c>
      <c r="H158" s="75" t="e">
        <f aca="false">H97</f>
        <v>#DIV/0!</v>
      </c>
      <c r="I158" s="75"/>
      <c r="J158" s="145"/>
      <c r="K158" s="146"/>
      <c r="L158" s="135"/>
      <c r="M158" s="138"/>
      <c r="N158" s="175"/>
      <c r="O158" s="17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8"/>
      <c r="B159" s="145"/>
      <c r="C159" s="145"/>
      <c r="D159" s="145"/>
      <c r="E159" s="146"/>
      <c r="F159" s="135"/>
      <c r="G159" s="138"/>
      <c r="H159" s="145"/>
      <c r="I159" s="145"/>
      <c r="J159" s="145"/>
      <c r="K159" s="146"/>
      <c r="L159" s="135"/>
      <c r="M159" s="71" t="s">
        <v>81</v>
      </c>
      <c r="N159" s="72" t="s">
        <v>82</v>
      </c>
      <c r="O159" s="72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8"/>
      <c r="B160" s="145"/>
      <c r="C160" s="145"/>
      <c r="D160" s="145"/>
      <c r="E160" s="146"/>
      <c r="F160" s="135"/>
      <c r="G160" s="138"/>
      <c r="H160" s="145"/>
      <c r="I160" s="145"/>
      <c r="J160" s="145"/>
      <c r="K160" s="146"/>
      <c r="L160" s="135"/>
      <c r="M160" s="71"/>
      <c r="N160" s="73" t="n">
        <f aca="false">B57</f>
        <v>5000</v>
      </c>
      <c r="O160" s="73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8"/>
      <c r="B161" s="145"/>
      <c r="C161" s="145"/>
      <c r="D161" s="145"/>
      <c r="E161" s="146"/>
      <c r="F161" s="135"/>
      <c r="G161" s="138"/>
      <c r="H161" s="145"/>
      <c r="I161" s="145"/>
      <c r="J161" s="145"/>
      <c r="K161" s="146"/>
      <c r="L161" s="135"/>
      <c r="M161" s="74" t="n">
        <f aca="false">A58</f>
        <v>12</v>
      </c>
      <c r="N161" s="75" t="e">
        <f aca="false">N97</f>
        <v>#DIV/0!</v>
      </c>
      <c r="O161" s="7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8"/>
      <c r="B162" s="145"/>
      <c r="C162" s="145"/>
      <c r="D162" s="145"/>
      <c r="E162" s="146"/>
      <c r="F162" s="135"/>
      <c r="G162" s="138"/>
      <c r="H162" s="145"/>
      <c r="I162" s="145"/>
      <c r="J162" s="145"/>
      <c r="K162" s="146"/>
      <c r="L162" s="135"/>
      <c r="M162" s="138"/>
      <c r="N162" s="145"/>
      <c r="O162" s="145"/>
      <c r="P162" s="145"/>
      <c r="Q162" s="146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77"/>
      <c r="B163" s="178"/>
      <c r="C163" s="178"/>
      <c r="D163" s="178"/>
      <c r="E163" s="179"/>
      <c r="F163" s="135"/>
      <c r="G163" s="177"/>
      <c r="H163" s="178"/>
      <c r="I163" s="178"/>
      <c r="J163" s="178"/>
      <c r="K163" s="179"/>
      <c r="L163" s="135"/>
      <c r="M163" s="138"/>
      <c r="N163" s="145"/>
      <c r="O163" s="145"/>
      <c r="P163" s="145"/>
      <c r="Q163" s="146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8"/>
      <c r="N164" s="145"/>
      <c r="O164" s="145"/>
      <c r="P164" s="145"/>
      <c r="Q164" s="146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8"/>
      <c r="N165" s="145"/>
      <c r="O165" s="145"/>
      <c r="P165" s="145"/>
      <c r="Q165" s="146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8"/>
      <c r="N166" s="145"/>
      <c r="O166" s="145"/>
      <c r="P166" s="145"/>
      <c r="Q166" s="146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8"/>
      <c r="N167" s="145"/>
      <c r="O167" s="145"/>
      <c r="P167" s="145"/>
      <c r="Q167" s="146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77"/>
      <c r="N168" s="178"/>
      <c r="O168" s="178"/>
      <c r="P168" s="178"/>
      <c r="Q168" s="179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8.75" hidden="false" customHeight="true" outlineLevel="0" collapsed="false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customFormat="false" ht="18.75" hidden="false" customHeight="true" outlineLevel="0" collapsed="false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customFormat="false" ht="18.75" hidden="false" customHeight="true" outlineLevel="0" collapsed="false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customFormat="false" ht="18.75" hidden="false" customHeight="true" outlineLevel="0" collapsed="false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customFormat="false" ht="18.75" hidden="false" customHeight="true" outlineLevel="0" collapsed="false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customFormat="false" ht="18.75" hidden="false" customHeight="true" outlineLevel="0" collapsed="false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A32" activeCellId="0" sqref="A32"/>
    </sheetView>
  </sheetViews>
  <sheetFormatPr defaultColWidth="10.878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139" t="n">
        <v>46854.17</v>
      </c>
      <c r="C3" s="139" t="n">
        <v>0</v>
      </c>
      <c r="D3" s="139" t="n">
        <v>833.33</v>
      </c>
      <c r="E3" s="140" t="n">
        <v>0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7" t="n">
        <f aca="false">B7+C7+D7+E3</f>
        <v>47687.5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(E9+E10)*20%</f>
        <v>9647.5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8" t="n">
        <f aca="false">(E9+E10+E13+E14+E11)-E12</f>
        <v>58525</v>
      </c>
      <c r="F15" s="135"/>
      <c r="G15" s="149" t="n">
        <f aca="false">E15</f>
        <v>58525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/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(B3+C3+E10+D3+E3)*1.2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8.75" hidden="false" customHeight="tru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IF(A32=Z101,1,IF(A32=Z102,1,IF(A32=Z103,3,IF(A32=Z104,6,IF(A32=Z105,9,IF(A32=Z106,12,IF(A32=Z107,3,IF(A32=Z108,6,IF(A32=Z109,9,0)))))))))</f>
        <v>1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IF(A32=Z101,H29-H27,IF(A32=Z102,H29-H27,IF(A32=Z103,H29-1,IF(A32=Z104,H29-1,IF(A32=Z105,H29-1,IF(A32=Z106,H29-1,IF(A32=Z107,H29-H27,IF(A32=Z108,H29-H27,IF(A32=Z109,H29-H27,0)))))))))</f>
        <v>11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n">
        <f aca="false">B35</f>
        <v>12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n">
        <f aca="false">D35</f>
        <v>5000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n">
        <f aca="false">D38</f>
        <v>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56" t="s">
        <v>117</v>
      </c>
      <c r="B32" s="159" t="n">
        <f aca="false">IF(A32=Z101,D38,IF(A32=Z102,D38,IF(A32=Z103,(D38*3),IF(A32=Z104,(D38*6),IF(A32=Z105,(D38*9),IF(A32=Z106,(D38*12),IF(A32=Z107,D38,IF(A32=Z108,D38,IF(A32=Z109,D38,0)))))))))</f>
        <v>500</v>
      </c>
      <c r="C32" s="159"/>
      <c r="D32" s="159" t="n">
        <f aca="false">IF(A32=Z101,A41,IF(A32=Z102,A41,IF(A32=Z103,(A41*3),IF(A32=Z104,(A41*6),IF(A32=Z105,(A41*9),IF(A32=Z106,(A41*12),IF(A32=Z107,A41,IF(A32=Z108,A41,IF(A32=Z109,A41,0)))))))))</f>
        <v>0</v>
      </c>
      <c r="E32" s="159"/>
      <c r="F32" s="135"/>
      <c r="G32" s="160" t="s">
        <v>177</v>
      </c>
      <c r="H32" s="158" t="n">
        <f aca="false">A41</f>
        <v>0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18.75" hidden="false" customHeight="true" outlineLevel="0" collapsed="false">
      <c r="A33" s="43"/>
      <c r="B33" s="118"/>
      <c r="C33" s="45"/>
      <c r="D33" s="161"/>
      <c r="E33" s="146"/>
      <c r="F33" s="135"/>
      <c r="G33" s="160"/>
      <c r="H33" s="152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n">
        <f aca="false">D41</f>
        <v>12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59" t="n">
        <f aca="false">B32+D32</f>
        <v>500</v>
      </c>
      <c r="B35" s="37" t="n">
        <v>12</v>
      </c>
      <c r="C35" s="37"/>
      <c r="D35" s="37" t="n">
        <v>5000</v>
      </c>
      <c r="E35" s="37"/>
      <c r="F35" s="135"/>
      <c r="G35" s="162"/>
      <c r="H35" s="163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38"/>
      <c r="B36" s="145"/>
      <c r="C36" s="145"/>
      <c r="D36" s="145"/>
      <c r="E36" s="146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64" t="n">
        <f aca="false">(B35/12)*D35</f>
        <v>5000</v>
      </c>
      <c r="B38" s="37" t="s">
        <v>26</v>
      </c>
      <c r="C38" s="37"/>
      <c r="D38" s="42" t="n">
        <v>500</v>
      </c>
      <c r="E38" s="42"/>
      <c r="F38" s="135"/>
      <c r="G38" s="135"/>
      <c r="H38" s="135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57"/>
      <c r="B39" s="45"/>
      <c r="C39" s="45"/>
      <c r="D39" s="145"/>
      <c r="E39" s="146"/>
      <c r="F39" s="135"/>
      <c r="G39" s="135"/>
      <c r="H39" s="165"/>
      <c r="I39" s="165"/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58" t="s">
        <v>147</v>
      </c>
      <c r="B40" s="59" t="s">
        <v>112</v>
      </c>
      <c r="C40" s="45"/>
      <c r="D40" s="128" t="s">
        <v>163</v>
      </c>
      <c r="E40" s="146"/>
      <c r="F40" s="135"/>
      <c r="G40" s="135"/>
      <c r="H40" s="165"/>
      <c r="I40" s="16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5"/>
      <c r="G41" s="135"/>
      <c r="H41" s="167"/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58" t="s">
        <v>157</v>
      </c>
      <c r="B43" s="59" t="s">
        <v>158</v>
      </c>
      <c r="C43" s="45"/>
      <c r="D43" s="59" t="s">
        <v>159</v>
      </c>
      <c r="E43" s="61"/>
      <c r="F43" s="135"/>
      <c r="G43" s="135" t="s">
        <v>184</v>
      </c>
      <c r="H43" s="165" t="n">
        <f aca="false">(((D38*(B35-1))+B32)/B35) + (D41/B35)</f>
        <v>501</v>
      </c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5"/>
      <c r="G44" s="135" t="s">
        <v>185</v>
      </c>
      <c r="H44" s="165" t="n">
        <f aca="false">((A41*(B35-1))+D32)/B35</f>
        <v>0</v>
      </c>
      <c r="I44" s="16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501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5"/>
      <c r="G46" s="135" t="s">
        <v>189</v>
      </c>
      <c r="H46" s="165" t="n">
        <f aca="false">H43</f>
        <v>501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5"/>
      <c r="G47" s="135"/>
      <c r="H47" s="165"/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172" t="s">
        <v>205</v>
      </c>
      <c r="B48" s="145"/>
      <c r="C48" s="145"/>
      <c r="D48" s="173"/>
      <c r="E48" s="174"/>
      <c r="F48" s="135"/>
      <c r="G48" s="135"/>
      <c r="H48" s="165" t="n">
        <f aca="false">(A41*(B58+B57))</f>
        <v>0</v>
      </c>
      <c r="I48" s="16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138"/>
      <c r="B49" s="175"/>
      <c r="C49" s="175"/>
      <c r="D49" s="145"/>
      <c r="E49" s="146"/>
      <c r="F49" s="135"/>
      <c r="G49" s="135"/>
      <c r="H49" s="176"/>
      <c r="I49" s="16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A50" s="71" t="s">
        <v>81</v>
      </c>
      <c r="B50" s="72" t="s">
        <v>82</v>
      </c>
      <c r="C50" s="72"/>
      <c r="D50" s="145"/>
      <c r="E50" s="146"/>
      <c r="F50" s="135"/>
      <c r="G50" s="135"/>
      <c r="H50" s="13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5"/>
      <c r="E51" s="146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5"/>
      <c r="E52" s="146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138"/>
      <c r="B53" s="145"/>
      <c r="C53" s="145"/>
      <c r="D53" s="145"/>
      <c r="E53" s="146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7"/>
      <c r="B54" s="178"/>
      <c r="C54" s="178"/>
      <c r="D54" s="178"/>
      <c r="E54" s="179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45"/>
      <c r="B55" s="145"/>
      <c r="C55" s="145"/>
      <c r="D55" s="145"/>
      <c r="E55" s="145"/>
      <c r="F55" s="135"/>
      <c r="G55" s="145"/>
      <c r="H55" s="145"/>
      <c r="I55" s="145"/>
      <c r="J55" s="145"/>
      <c r="K55" s="14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180"/>
      <c r="B56" s="181"/>
      <c r="C56" s="181"/>
      <c r="D56" s="181"/>
      <c r="E56" s="182"/>
      <c r="F56" s="135"/>
      <c r="G56" s="180"/>
      <c r="H56" s="181"/>
      <c r="I56" s="181"/>
      <c r="J56" s="181"/>
      <c r="K56" s="182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138" t="s">
        <v>83</v>
      </c>
      <c r="B57" s="145" t="n">
        <f aca="false">IF(B99=Z101,1,IF(B99=Z102,1,IF(B99=Z103,3,IF(B99=Z104,6,IF(B99=Z105,9,IF(B99=Z106,12,IF(B99=Z107,3,IF(B99=Z108,6,IF(B99=Z109,9,0)))))))))</f>
        <v>9</v>
      </c>
      <c r="C57" s="145"/>
      <c r="D57" s="145"/>
      <c r="E57" s="146"/>
      <c r="F57" s="135"/>
      <c r="G57" s="138" t="s">
        <v>83</v>
      </c>
      <c r="H57" s="145" t="n">
        <f aca="false">IF(H99=Z101,1,IF(H99=Z102,1,IF(H99=Z103,3,IF(H99=Z104,6,IF(H99=Z105,9,IF(H99=Z106,12,IF(H99=Z107,3,IF(H99=Z108,6,IF(H99=Z109,9,0)))))))))</f>
        <v>1</v>
      </c>
      <c r="I57" s="145"/>
      <c r="J57" s="145"/>
      <c r="K57" s="146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138" t="s">
        <v>84</v>
      </c>
      <c r="B58" s="145" t="n">
        <f aca="false">IF(B99=Z101,H29-B57,IF(B99=Z102,H29-B57,IF(B99=Z103,H29-1,IF(B99=Z104,H29-1,IF(B99=Z105,H29-1,IF(B99=Z106,H29-1,IF(B99=Z107,H29-B57,IF(B99=Z108,H29-B57,IF(B99=Z109,H29-B57,0)))))))))</f>
        <v>3</v>
      </c>
      <c r="C58" s="145" t="s">
        <v>303</v>
      </c>
      <c r="D58" s="145"/>
      <c r="E58" s="146"/>
      <c r="F58" s="135"/>
      <c r="G58" s="138" t="s">
        <v>84</v>
      </c>
      <c r="H58" s="145" t="n">
        <f aca="false">IF(H99=Z101,H29-H57,IF(H99=Z102,H29-H57,IF(H99=Z103,H29-1,IF(H99=Z104,H29-1,IF(H99=Z105,H29-1,IF(H99=Z106,H29-1,IF(H99=Z107,H29-H57,IF(H99=Z108,H29-H57,IF(H99=Z109,H29-H57,0)))))))))</f>
        <v>11</v>
      </c>
      <c r="I58" s="145"/>
      <c r="J58" s="145"/>
      <c r="K58" s="146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8"/>
      <c r="H59" s="145"/>
      <c r="I59" s="145"/>
      <c r="J59" s="145"/>
      <c r="K59" s="146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38"/>
      <c r="B60" s="145"/>
      <c r="C60" s="145"/>
      <c r="D60" s="145"/>
      <c r="E60" s="146"/>
      <c r="F60" s="135"/>
      <c r="G60" s="138"/>
      <c r="H60" s="145"/>
      <c r="I60" s="145"/>
      <c r="J60" s="145"/>
      <c r="K60" s="146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38" t="s">
        <v>21</v>
      </c>
      <c r="B61" s="144" t="n">
        <f aca="false">G18</f>
        <v>57885</v>
      </c>
      <c r="C61" s="145"/>
      <c r="D61" s="145"/>
      <c r="E61" s="146"/>
      <c r="F61" s="135"/>
      <c r="G61" s="138" t="s">
        <v>21</v>
      </c>
      <c r="H61" s="144" t="n">
        <f aca="false">G18</f>
        <v>57885</v>
      </c>
      <c r="I61" s="145"/>
      <c r="J61" s="145"/>
      <c r="K61" s="146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3" t="s">
        <v>85</v>
      </c>
      <c r="B62" s="184" t="n">
        <v>0.07</v>
      </c>
      <c r="C62" s="145"/>
      <c r="D62" s="145"/>
      <c r="E62" s="146"/>
      <c r="F62" s="135"/>
      <c r="G62" s="183" t="s">
        <v>85</v>
      </c>
      <c r="H62" s="184" t="n">
        <v>0.07</v>
      </c>
      <c r="I62" s="145"/>
      <c r="J62" s="145"/>
      <c r="K62" s="146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86</v>
      </c>
      <c r="B63" s="142" t="n">
        <f aca="false">B62+(B62*0.25*(H29/12-1))</f>
        <v>0.07</v>
      </c>
      <c r="C63" s="145"/>
      <c r="D63" s="145"/>
      <c r="E63" s="146"/>
      <c r="F63" s="135"/>
      <c r="G63" s="138" t="s">
        <v>86</v>
      </c>
      <c r="H63" s="142" t="n">
        <f aca="false">H62+(H62*0.25*(H29/12-1))</f>
        <v>0.07</v>
      </c>
      <c r="I63" s="145"/>
      <c r="J63" s="145"/>
      <c r="K63" s="146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77" t="s">
        <v>87</v>
      </c>
      <c r="B64" s="185" t="n">
        <f aca="false">B61*B63</f>
        <v>4051.95</v>
      </c>
      <c r="C64" s="145"/>
      <c r="D64" s="144" t="n">
        <f aca="false">B64</f>
        <v>4051.95</v>
      </c>
      <c r="E64" s="146"/>
      <c r="F64" s="135"/>
      <c r="G64" s="177" t="s">
        <v>87</v>
      </c>
      <c r="H64" s="185" t="n">
        <f aca="false">H61*H63</f>
        <v>4051.95</v>
      </c>
      <c r="I64" s="145"/>
      <c r="J64" s="144" t="n">
        <f aca="false">H64</f>
        <v>4051.95</v>
      </c>
      <c r="K64" s="146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83" t="s">
        <v>88</v>
      </c>
      <c r="B65" s="184" t="n">
        <v>0.01</v>
      </c>
      <c r="C65" s="145"/>
      <c r="D65" s="145"/>
      <c r="E65" s="146"/>
      <c r="F65" s="135"/>
      <c r="G65" s="183" t="s">
        <v>88</v>
      </c>
      <c r="H65" s="184" t="n">
        <v>0.005</v>
      </c>
      <c r="I65" s="145"/>
      <c r="J65" s="145"/>
      <c r="K65" s="146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 t="s">
        <v>89</v>
      </c>
      <c r="B66" s="142" t="n">
        <f aca="false">B65+(B65*0.5*(H29/12-1))</f>
        <v>0.01</v>
      </c>
      <c r="C66" s="145"/>
      <c r="D66" s="145"/>
      <c r="E66" s="146"/>
      <c r="F66" s="135"/>
      <c r="G66" s="138" t="s">
        <v>89</v>
      </c>
      <c r="H66" s="142" t="n">
        <f aca="false">H65+(H65*0.5*(H29/12-1))</f>
        <v>0.005</v>
      </c>
      <c r="I66" s="145"/>
      <c r="J66" s="145"/>
      <c r="K66" s="146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77" t="s">
        <v>90</v>
      </c>
      <c r="B67" s="185" t="n">
        <f aca="false">B61*B66</f>
        <v>578.85</v>
      </c>
      <c r="C67" s="145"/>
      <c r="D67" s="144"/>
      <c r="E67" s="146"/>
      <c r="F67" s="135"/>
      <c r="G67" s="177" t="s">
        <v>90</v>
      </c>
      <c r="H67" s="185" t="n">
        <f aca="false">H61*H66</f>
        <v>289.425</v>
      </c>
      <c r="I67" s="145"/>
      <c r="J67" s="144"/>
      <c r="K67" s="146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91</v>
      </c>
      <c r="B68" s="184" t="n">
        <v>0.0075</v>
      </c>
      <c r="C68" s="145"/>
      <c r="D68" s="145"/>
      <c r="E68" s="146"/>
      <c r="F68" s="135"/>
      <c r="G68" s="183" t="s">
        <v>91</v>
      </c>
      <c r="H68" s="184" t="n">
        <v>0.0075</v>
      </c>
      <c r="I68" s="145"/>
      <c r="J68" s="145"/>
      <c r="K68" s="146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6" t="s">
        <v>92</v>
      </c>
      <c r="B69" s="186" t="n">
        <v>0.12</v>
      </c>
      <c r="C69" s="145"/>
      <c r="D69" s="145"/>
      <c r="E69" s="146"/>
      <c r="F69" s="135"/>
      <c r="G69" s="136" t="s">
        <v>92</v>
      </c>
      <c r="H69" s="186" t="n">
        <v>0.12</v>
      </c>
      <c r="I69" s="145"/>
      <c r="J69" s="145"/>
      <c r="K69" s="146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93</v>
      </c>
      <c r="B70" s="187" t="n">
        <f aca="false">B68*(1+B69)</f>
        <v>0.0084</v>
      </c>
      <c r="C70" s="145"/>
      <c r="D70" s="145"/>
      <c r="E70" s="146"/>
      <c r="F70" s="135"/>
      <c r="G70" s="177" t="s">
        <v>93</v>
      </c>
      <c r="H70" s="187" t="n">
        <f aca="false">H68*(1+H69)</f>
        <v>0.0084</v>
      </c>
      <c r="I70" s="145"/>
      <c r="J70" s="145"/>
      <c r="K70" s="146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94</v>
      </c>
      <c r="B71" s="188" t="n">
        <v>200</v>
      </c>
      <c r="C71" s="145"/>
      <c r="D71" s="145"/>
      <c r="E71" s="146"/>
      <c r="F71" s="135"/>
      <c r="G71" s="183" t="s">
        <v>94</v>
      </c>
      <c r="H71" s="188" t="n">
        <v>160</v>
      </c>
      <c r="I71" s="145"/>
      <c r="J71" s="145"/>
      <c r="K71" s="146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6" t="s">
        <v>95</v>
      </c>
      <c r="B72" s="189" t="n">
        <v>5</v>
      </c>
      <c r="C72" s="145"/>
      <c r="D72" s="145"/>
      <c r="E72" s="146"/>
      <c r="F72" s="135"/>
      <c r="G72" s="136" t="s">
        <v>95</v>
      </c>
      <c r="H72" s="189" t="n">
        <v>4.5</v>
      </c>
      <c r="I72" s="145"/>
      <c r="J72" s="145"/>
      <c r="K72" s="146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96</v>
      </c>
      <c r="B73" s="185" t="n">
        <f aca="false">B72*H29</f>
        <v>60</v>
      </c>
      <c r="C73" s="145"/>
      <c r="D73" s="144" t="n">
        <f aca="false">B73+B71</f>
        <v>260</v>
      </c>
      <c r="E73" s="146"/>
      <c r="F73" s="135"/>
      <c r="G73" s="177" t="s">
        <v>96</v>
      </c>
      <c r="H73" s="185" t="n">
        <f aca="false">H72*H29</f>
        <v>54</v>
      </c>
      <c r="I73" s="145"/>
      <c r="J73" s="144" t="n">
        <f aca="false">H73+H71</f>
        <v>214</v>
      </c>
      <c r="K73" s="146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97</v>
      </c>
      <c r="B74" s="188" t="n">
        <v>0</v>
      </c>
      <c r="C74" s="145"/>
      <c r="D74" s="145"/>
      <c r="E74" s="146"/>
      <c r="F74" s="135"/>
      <c r="G74" s="183" t="s">
        <v>97</v>
      </c>
      <c r="H74" s="188" t="n">
        <v>150</v>
      </c>
      <c r="I74" s="145"/>
      <c r="J74" s="145"/>
      <c r="K74" s="146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98</v>
      </c>
      <c r="B75" s="189" t="n">
        <v>0</v>
      </c>
      <c r="C75" s="145"/>
      <c r="D75" s="145"/>
      <c r="E75" s="146"/>
      <c r="F75" s="135"/>
      <c r="G75" s="136" t="s">
        <v>98</v>
      </c>
      <c r="H75" s="189" t="n">
        <f aca="false">IF(G18&gt;40000, 325, 0)</f>
        <v>325</v>
      </c>
      <c r="I75" s="145"/>
      <c r="J75" s="145"/>
      <c r="K75" s="146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99</v>
      </c>
      <c r="B76" s="185" t="n">
        <f aca="false">((B74+B75)/12)*(H29-11)</f>
        <v>0</v>
      </c>
      <c r="C76" s="145"/>
      <c r="D76" s="144" t="n">
        <f aca="false">B76</f>
        <v>0</v>
      </c>
      <c r="E76" s="146"/>
      <c r="F76" s="135"/>
      <c r="G76" s="177" t="s">
        <v>99</v>
      </c>
      <c r="H76" s="185" t="n">
        <f aca="false">((H74+H75)/12)*(H29-11)</f>
        <v>39.5833333333333</v>
      </c>
      <c r="I76" s="145"/>
      <c r="J76" s="144" t="n">
        <f aca="false">H76</f>
        <v>39.5833333333333</v>
      </c>
      <c r="K76" s="146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100</v>
      </c>
      <c r="B77" s="188" t="n">
        <f aca="false">B102</f>
        <v>0</v>
      </c>
      <c r="C77" s="145"/>
      <c r="D77" s="144" t="n">
        <f aca="false">B77</f>
        <v>0</v>
      </c>
      <c r="E77" s="146"/>
      <c r="F77" s="135"/>
      <c r="G77" s="183" t="s">
        <v>100</v>
      </c>
      <c r="H77" s="188" t="n">
        <f aca="false">H102</f>
        <v>1200</v>
      </c>
      <c r="I77" s="145"/>
      <c r="J77" s="144" t="n">
        <f aca="false">H77</f>
        <v>1200</v>
      </c>
      <c r="K77" s="146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8" t="s">
        <v>102</v>
      </c>
      <c r="B78" s="143" t="n">
        <f aca="false">D102</f>
        <v>0</v>
      </c>
      <c r="C78" s="145"/>
      <c r="D78" s="144" t="n">
        <f aca="false">B78</f>
        <v>0</v>
      </c>
      <c r="E78" s="146"/>
      <c r="F78" s="135"/>
      <c r="G78" s="138" t="s">
        <v>102</v>
      </c>
      <c r="H78" s="143" t="n">
        <f aca="false">J102</f>
        <v>0</v>
      </c>
      <c r="I78" s="145"/>
      <c r="J78" s="144" t="n">
        <f aca="false">H78</f>
        <v>0</v>
      </c>
      <c r="K78" s="146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36" t="s">
        <v>103</v>
      </c>
      <c r="B79" s="189" t="n">
        <v>200</v>
      </c>
      <c r="C79" s="145"/>
      <c r="D79" s="144" t="n">
        <f aca="false">B79</f>
        <v>200</v>
      </c>
      <c r="E79" s="146"/>
      <c r="F79" s="135"/>
      <c r="G79" s="136" t="s">
        <v>103</v>
      </c>
      <c r="H79" s="189" t="n">
        <v>100</v>
      </c>
      <c r="I79" s="145"/>
      <c r="J79" s="144" t="n">
        <f aca="false">H79</f>
        <v>100</v>
      </c>
      <c r="K79" s="146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97" t="s">
        <v>104</v>
      </c>
      <c r="B80" s="198" t="n">
        <v>200</v>
      </c>
      <c r="C80" s="145"/>
      <c r="D80" s="144" t="n">
        <f aca="false">B80</f>
        <v>200</v>
      </c>
      <c r="E80" s="146"/>
      <c r="F80" s="135"/>
      <c r="G80" s="197" t="s">
        <v>104</v>
      </c>
      <c r="H80" s="198" t="n">
        <v>100</v>
      </c>
      <c r="I80" s="145"/>
      <c r="J80" s="144" t="n">
        <f aca="false">H80</f>
        <v>100</v>
      </c>
      <c r="K80" s="146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99" t="s">
        <v>105</v>
      </c>
      <c r="B81" s="200" t="n">
        <f aca="false">SUM(D64:D80)</f>
        <v>4711.95</v>
      </c>
      <c r="C81" s="145"/>
      <c r="D81" s="145"/>
      <c r="E81" s="146"/>
      <c r="F81" s="135"/>
      <c r="G81" s="199" t="s">
        <v>105</v>
      </c>
      <c r="H81" s="200" t="n">
        <f aca="false">SUM(J64:J80)</f>
        <v>5705.53333333333</v>
      </c>
      <c r="I81" s="145"/>
      <c r="J81" s="145"/>
      <c r="K81" s="146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38" t="s">
        <v>106</v>
      </c>
      <c r="B82" s="143" t="n">
        <f aca="false">B81/H29</f>
        <v>392.6625</v>
      </c>
      <c r="C82" s="145"/>
      <c r="D82" s="145"/>
      <c r="E82" s="146"/>
      <c r="F82" s="135"/>
      <c r="G82" s="138" t="s">
        <v>106</v>
      </c>
      <c r="H82" s="143" t="n">
        <f aca="false">H81/H29</f>
        <v>475.461111111111</v>
      </c>
      <c r="I82" s="145"/>
      <c r="J82" s="145"/>
      <c r="K82" s="146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201" t="s">
        <v>107</v>
      </c>
      <c r="B83" s="202" t="n">
        <f aca="false">H46</f>
        <v>501</v>
      </c>
      <c r="C83" s="145"/>
      <c r="D83" s="145"/>
      <c r="E83" s="146"/>
      <c r="F83" s="135"/>
      <c r="G83" s="201" t="s">
        <v>107</v>
      </c>
      <c r="H83" s="202" t="n">
        <f aca="false">H46</f>
        <v>501</v>
      </c>
      <c r="I83" s="145"/>
      <c r="J83" s="145"/>
      <c r="K83" s="146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/>
      <c r="B84" s="144"/>
      <c r="C84" s="145"/>
      <c r="D84" s="145"/>
      <c r="E84" s="146"/>
      <c r="F84" s="135"/>
      <c r="G84" s="138"/>
      <c r="H84" s="144"/>
      <c r="I84" s="145"/>
      <c r="J84" s="145"/>
      <c r="K84" s="146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80" t="s">
        <v>108</v>
      </c>
      <c r="B85" s="203" t="n">
        <f aca="false">((B83*(H29)+B81))</f>
        <v>10723.95</v>
      </c>
      <c r="C85" s="145"/>
      <c r="D85" s="145"/>
      <c r="E85" s="146"/>
      <c r="F85" s="135"/>
      <c r="G85" s="180" t="s">
        <v>108</v>
      </c>
      <c r="H85" s="203" t="n">
        <f aca="false">((H83*(H27+H28))+H81)*1.2</f>
        <v>14061.04</v>
      </c>
      <c r="I85" s="145"/>
      <c r="J85" s="145"/>
      <c r="K85" s="146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38" t="s">
        <v>109</v>
      </c>
      <c r="B86" s="143" t="n">
        <f aca="false">(B85/(1-B70))*B70</f>
        <v>90.8442718838241</v>
      </c>
      <c r="C86" s="145"/>
      <c r="D86" s="145"/>
      <c r="E86" s="146"/>
      <c r="F86" s="135"/>
      <c r="G86" s="138" t="s">
        <v>109</v>
      </c>
      <c r="H86" s="143" t="n">
        <f aca="false">(((H83*(H27+H28))+H81)/(1-H70))*H70</f>
        <v>99.2610730133118</v>
      </c>
      <c r="I86" s="145"/>
      <c r="J86" s="145"/>
      <c r="K86" s="146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77" t="s">
        <v>110</v>
      </c>
      <c r="B87" s="185" t="n">
        <f aca="false">IF(B110="YES",((B85+B86)-A151-E114),((B85+B86)-A151))</f>
        <v>6814.79427188382</v>
      </c>
      <c r="C87" s="145"/>
      <c r="D87" s="145"/>
      <c r="E87" s="146"/>
      <c r="F87" s="135"/>
      <c r="G87" s="177" t="s">
        <v>110</v>
      </c>
      <c r="H87" s="185" t="n">
        <f aca="false">IF(H110="YES",((H85+H86)-A151-K114),((H85+H86)-A151))</f>
        <v>14160.3010730133</v>
      </c>
      <c r="I87" s="145"/>
      <c r="J87" s="145"/>
      <c r="K87" s="146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/>
      <c r="B88" s="144"/>
      <c r="C88" s="145"/>
      <c r="D88" s="145"/>
      <c r="E88" s="146"/>
      <c r="F88" s="135"/>
      <c r="G88" s="138"/>
      <c r="H88" s="144"/>
      <c r="I88" s="145"/>
      <c r="J88" s="145"/>
      <c r="K88" s="146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199" t="s">
        <v>65</v>
      </c>
      <c r="B89" s="369" t="n">
        <f aca="false">IF(B99=Z102,(((H44*B35)+(H44*B35)*(B105/100))/(B58)),(((H44*B35)+(H44*B35)*(B105/100))/(B57+B58)))</f>
        <v>0</v>
      </c>
      <c r="C89" s="145" t="s">
        <v>75</v>
      </c>
      <c r="D89" s="145"/>
      <c r="E89" s="146"/>
      <c r="F89" s="135"/>
      <c r="G89" s="199" t="s">
        <v>65</v>
      </c>
      <c r="H89" s="200" t="n">
        <f aca="false">(A41+(A41*H105))*1.2</f>
        <v>0</v>
      </c>
      <c r="I89" s="145"/>
      <c r="J89" s="145"/>
      <c r="K89" s="146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205" t="s">
        <v>111</v>
      </c>
      <c r="B90" s="206" t="n">
        <f aca="false">IF(B99=Z102, (B87-D105)/(B58), B87/(B57+B58))</f>
        <v>567.899522656985</v>
      </c>
      <c r="C90" s="145"/>
      <c r="D90" s="145"/>
      <c r="E90" s="146"/>
      <c r="F90" s="135"/>
      <c r="G90" s="205" t="s">
        <v>111</v>
      </c>
      <c r="H90" s="206" t="n">
        <f aca="false">IF(H99=AE98, (H87-J105)/(H58), H87/(H57+H58))</f>
        <v>1180.02508941778</v>
      </c>
      <c r="I90" s="145"/>
      <c r="K90" s="146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207" t="s">
        <v>112</v>
      </c>
      <c r="B91" s="208" t="n">
        <f aca="false">IF(A105="YES", B90+B89, B90)</f>
        <v>567.899522656985</v>
      </c>
      <c r="C91" s="145"/>
      <c r="D91" s="145"/>
      <c r="E91" s="146"/>
      <c r="F91" s="135"/>
      <c r="G91" s="207" t="s">
        <v>112</v>
      </c>
      <c r="H91" s="208" t="n">
        <f aca="false">IF(G105="YES", H90+H89, H90)</f>
        <v>1180.02508941778</v>
      </c>
      <c r="I91" s="145"/>
      <c r="J91" s="145"/>
      <c r="K91" s="146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77"/>
      <c r="B92" s="178"/>
      <c r="C92" s="178"/>
      <c r="D92" s="178"/>
      <c r="E92" s="179"/>
      <c r="F92" s="135"/>
      <c r="G92" s="177"/>
      <c r="H92" s="178"/>
      <c r="I92" s="178"/>
      <c r="J92" s="178"/>
      <c r="K92" s="179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45"/>
      <c r="B93" s="145"/>
      <c r="C93" s="145"/>
      <c r="D93" s="145"/>
      <c r="E93" s="145"/>
      <c r="F93" s="135"/>
      <c r="G93" s="145"/>
      <c r="H93" s="145"/>
      <c r="I93" s="145"/>
      <c r="J93" s="145"/>
      <c r="K93" s="14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46.5" hidden="false" customHeight="true" outlineLevel="0" collapsed="false">
      <c r="A94" s="27" t="s">
        <v>113</v>
      </c>
      <c r="B94" s="27"/>
      <c r="C94" s="27"/>
      <c r="D94" s="27"/>
      <c r="E94" s="27"/>
      <c r="F94" s="135"/>
      <c r="G94" s="27" t="s">
        <v>114</v>
      </c>
      <c r="H94" s="27"/>
      <c r="I94" s="27"/>
      <c r="J94" s="27"/>
      <c r="K94" s="27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38"/>
      <c r="B95" s="145"/>
      <c r="C95" s="145"/>
      <c r="D95" s="145"/>
      <c r="E95" s="146"/>
      <c r="F95" s="135"/>
      <c r="G95" s="138"/>
      <c r="H95" s="145"/>
      <c r="I95" s="145"/>
      <c r="J95" s="145"/>
      <c r="K95" s="146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9" t="s">
        <v>116</v>
      </c>
      <c r="B96" s="29"/>
      <c r="C96" s="29"/>
      <c r="D96" s="29"/>
      <c r="E96" s="29"/>
      <c r="F96" s="135"/>
      <c r="G96" s="29" t="s">
        <v>116</v>
      </c>
      <c r="H96" s="29"/>
      <c r="I96" s="29"/>
      <c r="J96" s="29"/>
      <c r="K96" s="29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138"/>
      <c r="B97" s="145"/>
      <c r="C97" s="145"/>
      <c r="D97" s="145"/>
      <c r="E97" s="146"/>
      <c r="F97" s="135"/>
      <c r="G97" s="138"/>
      <c r="H97" s="145"/>
      <c r="I97" s="145"/>
      <c r="J97" s="145"/>
      <c r="K97" s="146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customFormat="false" ht="18.75" hidden="false" customHeight="true" outlineLevel="0" collapsed="false">
      <c r="A98" s="138" t="s">
        <v>118</v>
      </c>
      <c r="B98" s="145" t="s">
        <v>30</v>
      </c>
      <c r="C98" s="145"/>
      <c r="D98" s="145" t="s">
        <v>119</v>
      </c>
      <c r="E98" s="146"/>
      <c r="F98" s="135"/>
      <c r="G98" s="138" t="s">
        <v>118</v>
      </c>
      <c r="H98" s="145" t="s">
        <v>30</v>
      </c>
      <c r="I98" s="145"/>
      <c r="J98" s="145" t="s">
        <v>119</v>
      </c>
      <c r="K98" s="146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customFormat="false" ht="18.75" hidden="false" customHeight="true" outlineLevel="0" collapsed="false">
      <c r="A99" s="154" t="s">
        <v>121</v>
      </c>
      <c r="B99" s="109" t="s">
        <v>190</v>
      </c>
      <c r="C99" s="109"/>
      <c r="D99" s="112" t="n">
        <v>1000</v>
      </c>
      <c r="E99" s="112"/>
      <c r="F99" s="135"/>
      <c r="G99" s="154" t="s">
        <v>121</v>
      </c>
      <c r="H99" s="109" t="s">
        <v>117</v>
      </c>
      <c r="I99" s="109"/>
      <c r="J99" s="112" t="n">
        <v>0</v>
      </c>
      <c r="K99" s="112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customFormat="false" ht="18.75" hidden="false" customHeight="true" outlineLevel="0" collapsed="false">
      <c r="A100" s="138"/>
      <c r="B100" s="145"/>
      <c r="C100" s="145"/>
      <c r="D100" s="145"/>
      <c r="E100" s="146"/>
      <c r="F100" s="135"/>
      <c r="G100" s="138"/>
      <c r="H100" s="145"/>
      <c r="I100" s="145"/>
      <c r="J100" s="145"/>
      <c r="K100" s="146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</row>
    <row r="101" customFormat="false" ht="18.75" hidden="false" customHeight="true" outlineLevel="0" collapsed="false">
      <c r="A101" s="138" t="s">
        <v>126</v>
      </c>
      <c r="B101" s="145" t="s">
        <v>127</v>
      </c>
      <c r="C101" s="145"/>
      <c r="D101" s="145" t="s">
        <v>128</v>
      </c>
      <c r="E101" s="146"/>
      <c r="F101" s="135"/>
      <c r="G101" s="138" t="s">
        <v>126</v>
      </c>
      <c r="H101" s="145" t="s">
        <v>127</v>
      </c>
      <c r="I101" s="145"/>
      <c r="J101" s="145" t="s">
        <v>128</v>
      </c>
      <c r="K101" s="146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 t="s">
        <v>117</v>
      </c>
      <c r="AA101" s="135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5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 t="s">
        <v>120</v>
      </c>
      <c r="AA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Z103" s="135" t="s">
        <v>124</v>
      </c>
      <c r="AA103" s="135"/>
    </row>
    <row r="104" customFormat="false" ht="18.75" hidden="false" customHeight="true" outlineLevel="0" collapsed="false">
      <c r="A104" s="154" t="s">
        <v>130</v>
      </c>
      <c r="B104" s="135" t="s">
        <v>131</v>
      </c>
      <c r="C104" s="145"/>
      <c r="D104" s="145" t="s">
        <v>132</v>
      </c>
      <c r="E104" s="146"/>
      <c r="F104" s="135"/>
      <c r="G104" s="154" t="s">
        <v>130</v>
      </c>
      <c r="H104" s="135" t="s">
        <v>131</v>
      </c>
      <c r="I104" s="145"/>
      <c r="J104" s="145" t="s">
        <v>132</v>
      </c>
      <c r="K104" s="146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Z104" s="135" t="s">
        <v>125</v>
      </c>
      <c r="AA104" s="135"/>
    </row>
    <row r="105" customFormat="false" ht="18.75" hidden="false" customHeight="true" outlineLevel="0" collapsed="false">
      <c r="A105" s="156" t="s">
        <v>26</v>
      </c>
      <c r="B105" s="109" t="n">
        <v>0</v>
      </c>
      <c r="C105" s="109"/>
      <c r="D105" s="112" t="s">
        <v>191</v>
      </c>
      <c r="E105" s="112"/>
      <c r="F105" s="135"/>
      <c r="G105" s="156" t="s">
        <v>25</v>
      </c>
      <c r="H105" s="113" t="n">
        <v>0.2</v>
      </c>
      <c r="I105" s="113"/>
      <c r="J105" s="112" t="n">
        <v>0</v>
      </c>
      <c r="K105" s="112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Z105" s="135" t="s">
        <v>129</v>
      </c>
      <c r="AA105" s="135"/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Z106" s="135" t="s">
        <v>123</v>
      </c>
      <c r="AA106" s="135"/>
    </row>
    <row r="107" customFormat="false" ht="18.75" hidden="false" customHeight="true" outlineLevel="0" collapsed="false">
      <c r="A107" s="138"/>
      <c r="B107" s="145"/>
      <c r="C107" s="145"/>
      <c r="D107" s="145"/>
      <c r="E107" s="146"/>
      <c r="F107" s="135"/>
      <c r="G107" s="138"/>
      <c r="H107" s="145"/>
      <c r="I107" s="145"/>
      <c r="J107" s="145"/>
      <c r="K107" s="146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Z107" s="135" t="s">
        <v>122</v>
      </c>
      <c r="AA107" s="135"/>
    </row>
    <row r="108" customFormat="false" ht="18.75" hidden="false" customHeight="true" outlineLevel="0" collapsed="false">
      <c r="A108" s="29" t="s">
        <v>136</v>
      </c>
      <c r="B108" s="29"/>
      <c r="C108" s="29"/>
      <c r="D108" s="29"/>
      <c r="E108" s="29"/>
      <c r="F108" s="135"/>
      <c r="G108" s="29" t="s">
        <v>136</v>
      </c>
      <c r="H108" s="29"/>
      <c r="I108" s="29"/>
      <c r="J108" s="29"/>
      <c r="K108" s="29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Z108" s="135" t="s">
        <v>133</v>
      </c>
      <c r="AA108" s="135"/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Z109" s="135" t="s">
        <v>134</v>
      </c>
    </row>
    <row r="110" customFormat="false" ht="18.75" hidden="false" customHeight="true" outlineLevel="0" collapsed="false">
      <c r="A110" s="138" t="s">
        <v>137</v>
      </c>
      <c r="B110" s="156" t="s">
        <v>25</v>
      </c>
      <c r="C110" s="145"/>
      <c r="D110" s="145"/>
      <c r="E110" s="146"/>
      <c r="F110" s="135"/>
      <c r="G110" s="138" t="s">
        <v>137</v>
      </c>
      <c r="H110" s="156" t="s">
        <v>26</v>
      </c>
      <c r="I110" s="145"/>
      <c r="J110" s="145"/>
      <c r="K110" s="146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Z110" s="135"/>
    </row>
    <row r="111" customFormat="false" ht="18.75" hidden="false" customHeight="true" outlineLevel="0" collapsed="false">
      <c r="A111" s="138"/>
      <c r="B111" s="145"/>
      <c r="C111" s="145"/>
      <c r="D111" s="145"/>
      <c r="E111" s="146"/>
      <c r="F111" s="135"/>
      <c r="G111" s="138"/>
      <c r="H111" s="145"/>
      <c r="I111" s="145"/>
      <c r="J111" s="145"/>
      <c r="K111" s="146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Z111" s="135"/>
    </row>
    <row r="112" customFormat="false" ht="18.75" hidden="false" customHeight="true" outlineLevel="0" collapsed="false">
      <c r="A112" s="138" t="s">
        <v>138</v>
      </c>
      <c r="B112" s="145"/>
      <c r="C112" s="145"/>
      <c r="D112" s="111" t="n">
        <v>10000</v>
      </c>
      <c r="E112" s="112" t="n">
        <v>6000</v>
      </c>
      <c r="F112" s="135"/>
      <c r="G112" s="138" t="s">
        <v>138</v>
      </c>
      <c r="H112" s="145"/>
      <c r="I112" s="145"/>
      <c r="J112" s="111" t="n">
        <v>10000</v>
      </c>
      <c r="K112" s="112" t="n">
        <v>5000</v>
      </c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 t="s">
        <v>139</v>
      </c>
      <c r="B113" s="145"/>
      <c r="C113" s="145"/>
      <c r="D113" s="210" t="n">
        <f aca="false">E113</f>
        <v>2000</v>
      </c>
      <c r="E113" s="112" t="n">
        <v>2000</v>
      </c>
      <c r="F113" s="135"/>
      <c r="G113" s="138" t="s">
        <v>139</v>
      </c>
      <c r="H113" s="145"/>
      <c r="I113" s="145"/>
      <c r="J113" s="210" t="n">
        <f aca="false">K113</f>
        <v>7000</v>
      </c>
      <c r="K113" s="112" t="n">
        <v>7000</v>
      </c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138" t="s">
        <v>140</v>
      </c>
      <c r="B114" s="145"/>
      <c r="C114" s="145"/>
      <c r="D114" s="210" t="n">
        <f aca="false">D112-D113</f>
        <v>8000</v>
      </c>
      <c r="E114" s="115" t="n">
        <f aca="false">E112-E113</f>
        <v>4000</v>
      </c>
      <c r="F114" s="135"/>
      <c r="G114" s="138" t="s">
        <v>140</v>
      </c>
      <c r="H114" s="145"/>
      <c r="I114" s="145"/>
      <c r="J114" s="210" t="n">
        <f aca="false">J112-J113</f>
        <v>3000</v>
      </c>
      <c r="K114" s="115" t="n">
        <f aca="false">K112-K113</f>
        <v>-2000</v>
      </c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 t="s">
        <v>141</v>
      </c>
      <c r="B115" s="145"/>
      <c r="C115" s="145"/>
      <c r="D115" s="210" t="n">
        <f aca="false">D114-E114</f>
        <v>4000</v>
      </c>
      <c r="E115" s="146"/>
      <c r="F115" s="135"/>
      <c r="G115" s="138" t="s">
        <v>141</v>
      </c>
      <c r="H115" s="145"/>
      <c r="I115" s="145"/>
      <c r="J115" s="210" t="n">
        <f aca="false">J114-K114</f>
        <v>5000</v>
      </c>
      <c r="K115" s="146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/>
      <c r="B116" s="145"/>
      <c r="C116" s="145"/>
      <c r="D116" s="145"/>
      <c r="E116" s="146"/>
      <c r="F116" s="135"/>
      <c r="G116" s="138"/>
      <c r="H116" s="145"/>
      <c r="I116" s="145"/>
      <c r="J116" s="145"/>
      <c r="K116" s="146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80" t="s">
        <v>142</v>
      </c>
      <c r="B117" s="181"/>
      <c r="C117" s="181"/>
      <c r="D117" s="181"/>
      <c r="E117" s="203" t="n">
        <f aca="false">D99</f>
        <v>1000</v>
      </c>
      <c r="F117" s="135"/>
      <c r="G117" s="180" t="s">
        <v>142</v>
      </c>
      <c r="H117" s="181"/>
      <c r="I117" s="181"/>
      <c r="J117" s="181"/>
      <c r="K117" s="203" t="n">
        <f aca="false">J99</f>
        <v>0</v>
      </c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52</v>
      </c>
      <c r="B118" s="145"/>
      <c r="C118" s="145"/>
      <c r="D118" s="145"/>
      <c r="E118" s="143" t="n">
        <f aca="false">A102</f>
        <v>199.99</v>
      </c>
      <c r="F118" s="135"/>
      <c r="G118" s="138" t="s">
        <v>52</v>
      </c>
      <c r="H118" s="145"/>
      <c r="I118" s="145"/>
      <c r="J118" s="145"/>
      <c r="K118" s="143" t="n">
        <f aca="false">G102</f>
        <v>239.988</v>
      </c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211" t="s">
        <v>143</v>
      </c>
      <c r="B119" s="178"/>
      <c r="C119" s="178"/>
      <c r="D119" s="178"/>
      <c r="E119" s="185" t="n">
        <f aca="false">(E118+E117)-D115</f>
        <v>-2800.01</v>
      </c>
      <c r="F119" s="135"/>
      <c r="G119" s="211" t="s">
        <v>143</v>
      </c>
      <c r="H119" s="178"/>
      <c r="I119" s="178"/>
      <c r="J119" s="178"/>
      <c r="K119" s="185" t="n">
        <f aca="false">(K118+K117)-J115</f>
        <v>-4760.012</v>
      </c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/>
      <c r="B120" s="145"/>
      <c r="C120" s="145"/>
      <c r="D120" s="145"/>
      <c r="E120" s="146"/>
      <c r="F120" s="135"/>
      <c r="G120" s="138"/>
      <c r="H120" s="145"/>
      <c r="I120" s="145"/>
      <c r="J120" s="145"/>
      <c r="K120" s="146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/>
      <c r="B121" s="145"/>
      <c r="C121" s="145"/>
      <c r="D121" s="145"/>
      <c r="E121" s="146"/>
      <c r="F121" s="135"/>
      <c r="G121" s="138"/>
      <c r="H121" s="145"/>
      <c r="I121" s="145"/>
      <c r="J121" s="145"/>
      <c r="K121" s="146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29" t="s">
        <v>144</v>
      </c>
      <c r="B122" s="29"/>
      <c r="C122" s="29"/>
      <c r="D122" s="29"/>
      <c r="E122" s="29"/>
      <c r="F122" s="135"/>
      <c r="G122" s="29" t="s">
        <v>144</v>
      </c>
      <c r="H122" s="29"/>
      <c r="I122" s="29"/>
      <c r="J122" s="29"/>
      <c r="K122" s="29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38"/>
      <c r="B123" s="145"/>
      <c r="C123" s="145"/>
      <c r="D123" s="145"/>
      <c r="E123" s="146"/>
      <c r="F123" s="135"/>
      <c r="G123" s="138"/>
      <c r="H123" s="145"/>
      <c r="I123" s="145"/>
      <c r="J123" s="145"/>
      <c r="K123" s="146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145</v>
      </c>
      <c r="B124" s="117" t="n">
        <v>0</v>
      </c>
      <c r="C124" s="117"/>
      <c r="D124" s="145"/>
      <c r="E124" s="146"/>
      <c r="F124" s="135"/>
      <c r="G124" s="138" t="s">
        <v>145</v>
      </c>
      <c r="H124" s="117" t="n">
        <v>0</v>
      </c>
      <c r="I124" s="117"/>
      <c r="J124" s="145"/>
      <c r="K124" s="146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138"/>
      <c r="B125" s="145"/>
      <c r="C125" s="145"/>
      <c r="D125" s="145"/>
      <c r="E125" s="146"/>
      <c r="F125" s="135"/>
      <c r="G125" s="138"/>
      <c r="H125" s="145"/>
      <c r="I125" s="145"/>
      <c r="J125" s="145"/>
      <c r="K125" s="146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138" t="s">
        <v>81</v>
      </c>
      <c r="B126" s="145" t="s">
        <v>82</v>
      </c>
      <c r="C126" s="145"/>
      <c r="D126" s="145" t="s">
        <v>84</v>
      </c>
      <c r="E126" s="146"/>
      <c r="F126" s="135"/>
      <c r="G126" s="138" t="s">
        <v>81</v>
      </c>
      <c r="H126" s="145" t="s">
        <v>82</v>
      </c>
      <c r="I126" s="145"/>
      <c r="J126" s="145" t="s">
        <v>84</v>
      </c>
      <c r="K126" s="146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B151</f>
        <v>5000</v>
      </c>
      <c r="C127" s="45"/>
      <c r="D127" s="118" t="n">
        <f aca="false">B58</f>
        <v>3</v>
      </c>
      <c r="E127" s="146"/>
      <c r="F127" s="135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6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138"/>
      <c r="B128" s="145"/>
      <c r="C128" s="145"/>
      <c r="D128" s="145"/>
      <c r="E128" s="146"/>
      <c r="F128" s="135"/>
      <c r="G128" s="138"/>
      <c r="H128" s="145"/>
      <c r="I128" s="145"/>
      <c r="J128" s="145"/>
      <c r="K128" s="146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212" t="s">
        <v>146</v>
      </c>
      <c r="B129" s="213" t="s">
        <v>147</v>
      </c>
      <c r="C129" s="213"/>
      <c r="D129" s="213" t="s">
        <v>112</v>
      </c>
      <c r="E129" s="146"/>
      <c r="F129" s="135"/>
      <c r="G129" s="212" t="s">
        <v>148</v>
      </c>
      <c r="H129" s="213" t="s">
        <v>149</v>
      </c>
      <c r="I129" s="213"/>
      <c r="J129" s="213" t="s">
        <v>150</v>
      </c>
      <c r="K129" s="146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370"/>
    </row>
    <row r="130" customFormat="false" ht="18.75" hidden="false" customHeight="true" outlineLevel="0" collapsed="false">
      <c r="A130" s="122" t="n">
        <f aca="false">B90</f>
        <v>567.899522656985</v>
      </c>
      <c r="B130" s="214" t="n">
        <f aca="false">IF(A105="YES", B89*B57, 0)</f>
        <v>0</v>
      </c>
      <c r="C130" s="214"/>
      <c r="D130" s="214" t="n">
        <f aca="false">B91</f>
        <v>567.899522656985</v>
      </c>
      <c r="E130" s="130"/>
      <c r="F130" s="135"/>
      <c r="G130" s="122" t="n">
        <f aca="false">H90</f>
        <v>1180.02508941778</v>
      </c>
      <c r="H130" s="214" t="n">
        <f aca="false">IF(G105="YES", H89*H57, 0)</f>
        <v>0</v>
      </c>
      <c r="I130" s="214"/>
      <c r="J130" s="124" t="n">
        <f aca="false">H91</f>
        <v>1180.02508941778</v>
      </c>
      <c r="K130" s="130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370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370"/>
    </row>
    <row r="132" customFormat="false" ht="18.75" hidden="false" customHeight="true" outlineLevel="0" collapsed="false">
      <c r="A132" s="138" t="s">
        <v>151</v>
      </c>
      <c r="B132" s="145" t="s">
        <v>152</v>
      </c>
      <c r="C132" s="145"/>
      <c r="D132" s="145" t="s">
        <v>153</v>
      </c>
      <c r="E132" s="146"/>
      <c r="F132" s="135"/>
      <c r="G132" s="138" t="s">
        <v>154</v>
      </c>
      <c r="H132" s="145" t="s">
        <v>155</v>
      </c>
      <c r="I132" s="145"/>
      <c r="J132" s="145" t="s">
        <v>156</v>
      </c>
      <c r="K132" s="146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125" t="n">
        <f aca="false">B90*B57</f>
        <v>5111.09570391287</v>
      </c>
      <c r="B133" s="215" t="n">
        <f aca="false">IF(A105="YES", B89*B57, 0)</f>
        <v>0</v>
      </c>
      <c r="C133" s="155"/>
      <c r="D133" s="128" t="n">
        <f aca="false">B91*B57</f>
        <v>5111.09570391287</v>
      </c>
      <c r="E133" s="146"/>
      <c r="F133" s="135"/>
      <c r="G133" s="125" t="n">
        <f aca="false">H90*H57</f>
        <v>1180.02508941778</v>
      </c>
      <c r="H133" s="215" t="n">
        <f aca="false">IF(G105="YES", H89*H57, 0)</f>
        <v>0</v>
      </c>
      <c r="I133" s="155"/>
      <c r="J133" s="128" t="n">
        <f aca="false">H91*H57</f>
        <v>1180.02508941778</v>
      </c>
      <c r="K133" s="146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138" t="s">
        <v>157</v>
      </c>
      <c r="B135" s="145" t="s">
        <v>158</v>
      </c>
      <c r="C135" s="145"/>
      <c r="D135" s="145" t="s">
        <v>159</v>
      </c>
      <c r="E135" s="146"/>
      <c r="F135" s="135"/>
      <c r="G135" s="138" t="s">
        <v>160</v>
      </c>
      <c r="H135" s="145" t="s">
        <v>161</v>
      </c>
      <c r="I135" s="145"/>
      <c r="J135" s="145" t="s">
        <v>162</v>
      </c>
      <c r="K135" s="146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9" t="n">
        <f aca="false">E15*0.000006</f>
        <v>0.35115</v>
      </c>
      <c r="B136" s="215" t="n">
        <f aca="false">IF(A105="YES", E15*0.000002, 0)</f>
        <v>0</v>
      </c>
      <c r="C136" s="215"/>
      <c r="D136" s="215" t="n">
        <f aca="false">A136+B136</f>
        <v>0.35115</v>
      </c>
      <c r="E136" s="130"/>
      <c r="F136" s="135"/>
      <c r="G136" s="129" t="n">
        <f aca="false">E15*0.000006</f>
        <v>0.35115</v>
      </c>
      <c r="H136" s="215" t="n">
        <f aca="false">IF(G105="YES", E15*0.000002, 0)</f>
        <v>0.11705</v>
      </c>
      <c r="I136" s="215"/>
      <c r="J136" s="215" t="n">
        <f aca="false">G136+H136</f>
        <v>0.4682</v>
      </c>
      <c r="K136" s="130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163</v>
      </c>
      <c r="B138" s="145" t="s">
        <v>164</v>
      </c>
      <c r="C138" s="145"/>
      <c r="D138" s="145" t="s">
        <v>165</v>
      </c>
      <c r="E138" s="146"/>
      <c r="F138" s="135"/>
      <c r="G138" s="138" t="s">
        <v>166</v>
      </c>
      <c r="H138" s="145" t="s">
        <v>164</v>
      </c>
      <c r="I138" s="145"/>
      <c r="J138" s="145" t="s">
        <v>165</v>
      </c>
      <c r="K138" s="146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9" t="n">
        <f aca="false">A102</f>
        <v>199.99</v>
      </c>
      <c r="B139" s="215" t="n">
        <f aca="false">B67</f>
        <v>578.85</v>
      </c>
      <c r="C139" s="215"/>
      <c r="D139" s="215" t="n">
        <f aca="false">B102*0.9</f>
        <v>0</v>
      </c>
      <c r="E139" s="130"/>
      <c r="F139" s="135"/>
      <c r="G139" s="129" t="n">
        <f aca="false">G102</f>
        <v>239.988</v>
      </c>
      <c r="H139" s="215" t="n">
        <f aca="false">H67</f>
        <v>289.425</v>
      </c>
      <c r="I139" s="215"/>
      <c r="J139" s="215" t="n">
        <f aca="false">H102*0.9</f>
        <v>1080</v>
      </c>
      <c r="K139" s="130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167</v>
      </c>
      <c r="B141" s="145" t="s">
        <v>168</v>
      </c>
      <c r="C141" s="145"/>
      <c r="D141" s="145" t="s">
        <v>169</v>
      </c>
      <c r="E141" s="146"/>
      <c r="F141" s="135"/>
      <c r="G141" s="138" t="s">
        <v>167</v>
      </c>
      <c r="H141" s="145" t="s">
        <v>168</v>
      </c>
      <c r="I141" s="145"/>
      <c r="J141" s="145" t="s">
        <v>169</v>
      </c>
      <c r="K141" s="146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IF(A105="YES", B89*0.1, 0)</f>
        <v>0</v>
      </c>
      <c r="B142" s="215" t="n">
        <f aca="false">A102-100</f>
        <v>99.99</v>
      </c>
      <c r="C142" s="215"/>
      <c r="D142" s="215" t="n">
        <f aca="false">(B139+D139+A142+B142)-B145</f>
        <v>477.799019731241</v>
      </c>
      <c r="E142" s="130"/>
      <c r="F142" s="135"/>
      <c r="G142" s="129" t="n">
        <f aca="false">IF(G105="YES", H89*0.1, 0)</f>
        <v>0</v>
      </c>
      <c r="H142" s="215" t="n">
        <f aca="false">G102-100</f>
        <v>139.988</v>
      </c>
      <c r="I142" s="215"/>
      <c r="J142" s="215" t="n">
        <f aca="false">(H139+J139+G142+H142)-H145</f>
        <v>1509.413</v>
      </c>
      <c r="K142" s="130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170</v>
      </c>
      <c r="B144" s="145" t="s">
        <v>171</v>
      </c>
      <c r="C144" s="145"/>
      <c r="D144" s="145"/>
      <c r="E144" s="146"/>
      <c r="F144" s="135"/>
      <c r="G144" s="138" t="s">
        <v>170</v>
      </c>
      <c r="H144" s="145" t="s">
        <v>171</v>
      </c>
      <c r="I144" s="145"/>
      <c r="J144" s="145"/>
      <c r="K144" s="146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5" t="n">
        <f aca="false">(B139+D139+A142+B142)*(A145/B64)</f>
        <v>201.040980268759</v>
      </c>
      <c r="C145" s="145"/>
      <c r="D145" s="145"/>
      <c r="E145" s="146"/>
      <c r="F145" s="135"/>
      <c r="G145" s="129" t="n">
        <f aca="false">IF((1200-H102) &lt;= 0, 0, (1200-H102))</f>
        <v>0</v>
      </c>
      <c r="H145" s="215" t="n">
        <f aca="false">(H139+J139+G142+H142)*(G145/H64)</f>
        <v>0</v>
      </c>
      <c r="I145" s="145"/>
      <c r="J145" s="145"/>
      <c r="K145" s="146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/>
      <c r="B147" s="145"/>
      <c r="C147" s="145"/>
      <c r="D147" s="145"/>
      <c r="E147" s="146"/>
      <c r="F147" s="135"/>
      <c r="G147" s="138"/>
      <c r="H147" s="145"/>
      <c r="I147" s="145"/>
      <c r="J147" s="145"/>
      <c r="K147" s="146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72" t="s">
        <v>174</v>
      </c>
      <c r="B148" s="145"/>
      <c r="C148" s="145"/>
      <c r="D148" s="173"/>
      <c r="E148" s="174"/>
      <c r="F148" s="135"/>
      <c r="G148" s="172" t="s">
        <v>174</v>
      </c>
      <c r="H148" s="145"/>
      <c r="I148" s="145"/>
      <c r="J148" s="173"/>
      <c r="K148" s="174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75"/>
      <c r="C149" s="175"/>
      <c r="D149" s="145"/>
      <c r="E149" s="146"/>
      <c r="F149" s="135"/>
      <c r="G149" s="138"/>
      <c r="H149" s="175"/>
      <c r="I149" s="175"/>
      <c r="J149" s="145"/>
      <c r="K149" s="146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71" t="s">
        <v>81</v>
      </c>
      <c r="B150" s="72" t="s">
        <v>82</v>
      </c>
      <c r="C150" s="72"/>
      <c r="D150" s="145"/>
      <c r="E150" s="146"/>
      <c r="F150" s="135"/>
      <c r="G150" s="71" t="s">
        <v>81</v>
      </c>
      <c r="H150" s="72" t="s">
        <v>82</v>
      </c>
      <c r="I150" s="72"/>
      <c r="J150" s="145"/>
      <c r="K150" s="146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5"/>
      <c r="E151" s="146"/>
      <c r="F151" s="135"/>
      <c r="G151" s="71"/>
      <c r="H151" s="73" t="n">
        <f aca="false">B51</f>
        <v>5000</v>
      </c>
      <c r="I151" s="73"/>
      <c r="J151" s="145"/>
      <c r="K151" s="146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567.899522656985</v>
      </c>
      <c r="C152" s="75"/>
      <c r="D152" s="145"/>
      <c r="E152" s="146"/>
      <c r="F152" s="135"/>
      <c r="G152" s="74" t="n">
        <f aca="false">A52</f>
        <v>12</v>
      </c>
      <c r="H152" s="75" t="n">
        <f aca="false">H91</f>
        <v>1180.02508941778</v>
      </c>
      <c r="I152" s="75"/>
      <c r="J152" s="145"/>
      <c r="K152" s="146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9.5" hidden="false" customHeight="true" outlineLevel="0" collapsed="false">
      <c r="A154" s="138"/>
      <c r="B154" s="145"/>
      <c r="C154" s="145"/>
      <c r="D154" s="145"/>
      <c r="E154" s="146"/>
      <c r="F154" s="135"/>
      <c r="G154" s="138"/>
      <c r="H154" s="145"/>
      <c r="I154" s="145"/>
      <c r="J154" s="145"/>
      <c r="K154" s="146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45"/>
      <c r="C155" s="145"/>
      <c r="D155" s="145"/>
      <c r="E155" s="146"/>
      <c r="F155" s="135"/>
      <c r="G155" s="138"/>
      <c r="H155" s="145"/>
      <c r="I155" s="145"/>
      <c r="J155" s="145"/>
      <c r="K155" s="146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138"/>
      <c r="B156" s="145"/>
      <c r="C156" s="145"/>
      <c r="D156" s="145"/>
      <c r="E156" s="146"/>
      <c r="F156" s="135"/>
      <c r="G156" s="138"/>
      <c r="H156" s="145"/>
      <c r="I156" s="145"/>
      <c r="J156" s="145"/>
      <c r="K156" s="146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177"/>
      <c r="B157" s="178"/>
      <c r="C157" s="178"/>
      <c r="D157" s="178"/>
      <c r="E157" s="179"/>
      <c r="F157" s="135"/>
      <c r="G157" s="177"/>
      <c r="H157" s="178"/>
      <c r="I157" s="178"/>
      <c r="J157" s="178"/>
      <c r="K157" s="179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216" width="41.67" collapsed="false" outlineLevel="0"/>
    <col min="2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3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3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3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/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223" t="n">
        <v>0</v>
      </c>
      <c r="C4" s="223"/>
      <c r="D4" s="224" t="n">
        <v>0</v>
      </c>
      <c r="E4" s="224"/>
      <c r="F4" s="224" t="n">
        <v>0</v>
      </c>
      <c r="G4" s="224"/>
      <c r="H4" s="225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/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/>
      <c r="F9" s="226"/>
      <c r="G9" s="227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/>
      <c r="F10" s="229"/>
      <c r="G10" s="23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23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23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/>
      <c r="F13" s="229"/>
      <c r="G13" s="23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/>
      <c r="F14" s="229"/>
      <c r="G14" s="23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23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/>
      <c r="F16" s="229"/>
      <c r="G16" s="23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114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</row>
    <row r="24" customFormat="false" ht="46.5" hidden="false" customHeight="true" outlineLevel="0" collapsed="false">
      <c r="A24" s="237" t="s">
        <v>192</v>
      </c>
      <c r="B24" s="237"/>
      <c r="C24" s="237"/>
      <c r="D24" s="237"/>
      <c r="E24" s="237"/>
      <c r="F24" s="237"/>
      <c r="G24" s="237"/>
      <c r="H24" s="237"/>
      <c r="I24" s="50"/>
      <c r="J24" s="50"/>
      <c r="K24" s="50"/>
    </row>
    <row r="25" customFormat="false" ht="17.35" hidden="false" customHeight="false" outlineLevel="0" collapsed="false">
      <c r="A25" s="238"/>
      <c r="B25" s="239"/>
      <c r="C25" s="239"/>
      <c r="D25" s="239"/>
      <c r="E25" s="239"/>
      <c r="F25" s="239"/>
      <c r="G25" s="239"/>
      <c r="H25" s="102"/>
      <c r="I25" s="50"/>
      <c r="J25" s="50"/>
      <c r="K25" s="50"/>
    </row>
    <row r="26" customFormat="false" ht="22.05" hidden="false" customHeight="false" outlineLevel="0" collapsed="false">
      <c r="A26" s="240" t="s">
        <v>193</v>
      </c>
      <c r="B26" s="240"/>
      <c r="C26" s="240"/>
      <c r="D26" s="240"/>
      <c r="E26" s="240"/>
      <c r="F26" s="240"/>
      <c r="G26" s="240"/>
      <c r="H26" s="240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1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1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1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1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2" t="s">
        <v>196</v>
      </c>
      <c r="B31" s="12"/>
      <c r="C31" s="243" t="s">
        <v>197</v>
      </c>
      <c r="D31" s="243"/>
      <c r="E31" s="12"/>
      <c r="F31" s="243"/>
      <c r="G31" s="243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1"/>
      <c r="B32" s="244"/>
      <c r="C32" s="244"/>
      <c r="D32" s="244"/>
      <c r="E32" s="244"/>
      <c r="F32" s="244"/>
      <c r="G32" s="244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1" t="s">
        <v>40</v>
      </c>
      <c r="B33" s="12"/>
      <c r="C33" s="245" t="s">
        <v>41</v>
      </c>
      <c r="D33" s="114"/>
      <c r="E33" s="12"/>
      <c r="F33" s="126" t="s">
        <v>42</v>
      </c>
      <c r="G33" s="114"/>
      <c r="H33" s="246"/>
      <c r="I33" s="50"/>
      <c r="J33" s="32"/>
      <c r="K33" s="47"/>
    </row>
    <row r="34" customFormat="false" ht="17.35" hidden="false" customHeight="false" outlineLevel="0" collapsed="false">
      <c r="A34" s="242" t="s">
        <v>198</v>
      </c>
      <c r="B34" s="12"/>
      <c r="C34" s="243" t="s">
        <v>45</v>
      </c>
      <c r="D34" s="243"/>
      <c r="E34" s="12"/>
      <c r="F34" s="243" t="n">
        <f aca="false">(A34/12)*C34</f>
        <v>13750</v>
      </c>
      <c r="G34" s="243"/>
      <c r="H34" s="246"/>
      <c r="I34" s="50"/>
      <c r="J34" s="50"/>
      <c r="K34" s="50"/>
    </row>
    <row r="35" customFormat="false" ht="20.85" hidden="false" customHeight="false" outlineLevel="0" collapsed="false">
      <c r="A35" s="221"/>
      <c r="B35" s="12"/>
      <c r="C35" s="12"/>
      <c r="E35" s="12"/>
      <c r="F35" s="244"/>
      <c r="G35" s="244"/>
      <c r="H35" s="246"/>
      <c r="I35" s="50"/>
      <c r="J35" s="53" t="s">
        <v>50</v>
      </c>
      <c r="K35" s="247" t="n">
        <v>0.0559</v>
      </c>
    </row>
    <row r="36" customFormat="false" ht="17.35" hidden="false" customHeight="false" outlineLevel="0" collapsed="false">
      <c r="A36" s="241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6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1" t="n">
        <f aca="false">H9+H10+H13+H14</f>
        <v>48877.5</v>
      </c>
      <c r="B37" s="12"/>
      <c r="C37" s="243" t="s">
        <v>49</v>
      </c>
      <c r="D37" s="243"/>
      <c r="E37" s="12"/>
      <c r="F37" s="244" t="n">
        <f aca="false">A37-C37</f>
        <v>47877.5</v>
      </c>
      <c r="G37" s="244"/>
      <c r="H37" s="246"/>
      <c r="I37" s="50"/>
      <c r="J37" s="50"/>
      <c r="K37" s="50"/>
    </row>
    <row r="38" customFormat="false" ht="17.35" hidden="false" customHeight="false" outlineLevel="0" collapsed="false">
      <c r="A38" s="241"/>
      <c r="B38" s="244"/>
      <c r="C38" s="244"/>
      <c r="D38" s="244"/>
      <c r="E38" s="244"/>
      <c r="F38" s="244"/>
      <c r="G38" s="244"/>
      <c r="H38" s="246"/>
      <c r="J38" s="56" t="s">
        <v>56</v>
      </c>
      <c r="K38" s="56"/>
      <c r="L38" s="50"/>
    </row>
    <row r="39" customFormat="false" ht="17.35" hidden="false" customHeight="false" outlineLevel="0" collapsed="false">
      <c r="A39" s="241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6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2" t="s">
        <v>44</v>
      </c>
      <c r="B40" s="12"/>
      <c r="C40" s="248" t="n">
        <f aca="false">A34-1</f>
        <v>32</v>
      </c>
      <c r="D40" s="248"/>
      <c r="E40" s="12"/>
      <c r="F40" s="243" t="s">
        <v>55</v>
      </c>
      <c r="G40" s="243"/>
      <c r="H40" s="246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1"/>
      <c r="B41" s="244"/>
      <c r="C41" s="244"/>
      <c r="D41" s="244"/>
      <c r="E41" s="244"/>
      <c r="F41" s="244"/>
      <c r="G41" s="244"/>
      <c r="H41" s="246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1" t="s">
        <v>178</v>
      </c>
      <c r="B42" s="12"/>
      <c r="C42" s="126" t="s">
        <v>59</v>
      </c>
      <c r="D42" s="114"/>
      <c r="E42" s="12"/>
      <c r="F42" s="126" t="s">
        <v>60</v>
      </c>
      <c r="G42" s="114"/>
      <c r="H42" s="246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2" t="s">
        <v>62</v>
      </c>
      <c r="B43" s="12"/>
      <c r="C43" s="243" t="s">
        <v>63</v>
      </c>
      <c r="D43" s="243"/>
      <c r="E43" s="12"/>
      <c r="F43" s="243" t="s">
        <v>25</v>
      </c>
      <c r="G43" s="243"/>
      <c r="H43" s="246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1"/>
      <c r="B44" s="244"/>
      <c r="C44" s="244"/>
      <c r="D44" s="244"/>
      <c r="E44" s="244"/>
      <c r="F44" s="244"/>
      <c r="G44" s="244"/>
      <c r="H44" s="246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1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6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2" t="n">
        <v>0</v>
      </c>
      <c r="B46" s="12"/>
      <c r="C46" s="243" t="n">
        <v>1</v>
      </c>
      <c r="D46" s="243"/>
      <c r="E46" s="12"/>
      <c r="F46" s="243" t="n">
        <v>0</v>
      </c>
      <c r="G46" s="243"/>
      <c r="H46" s="246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1"/>
      <c r="B47" s="244"/>
      <c r="C47" s="244"/>
      <c r="D47" s="244"/>
      <c r="E47" s="244"/>
      <c r="F47" s="244"/>
      <c r="G47" s="244"/>
      <c r="H47" s="246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1" t="s">
        <v>202</v>
      </c>
      <c r="B48" s="244"/>
      <c r="C48" s="244"/>
      <c r="D48" s="244"/>
      <c r="E48" s="244"/>
      <c r="F48" s="244"/>
      <c r="G48" s="244"/>
      <c r="H48" s="246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1" t="n">
        <f aca="false">C46+F46</f>
        <v>1</v>
      </c>
      <c r="B49" s="244"/>
      <c r="C49" s="244"/>
      <c r="D49" s="244"/>
      <c r="E49" s="12"/>
      <c r="F49" s="244"/>
      <c r="G49" s="244"/>
      <c r="H49" s="246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9"/>
      <c r="B50" s="250"/>
      <c r="C50" s="250"/>
      <c r="D50" s="250"/>
      <c r="E50" s="250"/>
      <c r="F50" s="250"/>
      <c r="G50" s="251"/>
      <c r="H50" s="101"/>
      <c r="I50" s="50"/>
      <c r="J50" s="50"/>
      <c r="K50" s="50"/>
    </row>
    <row r="51" customFormat="false" ht="19.5" hidden="false" customHeight="true" outlineLevel="0" collapsed="false">
      <c r="A51" s="238"/>
      <c r="B51" s="239"/>
      <c r="C51" s="239"/>
      <c r="D51" s="239"/>
      <c r="E51" s="239"/>
      <c r="F51" s="239"/>
      <c r="G51" s="239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2" t="n">
        <v>1</v>
      </c>
      <c r="B53" s="12"/>
      <c r="C53" s="253" t="n">
        <v>1</v>
      </c>
      <c r="D53" s="253"/>
      <c r="E53" s="253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9"/>
      <c r="B54" s="250"/>
      <c r="C54" s="250"/>
      <c r="D54" s="250"/>
      <c r="E54" s="250"/>
      <c r="F54" s="250"/>
      <c r="G54" s="250"/>
      <c r="H54" s="84"/>
      <c r="I54" s="50"/>
      <c r="J54" s="50"/>
      <c r="K54" s="50"/>
    </row>
    <row r="55" customFormat="false" ht="17.35" hidden="false" customHeight="false" outlineLevel="0" collapsed="false">
      <c r="A55" s="238"/>
      <c r="B55" s="239"/>
      <c r="C55" s="239"/>
      <c r="D55" s="239"/>
      <c r="E55" s="239"/>
      <c r="F55" s="239"/>
      <c r="G55" s="239"/>
      <c r="H55" s="102"/>
      <c r="I55" s="50"/>
      <c r="J55" s="50"/>
      <c r="K55" s="50"/>
    </row>
    <row r="56" customFormat="false" ht="17.35" hidden="false" customHeight="false" outlineLevel="0" collapsed="false">
      <c r="A56" s="254" t="s">
        <v>205</v>
      </c>
      <c r="B56" s="12"/>
      <c r="C56" s="12"/>
      <c r="D56" s="255"/>
      <c r="E56" s="255"/>
      <c r="F56" s="255"/>
      <c r="G56" s="255"/>
      <c r="H56" s="256"/>
      <c r="I56" s="50"/>
      <c r="J56" s="50"/>
      <c r="K56" s="50"/>
    </row>
    <row r="57" customFormat="false" ht="19.5" hidden="false" customHeight="true" outlineLevel="0" collapsed="false">
      <c r="A57" s="221"/>
      <c r="B57" s="257"/>
      <c r="C57" s="257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8" t="s">
        <v>81</v>
      </c>
      <c r="B58" s="259" t="s">
        <v>82</v>
      </c>
      <c r="C58" s="259"/>
      <c r="D58" s="259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8"/>
      <c r="B59" s="260" t="str">
        <f aca="false">K30</f>
        <v>5000</v>
      </c>
      <c r="C59" s="260"/>
      <c r="D59" s="260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1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1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9"/>
      <c r="B62" s="250"/>
      <c r="C62" s="250"/>
      <c r="D62" s="250"/>
      <c r="E62" s="250"/>
      <c r="F62" s="250"/>
      <c r="G62" s="250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6"/>
      <c r="B65" s="236"/>
      <c r="C65" s="236"/>
      <c r="D65" s="236"/>
      <c r="E65" s="236"/>
      <c r="F65" s="236"/>
      <c r="G65" s="236"/>
      <c r="H65" s="236"/>
      <c r="J65" s="50"/>
      <c r="K65" s="50"/>
    </row>
    <row r="66" customFormat="false" ht="17.35" hidden="false" customHeight="false" outlineLevel="0" collapsed="false">
      <c r="A66" s="238"/>
      <c r="B66" s="239"/>
      <c r="C66" s="239"/>
      <c r="D66" s="239"/>
      <c r="E66" s="262"/>
      <c r="F66" s="262"/>
      <c r="G66" s="262"/>
      <c r="H66" s="102"/>
      <c r="J66" s="238"/>
      <c r="K66" s="239"/>
      <c r="L66" s="239"/>
      <c r="M66" s="239"/>
      <c r="N66" s="262"/>
      <c r="O66" s="262"/>
      <c r="P66" s="262"/>
      <c r="Q66" s="102"/>
      <c r="S66" s="238"/>
      <c r="T66" s="239"/>
      <c r="U66" s="239"/>
      <c r="V66" s="239"/>
      <c r="W66" s="262"/>
      <c r="X66" s="262"/>
      <c r="Y66" s="262"/>
      <c r="Z66" s="102"/>
      <c r="AB66" s="238"/>
      <c r="AC66" s="239"/>
      <c r="AD66" s="239"/>
      <c r="AE66" s="239"/>
      <c r="AF66" s="262"/>
      <c r="AG66" s="262"/>
      <c r="AH66" s="262"/>
      <c r="AI66" s="102"/>
    </row>
    <row r="67" customFormat="false" ht="17.35" hidden="false" customHeight="false" outlineLevel="0" collapsed="false">
      <c r="A67" s="221" t="s">
        <v>83</v>
      </c>
      <c r="B67" s="12" t="n">
        <v>1</v>
      </c>
      <c r="C67" s="12"/>
      <c r="D67" s="12"/>
      <c r="E67" s="236"/>
      <c r="F67" s="236"/>
      <c r="G67" s="236"/>
      <c r="H67" s="11"/>
      <c r="J67" s="221" t="s">
        <v>83</v>
      </c>
      <c r="K67" s="12" t="n">
        <v>1</v>
      </c>
      <c r="L67" s="12"/>
      <c r="M67" s="12"/>
      <c r="N67" s="236"/>
      <c r="O67" s="236"/>
      <c r="P67" s="236"/>
      <c r="Q67" s="11"/>
      <c r="S67" s="221" t="s">
        <v>83</v>
      </c>
      <c r="T67" s="12" t="n">
        <v>1</v>
      </c>
      <c r="U67" s="12"/>
      <c r="V67" s="12"/>
      <c r="W67" s="236"/>
      <c r="X67" s="236"/>
      <c r="Y67" s="236"/>
      <c r="Z67" s="11"/>
      <c r="AB67" s="221" t="s">
        <v>83</v>
      </c>
      <c r="AC67" s="12" t="n">
        <v>1</v>
      </c>
      <c r="AD67" s="12"/>
      <c r="AE67" s="12"/>
      <c r="AF67" s="236"/>
      <c r="AG67" s="236"/>
      <c r="AH67" s="236"/>
      <c r="AI67" s="11"/>
    </row>
    <row r="68" customFormat="false" ht="17.35" hidden="false" customHeight="false" outlineLevel="0" collapsed="false">
      <c r="A68" s="221" t="s">
        <v>84</v>
      </c>
      <c r="B68" s="12" t="n">
        <f aca="false">K29-B67</f>
        <v>32</v>
      </c>
      <c r="C68" s="12"/>
      <c r="D68" s="12"/>
      <c r="E68" s="236"/>
      <c r="F68" s="236"/>
      <c r="G68" s="236"/>
      <c r="H68" s="11"/>
      <c r="J68" s="221" t="s">
        <v>84</v>
      </c>
      <c r="K68" s="12" t="n">
        <f aca="false">K29-K67</f>
        <v>32</v>
      </c>
      <c r="L68" s="12"/>
      <c r="M68" s="12"/>
      <c r="N68" s="236"/>
      <c r="O68" s="236"/>
      <c r="P68" s="236"/>
      <c r="Q68" s="11"/>
      <c r="S68" s="221" t="s">
        <v>84</v>
      </c>
      <c r="T68" s="12" t="n">
        <f aca="false">K29-T67</f>
        <v>32</v>
      </c>
      <c r="U68" s="12"/>
      <c r="V68" s="12"/>
      <c r="W68" s="236"/>
      <c r="X68" s="236"/>
      <c r="Y68" s="236"/>
      <c r="Z68" s="11"/>
      <c r="AB68" s="221" t="s">
        <v>84</v>
      </c>
      <c r="AC68" s="12" t="n">
        <f aca="false">K29-AC67</f>
        <v>32</v>
      </c>
      <c r="AD68" s="12"/>
      <c r="AE68" s="12"/>
      <c r="AF68" s="236"/>
      <c r="AG68" s="236"/>
      <c r="AH68" s="236"/>
      <c r="AI68" s="11"/>
    </row>
    <row r="69" customFormat="false" ht="17.35" hidden="false" customHeight="false" outlineLevel="0" collapsed="false">
      <c r="A69" s="263" t="s">
        <v>206</v>
      </c>
      <c r="B69" s="88" t="n">
        <v>10</v>
      </c>
      <c r="C69" s="12"/>
      <c r="D69" s="12"/>
      <c r="E69" s="236"/>
      <c r="F69" s="236"/>
      <c r="G69" s="236"/>
      <c r="H69" s="11"/>
      <c r="J69" s="263" t="s">
        <v>206</v>
      </c>
      <c r="K69" s="88" t="n">
        <v>20</v>
      </c>
      <c r="L69" s="12"/>
      <c r="M69" s="12"/>
      <c r="N69" s="236"/>
      <c r="O69" s="236"/>
      <c r="P69" s="236"/>
      <c r="Q69" s="11"/>
      <c r="S69" s="263" t="s">
        <v>206</v>
      </c>
      <c r="T69" s="88" t="n">
        <v>10</v>
      </c>
      <c r="U69" s="12"/>
      <c r="V69" s="12"/>
      <c r="W69" s="236"/>
      <c r="X69" s="236"/>
      <c r="Y69" s="236"/>
      <c r="Z69" s="11"/>
      <c r="AB69" s="263" t="s">
        <v>206</v>
      </c>
      <c r="AC69" s="88" t="n">
        <v>10</v>
      </c>
      <c r="AD69" s="12"/>
      <c r="AE69" s="12"/>
      <c r="AF69" s="236"/>
      <c r="AG69" s="236"/>
      <c r="AH69" s="236"/>
      <c r="AI69" s="11"/>
    </row>
    <row r="70" customFormat="false" ht="17.35" hidden="false" customHeight="false" outlineLevel="0" collapsed="false">
      <c r="A70" s="221" t="s">
        <v>21</v>
      </c>
      <c r="B70" s="12" t="n">
        <f aca="false">J18</f>
        <v>57225</v>
      </c>
      <c r="C70" s="12"/>
      <c r="D70" s="12"/>
      <c r="E70" s="236"/>
      <c r="F70" s="236"/>
      <c r="G70" s="236"/>
      <c r="H70" s="11"/>
      <c r="J70" s="221" t="s">
        <v>21</v>
      </c>
      <c r="K70" s="12" t="n">
        <f aca="false">J18</f>
        <v>57225</v>
      </c>
      <c r="L70" s="12"/>
      <c r="M70" s="12"/>
      <c r="N70" s="236"/>
      <c r="O70" s="236"/>
      <c r="P70" s="236"/>
      <c r="Q70" s="11"/>
      <c r="S70" s="221" t="s">
        <v>21</v>
      </c>
      <c r="T70" s="12" t="n">
        <f aca="false">J18</f>
        <v>57225</v>
      </c>
      <c r="U70" s="12"/>
      <c r="V70" s="12"/>
      <c r="W70" s="236"/>
      <c r="X70" s="236"/>
      <c r="Y70" s="236"/>
      <c r="Z70" s="11"/>
      <c r="AB70" s="221" t="s">
        <v>21</v>
      </c>
      <c r="AC70" s="12" t="n">
        <f aca="false">J18</f>
        <v>57225</v>
      </c>
      <c r="AD70" s="12"/>
      <c r="AE70" s="12"/>
      <c r="AF70" s="236"/>
      <c r="AG70" s="236"/>
      <c r="AH70" s="236"/>
      <c r="AI70" s="11"/>
    </row>
    <row r="71" customFormat="false" ht="17.35" hidden="false" customHeight="false" outlineLevel="0" collapsed="false">
      <c r="A71" s="264" t="s">
        <v>207</v>
      </c>
      <c r="B71" s="265" t="n">
        <v>0</v>
      </c>
      <c r="C71" s="12"/>
      <c r="D71" s="12"/>
      <c r="E71" s="236"/>
      <c r="F71" s="236"/>
      <c r="G71" s="236"/>
      <c r="H71" s="11"/>
      <c r="J71" s="264" t="s">
        <v>207</v>
      </c>
      <c r="K71" s="265" t="n">
        <v>0.06</v>
      </c>
      <c r="L71" s="12"/>
      <c r="M71" s="12"/>
      <c r="N71" s="236"/>
      <c r="O71" s="236"/>
      <c r="P71" s="236"/>
      <c r="Q71" s="11"/>
      <c r="S71" s="264" t="s">
        <v>207</v>
      </c>
      <c r="T71" s="265" t="n">
        <f aca="false">IF(AND(K29&gt;= 12, K29&lt;=24), 0.0105, IF(AND(K29&gt;=48), -0.0075, 0))</f>
        <v>-0.0075</v>
      </c>
      <c r="U71" s="12"/>
      <c r="V71" s="12"/>
      <c r="W71" s="236"/>
      <c r="X71" s="236"/>
      <c r="Y71" s="236"/>
      <c r="Z71" s="11"/>
      <c r="AB71" s="264" t="s">
        <v>207</v>
      </c>
      <c r="AC71" s="265" t="n">
        <f aca="false">IF(AND(K29&gt;= 12, K29&lt;=24), 0.0105, IF(AND(K29&gt;=48), -0.0075, 0))</f>
        <v>-0.0075</v>
      </c>
      <c r="AD71" s="12"/>
      <c r="AE71" s="12"/>
      <c r="AF71" s="236"/>
      <c r="AG71" s="236"/>
      <c r="AH71" s="236"/>
      <c r="AI71" s="11"/>
    </row>
    <row r="72" customFormat="false" ht="17.35" hidden="false" customHeight="false" outlineLevel="0" collapsed="false">
      <c r="A72" s="218" t="s">
        <v>208</v>
      </c>
      <c r="B72" s="266" t="n">
        <v>0.065</v>
      </c>
      <c r="C72" s="12"/>
      <c r="D72" s="12"/>
      <c r="E72" s="236"/>
      <c r="F72" s="236"/>
      <c r="G72" s="236"/>
      <c r="H72" s="11"/>
      <c r="J72" s="218" t="s">
        <v>208</v>
      </c>
      <c r="K72" s="266" t="n">
        <v>0.08</v>
      </c>
      <c r="L72" s="12"/>
      <c r="M72" s="12"/>
      <c r="N72" s="236"/>
      <c r="O72" s="236"/>
      <c r="P72" s="236"/>
      <c r="Q72" s="11"/>
      <c r="S72" s="218" t="s">
        <v>208</v>
      </c>
      <c r="T72" s="266" t="n">
        <v>0.059</v>
      </c>
      <c r="U72" s="12"/>
      <c r="V72" s="12"/>
      <c r="W72" s="236"/>
      <c r="X72" s="236"/>
      <c r="Y72" s="236"/>
      <c r="Z72" s="11"/>
      <c r="AB72" s="218" t="s">
        <v>208</v>
      </c>
      <c r="AC72" s="266" t="n">
        <v>0.059</v>
      </c>
      <c r="AD72" s="12"/>
      <c r="AE72" s="12"/>
      <c r="AF72" s="236"/>
      <c r="AG72" s="236"/>
      <c r="AH72" s="236"/>
      <c r="AI72" s="11"/>
    </row>
    <row r="73" customFormat="false" ht="17.35" hidden="false" customHeight="false" outlineLevel="0" collapsed="false">
      <c r="A73" s="267" t="s">
        <v>209</v>
      </c>
      <c r="B73" s="268" t="n">
        <v>0.072</v>
      </c>
      <c r="C73" s="12"/>
      <c r="D73" s="12"/>
      <c r="E73" s="236"/>
      <c r="F73" s="236"/>
      <c r="G73" s="236"/>
      <c r="H73" s="11"/>
      <c r="J73" s="267" t="s">
        <v>209</v>
      </c>
      <c r="K73" s="268" t="n">
        <v>0.1</v>
      </c>
      <c r="L73" s="12"/>
      <c r="M73" s="12"/>
      <c r="N73" s="236"/>
      <c r="O73" s="236"/>
      <c r="P73" s="236"/>
      <c r="Q73" s="11"/>
      <c r="S73" s="267" t="s">
        <v>209</v>
      </c>
      <c r="T73" s="268" t="n">
        <f aca="false">IF(T117=AP117, 2.4%, 7.2%)</f>
        <v>0.072</v>
      </c>
      <c r="U73" s="12"/>
      <c r="V73" s="12"/>
      <c r="W73" s="236"/>
      <c r="X73" s="236"/>
      <c r="Y73" s="236"/>
      <c r="Z73" s="11"/>
      <c r="AB73" s="267" t="s">
        <v>209</v>
      </c>
      <c r="AC73" s="268" t="n">
        <f aca="false">IF(AC117=AP117, 2.4%, 7.2%)</f>
        <v>0.072</v>
      </c>
      <c r="AD73" s="12"/>
      <c r="AE73" s="12"/>
      <c r="AF73" s="236"/>
      <c r="AG73" s="236"/>
      <c r="AH73" s="236"/>
      <c r="AI73" s="11"/>
    </row>
    <row r="74" customFormat="false" ht="17.35" hidden="false" customHeight="false" outlineLevel="0" collapsed="false">
      <c r="A74" s="249" t="s">
        <v>87</v>
      </c>
      <c r="B74" s="84" t="n">
        <f aca="false">(B98*B68)-(K47*K29)</f>
        <v>52464.3332978415</v>
      </c>
      <c r="C74" s="12"/>
      <c r="D74" s="12"/>
      <c r="E74" s="236"/>
      <c r="F74" s="236"/>
      <c r="G74" s="236"/>
      <c r="H74" s="11"/>
      <c r="J74" s="249" t="s">
        <v>87</v>
      </c>
      <c r="K74" s="84" t="n">
        <f aca="false">(K98*K68)-(K47*K29)</f>
        <v>50218.602484192</v>
      </c>
      <c r="L74" s="12"/>
      <c r="M74" s="12"/>
      <c r="N74" s="236"/>
      <c r="O74" s="236"/>
      <c r="P74" s="236"/>
      <c r="Q74" s="11"/>
      <c r="S74" s="249" t="s">
        <v>87</v>
      </c>
      <c r="T74" s="84" t="n">
        <f aca="false">(T98*T68)-(K47*K29)</f>
        <v>53575.5554919699</v>
      </c>
      <c r="U74" s="12"/>
      <c r="V74" s="12"/>
      <c r="W74" s="236"/>
      <c r="X74" s="236"/>
      <c r="Y74" s="236"/>
      <c r="Z74" s="11"/>
      <c r="AB74" s="249" t="s">
        <v>87</v>
      </c>
      <c r="AC74" s="84" t="n">
        <f aca="false">(AC98*AC68)-(K47*K29)</f>
        <v>53575.5554919699</v>
      </c>
      <c r="AD74" s="12"/>
      <c r="AE74" s="12"/>
      <c r="AF74" s="236"/>
      <c r="AG74" s="236"/>
      <c r="AH74" s="236"/>
      <c r="AI74" s="11"/>
    </row>
    <row r="75" customFormat="false" ht="17.35" hidden="false" customHeight="false" outlineLevel="0" collapsed="false">
      <c r="A75" s="264" t="s">
        <v>88</v>
      </c>
      <c r="B75" s="265" t="n">
        <v>0.005</v>
      </c>
      <c r="C75" s="12"/>
      <c r="D75" s="12"/>
      <c r="E75" s="236"/>
      <c r="F75" s="236"/>
      <c r="G75" s="236"/>
      <c r="H75" s="11"/>
      <c r="J75" s="264" t="s">
        <v>88</v>
      </c>
      <c r="K75" s="265" t="n">
        <v>0.05</v>
      </c>
      <c r="L75" s="12"/>
      <c r="M75" s="12"/>
      <c r="N75" s="236"/>
      <c r="O75" s="236"/>
      <c r="P75" s="236"/>
      <c r="Q75" s="11"/>
      <c r="S75" s="264" t="s">
        <v>88</v>
      </c>
      <c r="T75" s="265" t="n">
        <v>0.005</v>
      </c>
      <c r="U75" s="12"/>
      <c r="V75" s="12"/>
      <c r="W75" s="236"/>
      <c r="X75" s="236"/>
      <c r="Y75" s="236"/>
      <c r="Z75" s="11"/>
      <c r="AB75" s="264" t="s">
        <v>88</v>
      </c>
      <c r="AC75" s="265" t="n">
        <v>0.005</v>
      </c>
      <c r="AD75" s="12"/>
      <c r="AE75" s="12"/>
      <c r="AF75" s="236"/>
      <c r="AG75" s="236"/>
      <c r="AH75" s="236"/>
      <c r="AI75" s="11"/>
    </row>
    <row r="76" customFormat="false" ht="17.35" hidden="false" customHeight="false" outlineLevel="0" collapsed="false">
      <c r="A76" s="221" t="s">
        <v>89</v>
      </c>
      <c r="B76" s="269" t="n">
        <f aca="false">B75+(B75*0.5*(K29/12-1))</f>
        <v>0.009375</v>
      </c>
      <c r="C76" s="12"/>
      <c r="D76" s="12"/>
      <c r="E76" s="236"/>
      <c r="F76" s="236"/>
      <c r="G76" s="236"/>
      <c r="H76" s="11"/>
      <c r="J76" s="221" t="s">
        <v>89</v>
      </c>
      <c r="K76" s="269" t="n">
        <f aca="false">K75+(K75*0.25*(K29/12-1))</f>
        <v>0.071875</v>
      </c>
      <c r="L76" s="12"/>
      <c r="M76" s="12"/>
      <c r="N76" s="236"/>
      <c r="O76" s="236"/>
      <c r="P76" s="236"/>
      <c r="Q76" s="11"/>
      <c r="S76" s="221" t="s">
        <v>89</v>
      </c>
      <c r="T76" s="269" t="n">
        <f aca="false">T75+(T75*0.5*(K29/12-1))</f>
        <v>0.009375</v>
      </c>
      <c r="U76" s="12"/>
      <c r="V76" s="12"/>
      <c r="W76" s="236"/>
      <c r="X76" s="236"/>
      <c r="Y76" s="236"/>
      <c r="Z76" s="11"/>
      <c r="AB76" s="221" t="s">
        <v>89</v>
      </c>
      <c r="AC76" s="269" t="n">
        <f aca="false">AC75+(AC75*0.5*(K29/12-1))</f>
        <v>0.009375</v>
      </c>
      <c r="AD76" s="12"/>
      <c r="AE76" s="12"/>
      <c r="AF76" s="236"/>
      <c r="AG76" s="236"/>
      <c r="AH76" s="236"/>
      <c r="AI76" s="11"/>
    </row>
    <row r="77" customFormat="false" ht="17.35" hidden="false" customHeight="false" outlineLevel="0" collapsed="false">
      <c r="A77" s="249" t="s">
        <v>90</v>
      </c>
      <c r="B77" s="84" t="n">
        <f aca="false">(G167*B76)</f>
        <v>548.671875</v>
      </c>
      <c r="C77" s="12"/>
      <c r="D77" s="12"/>
      <c r="E77" s="236"/>
      <c r="F77" s="236"/>
      <c r="G77" s="236"/>
      <c r="H77" s="11"/>
      <c r="J77" s="249" t="s">
        <v>90</v>
      </c>
      <c r="K77" s="84" t="n">
        <f aca="false">K70*K76</f>
        <v>4113.046875</v>
      </c>
      <c r="L77" s="12"/>
      <c r="M77" s="12"/>
      <c r="N77" s="236"/>
      <c r="O77" s="236"/>
      <c r="P77" s="236"/>
      <c r="Q77" s="11"/>
      <c r="S77" s="249" t="s">
        <v>90</v>
      </c>
      <c r="T77" s="84" t="n">
        <f aca="false">T70*T76</f>
        <v>536.484375</v>
      </c>
      <c r="U77" s="12"/>
      <c r="V77" s="12"/>
      <c r="W77" s="236"/>
      <c r="X77" s="236"/>
      <c r="Y77" s="236"/>
      <c r="Z77" s="11"/>
      <c r="AB77" s="249" t="s">
        <v>90</v>
      </c>
      <c r="AC77" s="84" t="n">
        <f aca="false">AH167*AC76</f>
        <v>426.269521875</v>
      </c>
      <c r="AD77" s="12"/>
      <c r="AE77" s="12"/>
      <c r="AF77" s="236"/>
      <c r="AG77" s="236"/>
      <c r="AH77" s="236"/>
      <c r="AI77" s="11"/>
    </row>
    <row r="78" customFormat="false" ht="17.35" hidden="false" customHeight="false" outlineLevel="0" collapsed="false">
      <c r="A78" s="264" t="s">
        <v>91</v>
      </c>
      <c r="B78" s="265" t="n">
        <v>0</v>
      </c>
      <c r="C78" s="12"/>
      <c r="D78" s="12"/>
      <c r="E78" s="236"/>
      <c r="F78" s="236"/>
      <c r="G78" s="236"/>
      <c r="H78" s="11"/>
      <c r="J78" s="264" t="s">
        <v>91</v>
      </c>
      <c r="K78" s="265" t="n">
        <v>0</v>
      </c>
      <c r="L78" s="12"/>
      <c r="M78" s="12"/>
      <c r="N78" s="236"/>
      <c r="O78" s="236"/>
      <c r="P78" s="236"/>
      <c r="Q78" s="11"/>
      <c r="S78" s="264" t="s">
        <v>91</v>
      </c>
      <c r="T78" s="265" t="n">
        <v>0</v>
      </c>
      <c r="U78" s="12"/>
      <c r="V78" s="12"/>
      <c r="W78" s="236"/>
      <c r="X78" s="236"/>
      <c r="Y78" s="236"/>
      <c r="Z78" s="11"/>
      <c r="AB78" s="264" t="s">
        <v>91</v>
      </c>
      <c r="AC78" s="265" t="n">
        <v>0</v>
      </c>
      <c r="AD78" s="12"/>
      <c r="AE78" s="12"/>
      <c r="AF78" s="236"/>
      <c r="AG78" s="236"/>
      <c r="AH78" s="236"/>
      <c r="AI78" s="11"/>
    </row>
    <row r="79" customFormat="false" ht="17.35" hidden="false" customHeight="false" outlineLevel="0" collapsed="false">
      <c r="A79" s="218" t="s">
        <v>92</v>
      </c>
      <c r="B79" s="266" t="n">
        <v>0</v>
      </c>
      <c r="C79" s="12"/>
      <c r="D79" s="12"/>
      <c r="E79" s="236"/>
      <c r="F79" s="236"/>
      <c r="G79" s="236"/>
      <c r="H79" s="11"/>
      <c r="J79" s="218" t="s">
        <v>92</v>
      </c>
      <c r="K79" s="266" t="n">
        <v>0</v>
      </c>
      <c r="L79" s="12"/>
      <c r="M79" s="12"/>
      <c r="N79" s="236"/>
      <c r="O79" s="236"/>
      <c r="P79" s="236"/>
      <c r="Q79" s="11"/>
      <c r="S79" s="218" t="s">
        <v>92</v>
      </c>
      <c r="T79" s="266" t="n">
        <v>0</v>
      </c>
      <c r="U79" s="12"/>
      <c r="V79" s="12"/>
      <c r="W79" s="236"/>
      <c r="X79" s="236"/>
      <c r="Y79" s="236"/>
      <c r="Z79" s="11"/>
      <c r="AB79" s="218" t="s">
        <v>92</v>
      </c>
      <c r="AC79" s="266" t="n">
        <v>0</v>
      </c>
      <c r="AD79" s="12"/>
      <c r="AE79" s="12"/>
      <c r="AF79" s="236"/>
      <c r="AG79" s="236"/>
      <c r="AH79" s="236"/>
      <c r="AI79" s="11"/>
    </row>
    <row r="80" customFormat="false" ht="17.35" hidden="false" customHeight="false" outlineLevel="0" collapsed="false">
      <c r="A80" s="249" t="s">
        <v>93</v>
      </c>
      <c r="B80" s="270" t="n">
        <f aca="false">B78*(1+B79)</f>
        <v>0</v>
      </c>
      <c r="C80" s="12"/>
      <c r="D80" s="12"/>
      <c r="E80" s="236"/>
      <c r="F80" s="236"/>
      <c r="G80" s="236"/>
      <c r="H80" s="11"/>
      <c r="J80" s="249" t="s">
        <v>93</v>
      </c>
      <c r="K80" s="270" t="n">
        <f aca="false">K78*(1+K79)</f>
        <v>0</v>
      </c>
      <c r="L80" s="12"/>
      <c r="M80" s="12"/>
      <c r="N80" s="236"/>
      <c r="O80" s="236"/>
      <c r="P80" s="236"/>
      <c r="Q80" s="11"/>
      <c r="S80" s="249" t="s">
        <v>93</v>
      </c>
      <c r="T80" s="270" t="n">
        <f aca="false">T78*(1+T79)</f>
        <v>0</v>
      </c>
      <c r="U80" s="12"/>
      <c r="V80" s="12"/>
      <c r="W80" s="236"/>
      <c r="X80" s="236"/>
      <c r="Y80" s="236"/>
      <c r="Z80" s="11"/>
      <c r="AB80" s="249" t="s">
        <v>93</v>
      </c>
      <c r="AC80" s="270" t="n">
        <f aca="false">AC78*(1+AC79)</f>
        <v>0</v>
      </c>
      <c r="AD80" s="12"/>
      <c r="AE80" s="12"/>
      <c r="AF80" s="236"/>
      <c r="AG80" s="236"/>
      <c r="AH80" s="236"/>
      <c r="AI80" s="11"/>
    </row>
    <row r="81" customFormat="false" ht="17.35" hidden="false" customHeight="false" outlineLevel="0" collapsed="false">
      <c r="A81" s="264" t="s">
        <v>94</v>
      </c>
      <c r="B81" s="87" t="n">
        <v>0</v>
      </c>
      <c r="C81" s="12"/>
      <c r="D81" s="12"/>
      <c r="E81" s="236"/>
      <c r="F81" s="236"/>
      <c r="G81" s="236"/>
      <c r="H81" s="11"/>
      <c r="J81" s="264" t="s">
        <v>94</v>
      </c>
      <c r="K81" s="87" t="n">
        <v>0</v>
      </c>
      <c r="L81" s="12"/>
      <c r="M81" s="12"/>
      <c r="N81" s="236"/>
      <c r="O81" s="236"/>
      <c r="P81" s="236"/>
      <c r="Q81" s="11"/>
      <c r="S81" s="264" t="s">
        <v>94</v>
      </c>
      <c r="T81" s="87" t="n">
        <v>0</v>
      </c>
      <c r="U81" s="12"/>
      <c r="V81" s="12"/>
      <c r="W81" s="236"/>
      <c r="X81" s="236"/>
      <c r="Y81" s="236"/>
      <c r="Z81" s="11"/>
      <c r="AB81" s="264" t="s">
        <v>94</v>
      </c>
      <c r="AC81" s="87" t="n">
        <v>0</v>
      </c>
      <c r="AD81" s="12"/>
      <c r="AE81" s="12"/>
      <c r="AF81" s="236"/>
      <c r="AG81" s="236"/>
      <c r="AH81" s="236"/>
      <c r="AI81" s="11"/>
    </row>
    <row r="82" customFormat="false" ht="17.35" hidden="false" customHeight="false" outlineLevel="0" collapsed="false">
      <c r="A82" s="218" t="s">
        <v>95</v>
      </c>
      <c r="B82" s="88" t="n">
        <v>0</v>
      </c>
      <c r="C82" s="12"/>
      <c r="D82" s="12"/>
      <c r="E82" s="236"/>
      <c r="F82" s="236"/>
      <c r="G82" s="236"/>
      <c r="H82" s="11"/>
      <c r="J82" s="218" t="s">
        <v>95</v>
      </c>
      <c r="K82" s="88" t="n">
        <v>0</v>
      </c>
      <c r="L82" s="12"/>
      <c r="M82" s="12"/>
      <c r="N82" s="236"/>
      <c r="O82" s="236"/>
      <c r="P82" s="236"/>
      <c r="Q82" s="11"/>
      <c r="S82" s="218" t="s">
        <v>95</v>
      </c>
      <c r="T82" s="88" t="n">
        <v>0</v>
      </c>
      <c r="U82" s="12"/>
      <c r="V82" s="12"/>
      <c r="W82" s="236"/>
      <c r="X82" s="236"/>
      <c r="Y82" s="236"/>
      <c r="Z82" s="11"/>
      <c r="AB82" s="218" t="s">
        <v>95</v>
      </c>
      <c r="AC82" s="88" t="n">
        <v>0</v>
      </c>
      <c r="AD82" s="12"/>
      <c r="AE82" s="12"/>
      <c r="AF82" s="236"/>
      <c r="AG82" s="236"/>
      <c r="AH82" s="236"/>
      <c r="AI82" s="11"/>
    </row>
    <row r="83" customFormat="false" ht="17.35" hidden="false" customHeight="false" outlineLevel="0" collapsed="false">
      <c r="A83" s="249" t="s">
        <v>96</v>
      </c>
      <c r="B83" s="84" t="n">
        <f aca="false">B82*K29</f>
        <v>0</v>
      </c>
      <c r="C83" s="12"/>
      <c r="D83" s="12" t="n">
        <f aca="false">B83+B81</f>
        <v>0</v>
      </c>
      <c r="E83" s="236"/>
      <c r="F83" s="236"/>
      <c r="G83" s="236"/>
      <c r="H83" s="11"/>
      <c r="J83" s="249" t="s">
        <v>96</v>
      </c>
      <c r="K83" s="84" t="n">
        <f aca="false">K82*K29</f>
        <v>0</v>
      </c>
      <c r="L83" s="12"/>
      <c r="M83" s="12" t="n">
        <f aca="false">K83+K81</f>
        <v>0</v>
      </c>
      <c r="N83" s="236"/>
      <c r="O83" s="236"/>
      <c r="P83" s="236"/>
      <c r="Q83" s="11"/>
      <c r="S83" s="249" t="s">
        <v>96</v>
      </c>
      <c r="T83" s="84" t="n">
        <f aca="false">T82*K29</f>
        <v>0</v>
      </c>
      <c r="U83" s="12"/>
      <c r="V83" s="12" t="n">
        <f aca="false">T83+T81</f>
        <v>0</v>
      </c>
      <c r="W83" s="236"/>
      <c r="X83" s="236"/>
      <c r="Y83" s="236"/>
      <c r="Z83" s="11"/>
      <c r="AB83" s="249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6"/>
      <c r="AG83" s="236"/>
      <c r="AH83" s="236"/>
      <c r="AI83" s="11"/>
    </row>
    <row r="84" customFormat="false" ht="17.35" hidden="false" customHeight="false" outlineLevel="0" collapsed="false">
      <c r="A84" s="218" t="s">
        <v>103</v>
      </c>
      <c r="B84" s="88" t="n">
        <v>0</v>
      </c>
      <c r="C84" s="12"/>
      <c r="D84" s="12" t="n">
        <f aca="false">B84</f>
        <v>0</v>
      </c>
      <c r="E84" s="236"/>
      <c r="F84" s="236"/>
      <c r="G84" s="236"/>
      <c r="H84" s="11"/>
      <c r="J84" s="218" t="s">
        <v>103</v>
      </c>
      <c r="K84" s="88" t="n">
        <v>0</v>
      </c>
      <c r="L84" s="12"/>
      <c r="M84" s="12" t="n">
        <f aca="false">K84</f>
        <v>0</v>
      </c>
      <c r="N84" s="236"/>
      <c r="O84" s="236"/>
      <c r="P84" s="236"/>
      <c r="Q84" s="11"/>
      <c r="S84" s="218" t="s">
        <v>103</v>
      </c>
      <c r="T84" s="88" t="n">
        <v>0</v>
      </c>
      <c r="U84" s="12"/>
      <c r="V84" s="12" t="n">
        <f aca="false">T84</f>
        <v>0</v>
      </c>
      <c r="W84" s="236"/>
      <c r="X84" s="236"/>
      <c r="Y84" s="236"/>
      <c r="Z84" s="11"/>
      <c r="AB84" s="218" t="s">
        <v>103</v>
      </c>
      <c r="AC84" s="88" t="n">
        <v>0</v>
      </c>
      <c r="AD84" s="12"/>
      <c r="AE84" s="12" t="n">
        <f aca="false">AC84</f>
        <v>0</v>
      </c>
      <c r="AF84" s="236"/>
      <c r="AG84" s="236"/>
      <c r="AH84" s="236"/>
      <c r="AI84" s="11"/>
    </row>
    <row r="85" customFormat="false" ht="17.35" hidden="false" customHeight="false" outlineLevel="0" collapsed="false">
      <c r="A85" s="267" t="s">
        <v>104</v>
      </c>
      <c r="B85" s="97" t="n">
        <v>0</v>
      </c>
      <c r="C85" s="12"/>
      <c r="D85" s="12" t="n">
        <f aca="false">B85</f>
        <v>0</v>
      </c>
      <c r="E85" s="236"/>
      <c r="F85" s="12"/>
      <c r="G85" s="236"/>
      <c r="H85" s="11"/>
      <c r="J85" s="267" t="s">
        <v>104</v>
      </c>
      <c r="K85" s="97" t="n">
        <v>0</v>
      </c>
      <c r="L85" s="12"/>
      <c r="M85" s="12" t="n">
        <f aca="false">K85</f>
        <v>0</v>
      </c>
      <c r="N85" s="236"/>
      <c r="O85" s="236"/>
      <c r="P85" s="236"/>
      <c r="Q85" s="11"/>
      <c r="S85" s="267" t="s">
        <v>104</v>
      </c>
      <c r="T85" s="97" t="n">
        <v>0</v>
      </c>
      <c r="U85" s="12"/>
      <c r="V85" s="12" t="n">
        <f aca="false">T85</f>
        <v>0</v>
      </c>
      <c r="W85" s="236"/>
      <c r="X85" s="236"/>
      <c r="Y85" s="236"/>
      <c r="Z85" s="11"/>
      <c r="AB85" s="267" t="s">
        <v>104</v>
      </c>
      <c r="AC85" s="97" t="n">
        <v>0</v>
      </c>
      <c r="AD85" s="12"/>
      <c r="AE85" s="12" t="n">
        <f aca="false">AC85</f>
        <v>0</v>
      </c>
      <c r="AF85" s="236"/>
      <c r="AG85" s="236"/>
      <c r="AH85" s="236"/>
      <c r="AI85" s="11"/>
    </row>
    <row r="86" customFormat="false" ht="17.35" hidden="false" customHeight="false" outlineLevel="0" collapsed="false">
      <c r="A86" s="271" t="s">
        <v>105</v>
      </c>
      <c r="B86" s="272" t="n">
        <f aca="false">SUM(D74:D85)</f>
        <v>0</v>
      </c>
      <c r="C86" s="12"/>
      <c r="D86" s="12"/>
      <c r="E86" s="236"/>
      <c r="F86" s="12"/>
      <c r="G86" s="12"/>
      <c r="H86" s="11"/>
      <c r="J86" s="271" t="s">
        <v>105</v>
      </c>
      <c r="K86" s="272" t="n">
        <f aca="false">SUM(M74:M85)</f>
        <v>0</v>
      </c>
      <c r="L86" s="12"/>
      <c r="M86" s="12"/>
      <c r="N86" s="236"/>
      <c r="O86" s="236"/>
      <c r="P86" s="236"/>
      <c r="Q86" s="11"/>
      <c r="S86" s="271" t="s">
        <v>105</v>
      </c>
      <c r="T86" s="272" t="n">
        <f aca="false">SUM(V74:V85)</f>
        <v>0</v>
      </c>
      <c r="U86" s="12"/>
      <c r="V86" s="12"/>
      <c r="W86" s="236"/>
      <c r="X86" s="236"/>
      <c r="Y86" s="236"/>
      <c r="Z86" s="11"/>
      <c r="AB86" s="271" t="s">
        <v>105</v>
      </c>
      <c r="AC86" s="272" t="n">
        <f aca="false">SUM(AE74:AE85)</f>
        <v>0</v>
      </c>
      <c r="AD86" s="12"/>
      <c r="AE86" s="12"/>
      <c r="AF86" s="236"/>
      <c r="AG86" s="236"/>
      <c r="AH86" s="236"/>
      <c r="AI86" s="11"/>
    </row>
    <row r="87" customFormat="false" ht="17.35" hidden="false" customHeight="false" outlineLevel="0" collapsed="false">
      <c r="A87" s="221" t="s">
        <v>106</v>
      </c>
      <c r="B87" s="11" t="n">
        <f aca="false">B86/K29</f>
        <v>0</v>
      </c>
      <c r="C87" s="12"/>
      <c r="D87" s="12"/>
      <c r="E87" s="236"/>
      <c r="F87" s="236"/>
      <c r="G87" s="236"/>
      <c r="H87" s="11"/>
      <c r="J87" s="221" t="s">
        <v>106</v>
      </c>
      <c r="K87" s="11" t="n">
        <f aca="false">K86/K29</f>
        <v>0</v>
      </c>
      <c r="L87" s="12"/>
      <c r="M87" s="12"/>
      <c r="N87" s="236"/>
      <c r="O87" s="236"/>
      <c r="P87" s="236"/>
      <c r="Q87" s="11"/>
      <c r="S87" s="221" t="s">
        <v>106</v>
      </c>
      <c r="T87" s="11" t="n">
        <f aca="false">T86/K29</f>
        <v>0</v>
      </c>
      <c r="U87" s="12"/>
      <c r="V87" s="12"/>
      <c r="W87" s="236"/>
      <c r="X87" s="236"/>
      <c r="Y87" s="236"/>
      <c r="Z87" s="11"/>
      <c r="AB87" s="221" t="s">
        <v>106</v>
      </c>
      <c r="AC87" s="11" t="n">
        <f aca="false">AC86/K29</f>
        <v>0</v>
      </c>
      <c r="AD87" s="12"/>
      <c r="AE87" s="12"/>
      <c r="AF87" s="236"/>
      <c r="AG87" s="236"/>
      <c r="AH87" s="236"/>
      <c r="AI87" s="11"/>
    </row>
    <row r="88" customFormat="false" ht="17.35" hidden="false" customHeight="false" outlineLevel="0" collapsed="false">
      <c r="A88" s="273" t="s">
        <v>107</v>
      </c>
      <c r="B88" s="101" t="n">
        <f aca="false">K49</f>
        <v>238.924242424242</v>
      </c>
      <c r="C88" s="12"/>
      <c r="D88" s="12"/>
      <c r="E88" s="236"/>
      <c r="F88" s="236"/>
      <c r="G88" s="236"/>
      <c r="H88" s="11"/>
      <c r="J88" s="273" t="s">
        <v>107</v>
      </c>
      <c r="K88" s="101" t="n">
        <f aca="false">K47</f>
        <v>0.363636363636364</v>
      </c>
      <c r="L88" s="12"/>
      <c r="M88" s="12"/>
      <c r="N88" s="236"/>
      <c r="O88" s="236"/>
      <c r="P88" s="236"/>
      <c r="Q88" s="11"/>
      <c r="S88" s="273" t="s">
        <v>107</v>
      </c>
      <c r="T88" s="101" t="n">
        <f aca="false">B60</f>
        <v>238.924242424242</v>
      </c>
      <c r="U88" s="12"/>
      <c r="V88" s="12"/>
      <c r="W88" s="236"/>
      <c r="X88" s="236"/>
      <c r="Y88" s="236"/>
      <c r="Z88" s="11"/>
      <c r="AB88" s="273" t="s">
        <v>107</v>
      </c>
      <c r="AC88" s="101" t="n">
        <f aca="false">B60</f>
        <v>238.924242424242</v>
      </c>
      <c r="AD88" s="12"/>
      <c r="AE88" s="12"/>
      <c r="AF88" s="236"/>
      <c r="AG88" s="236"/>
      <c r="AH88" s="236"/>
      <c r="AI88" s="11"/>
    </row>
    <row r="89" customFormat="false" ht="17.35" hidden="false" customHeight="false" outlineLevel="0" collapsed="false">
      <c r="A89" s="221"/>
      <c r="B89" s="12"/>
      <c r="C89" s="12"/>
      <c r="D89" s="12"/>
      <c r="E89" s="236"/>
      <c r="F89" s="236"/>
      <c r="G89" s="236"/>
      <c r="H89" s="11"/>
      <c r="J89" s="221"/>
      <c r="K89" s="12"/>
      <c r="L89" s="12"/>
      <c r="M89" s="12"/>
      <c r="N89" s="236"/>
      <c r="O89" s="236"/>
      <c r="P89" s="236"/>
      <c r="Q89" s="11"/>
      <c r="S89" s="221"/>
      <c r="T89" s="12"/>
      <c r="U89" s="12"/>
      <c r="V89" s="12"/>
      <c r="W89" s="236"/>
      <c r="X89" s="236"/>
      <c r="Y89" s="236"/>
      <c r="Z89" s="11"/>
      <c r="AB89" s="221"/>
      <c r="AC89" s="12"/>
      <c r="AD89" s="12"/>
      <c r="AE89" s="12"/>
      <c r="AF89" s="236"/>
      <c r="AG89" s="236"/>
      <c r="AH89" s="236"/>
      <c r="AI89" s="11"/>
    </row>
    <row r="90" customFormat="false" ht="17.35" hidden="false" customHeight="false" outlineLevel="0" collapsed="false">
      <c r="A90" s="238" t="s">
        <v>210</v>
      </c>
      <c r="B90" s="102" t="n">
        <f aca="false">F37</f>
        <v>47877.5</v>
      </c>
      <c r="C90" s="12"/>
      <c r="D90" s="12"/>
      <c r="E90" s="236"/>
      <c r="F90" s="236"/>
      <c r="G90" s="236"/>
      <c r="H90" s="11"/>
      <c r="J90" s="238" t="s">
        <v>210</v>
      </c>
      <c r="K90" s="102" t="n">
        <f aca="false">P167</f>
        <v>37655</v>
      </c>
      <c r="L90" s="12"/>
      <c r="M90" s="12"/>
      <c r="N90" s="236"/>
      <c r="O90" s="236"/>
      <c r="P90" s="236"/>
      <c r="Q90" s="11"/>
      <c r="S90" s="238" t="s">
        <v>210</v>
      </c>
      <c r="T90" s="102" t="n">
        <f aca="false">Y167</f>
        <v>45468.749</v>
      </c>
      <c r="U90" s="12"/>
      <c r="V90" s="12"/>
      <c r="W90" s="236"/>
      <c r="X90" s="236"/>
      <c r="Y90" s="236"/>
      <c r="Z90" s="11"/>
      <c r="AB90" s="238" t="s">
        <v>210</v>
      </c>
      <c r="AC90" s="102" t="n">
        <f aca="false">AH167</f>
        <v>45468.749</v>
      </c>
      <c r="AD90" s="12"/>
      <c r="AE90" s="12"/>
      <c r="AF90" s="236"/>
      <c r="AG90" s="236"/>
      <c r="AH90" s="236"/>
      <c r="AI90" s="11"/>
    </row>
    <row r="91" customFormat="false" ht="17.35" hidden="false" customHeight="false" outlineLevel="0" collapsed="false">
      <c r="A91" s="221" t="s">
        <v>211</v>
      </c>
      <c r="B91" s="11" t="str">
        <f aca="false">IF(A120 = "Yes", A43, 0)</f>
        <v>6000</v>
      </c>
      <c r="C91" s="12"/>
      <c r="D91" s="12"/>
      <c r="E91" s="236"/>
      <c r="F91" s="236"/>
      <c r="G91" s="236"/>
      <c r="H91" s="11"/>
      <c r="J91" s="221" t="s">
        <v>211</v>
      </c>
      <c r="K91" s="11" t="n">
        <f aca="false">IF(J120 = "YES", A40, 0)</f>
        <v>0</v>
      </c>
      <c r="L91" s="12"/>
      <c r="M91" s="12"/>
      <c r="N91" s="236"/>
      <c r="O91" s="236"/>
      <c r="P91" s="236"/>
      <c r="Q91" s="11"/>
      <c r="S91" s="221" t="s">
        <v>211</v>
      </c>
      <c r="T91" s="11" t="str">
        <f aca="false">A40</f>
        <v>12</v>
      </c>
      <c r="U91" s="12"/>
      <c r="V91" s="12"/>
      <c r="W91" s="236"/>
      <c r="X91" s="236"/>
      <c r="Y91" s="236"/>
      <c r="Z91" s="11"/>
      <c r="AB91" s="221" t="s">
        <v>211</v>
      </c>
      <c r="AC91" s="11" t="str">
        <f aca="false">A40</f>
        <v>12</v>
      </c>
      <c r="AD91" s="12"/>
      <c r="AE91" s="12"/>
      <c r="AF91" s="236"/>
      <c r="AG91" s="236"/>
      <c r="AH91" s="236"/>
      <c r="AI91" s="11"/>
    </row>
    <row r="92" customFormat="false" ht="17.35" hidden="false" customHeight="false" outlineLevel="0" collapsed="false">
      <c r="A92" s="221" t="s">
        <v>212</v>
      </c>
      <c r="B92" s="269" t="n">
        <f aca="false">B71+B72+B73</f>
        <v>0.137</v>
      </c>
      <c r="C92" s="12"/>
      <c r="D92" s="12"/>
      <c r="E92" s="236"/>
      <c r="F92" s="236"/>
      <c r="G92" s="236"/>
      <c r="H92" s="11"/>
      <c r="J92" s="221" t="s">
        <v>212</v>
      </c>
      <c r="K92" s="269" t="n">
        <f aca="false">K71+K72+K73</f>
        <v>0.24</v>
      </c>
      <c r="L92" s="12"/>
      <c r="M92" s="12"/>
      <c r="N92" s="236"/>
      <c r="O92" s="236"/>
      <c r="P92" s="236"/>
      <c r="Q92" s="11"/>
      <c r="S92" s="221" t="s">
        <v>212</v>
      </c>
      <c r="T92" s="269" t="n">
        <f aca="false">T71+T72+T73</f>
        <v>0.1235</v>
      </c>
      <c r="U92" s="12"/>
      <c r="V92" s="12"/>
      <c r="W92" s="236"/>
      <c r="X92" s="236"/>
      <c r="Y92" s="236"/>
      <c r="Z92" s="11"/>
      <c r="AB92" s="221" t="s">
        <v>212</v>
      </c>
      <c r="AC92" s="269" t="n">
        <f aca="false">AC71+AC72+AC73</f>
        <v>0.1235</v>
      </c>
      <c r="AD92" s="12"/>
      <c r="AE92" s="12"/>
      <c r="AF92" s="236"/>
      <c r="AG92" s="236"/>
      <c r="AH92" s="236"/>
      <c r="AI92" s="11"/>
    </row>
    <row r="93" customFormat="false" ht="17.35" hidden="false" customHeight="false" outlineLevel="0" collapsed="false">
      <c r="A93" s="221" t="s">
        <v>213</v>
      </c>
      <c r="B93" s="269" t="n">
        <f aca="false">B92/12</f>
        <v>0.0114166666666667</v>
      </c>
      <c r="C93" s="12"/>
      <c r="D93" s="12"/>
      <c r="E93" s="236"/>
      <c r="F93" s="236"/>
      <c r="G93" s="236"/>
      <c r="H93" s="11"/>
      <c r="J93" s="221" t="s">
        <v>213</v>
      </c>
      <c r="K93" s="269" t="n">
        <f aca="false">K92/12</f>
        <v>0.02</v>
      </c>
      <c r="L93" s="12"/>
      <c r="M93" s="12"/>
      <c r="N93" s="236"/>
      <c r="O93" s="236"/>
      <c r="P93" s="236"/>
      <c r="Q93" s="11"/>
      <c r="S93" s="221" t="s">
        <v>213</v>
      </c>
      <c r="T93" s="269" t="n">
        <f aca="false">T92/12</f>
        <v>0.0102916666666667</v>
      </c>
      <c r="U93" s="12"/>
      <c r="V93" s="12"/>
      <c r="W93" s="236"/>
      <c r="X93" s="236"/>
      <c r="Y93" s="236"/>
      <c r="Z93" s="11"/>
      <c r="AB93" s="221" t="s">
        <v>213</v>
      </c>
      <c r="AC93" s="269" t="n">
        <f aca="false">AC92/12</f>
        <v>0.0102916666666667</v>
      </c>
      <c r="AD93" s="12"/>
      <c r="AE93" s="12"/>
      <c r="AF93" s="236"/>
      <c r="AG93" s="236"/>
      <c r="AH93" s="236"/>
      <c r="AI93" s="11"/>
    </row>
    <row r="94" customFormat="false" ht="17.35" hidden="false" customHeight="false" outlineLevel="0" collapsed="false">
      <c r="A94" s="221" t="s">
        <v>214</v>
      </c>
      <c r="B94" s="11" t="n">
        <f aca="false">IF(B91=0, (B68+B67), (B68))</f>
        <v>32</v>
      </c>
      <c r="C94" s="12"/>
      <c r="D94" s="12"/>
      <c r="E94" s="236"/>
      <c r="F94" s="236"/>
      <c r="G94" s="236"/>
      <c r="H94" s="11"/>
      <c r="J94" s="221" t="s">
        <v>214</v>
      </c>
      <c r="K94" s="11" t="n">
        <f aca="false">IF(K91=0, (K68+K67), (K68))</f>
        <v>33</v>
      </c>
      <c r="L94" s="12"/>
      <c r="M94" s="12"/>
      <c r="N94" s="236"/>
      <c r="O94" s="236"/>
      <c r="P94" s="236"/>
      <c r="Q94" s="11"/>
      <c r="S94" s="221" t="s">
        <v>214</v>
      </c>
      <c r="T94" s="11" t="n">
        <f aca="false">T68</f>
        <v>32</v>
      </c>
      <c r="U94" s="12"/>
      <c r="V94" s="12"/>
      <c r="W94" s="236"/>
      <c r="X94" s="236"/>
      <c r="Y94" s="236"/>
      <c r="Z94" s="11"/>
      <c r="AB94" s="221" t="s">
        <v>214</v>
      </c>
      <c r="AC94" s="11" t="n">
        <f aca="false">AC68</f>
        <v>32</v>
      </c>
      <c r="AD94" s="12"/>
      <c r="AE94" s="12"/>
      <c r="AF94" s="236"/>
      <c r="AG94" s="236"/>
      <c r="AH94" s="236"/>
      <c r="AI94" s="11"/>
    </row>
    <row r="95" customFormat="false" ht="17.35" hidden="false" customHeight="false" outlineLevel="0" collapsed="false">
      <c r="A95" s="221" t="s">
        <v>215</v>
      </c>
      <c r="B95" s="11" t="n">
        <f aca="false">(B91/((1+B93)^(B94+1)))</f>
        <v>4125.32107917265</v>
      </c>
      <c r="C95" s="12"/>
      <c r="D95" s="12"/>
      <c r="E95" s="236"/>
      <c r="F95" s="236"/>
      <c r="G95" s="236"/>
      <c r="H95" s="11"/>
      <c r="J95" s="221" t="s">
        <v>215</v>
      </c>
      <c r="K95" s="11" t="n">
        <f aca="false">(K91/((1+K93)^(K94+1)))</f>
        <v>0</v>
      </c>
      <c r="L95" s="12"/>
      <c r="M95" s="12"/>
      <c r="N95" s="236"/>
      <c r="O95" s="236"/>
      <c r="P95" s="236"/>
      <c r="Q95" s="11"/>
      <c r="S95" s="221" t="s">
        <v>215</v>
      </c>
      <c r="T95" s="11" t="n">
        <f aca="false">(T91/((1+T93)^(T94+1)))</f>
        <v>8.55929138316766</v>
      </c>
      <c r="U95" s="12"/>
      <c r="V95" s="12"/>
      <c r="W95" s="236"/>
      <c r="X95" s="236"/>
      <c r="Y95" s="236"/>
      <c r="Z95" s="11"/>
      <c r="AB95" s="221" t="s">
        <v>215</v>
      </c>
      <c r="AC95" s="11" t="n">
        <f aca="false">(AC91/((1+AC93)^(AC94+1)))</f>
        <v>8.55929138316766</v>
      </c>
      <c r="AD95" s="12"/>
      <c r="AE95" s="12"/>
      <c r="AF95" s="236"/>
      <c r="AG95" s="236"/>
      <c r="AH95" s="236"/>
      <c r="AI95" s="11"/>
    </row>
    <row r="96" customFormat="false" ht="17.35" hidden="false" customHeight="false" outlineLevel="0" collapsed="false">
      <c r="A96" s="221" t="s">
        <v>216</v>
      </c>
      <c r="B96" s="11" t="n">
        <f aca="false">((1-(1/((1+B93)^B94)))/B93)</f>
        <v>26.6800219733353</v>
      </c>
      <c r="C96" s="12"/>
      <c r="D96" s="12"/>
      <c r="E96" s="236"/>
      <c r="F96" s="236"/>
      <c r="G96" s="236"/>
      <c r="H96" s="11"/>
      <c r="J96" s="221" t="s">
        <v>216</v>
      </c>
      <c r="K96" s="11" t="n">
        <f aca="false">((1-(1/((1+K93)^K94)))/K93)</f>
        <v>23.9885635530494</v>
      </c>
      <c r="L96" s="12"/>
      <c r="M96" s="12"/>
      <c r="N96" s="236"/>
      <c r="O96" s="236"/>
      <c r="P96" s="236"/>
      <c r="Q96" s="11"/>
      <c r="S96" s="221" t="s">
        <v>216</v>
      </c>
      <c r="T96" s="11" t="n">
        <f aca="false">((1-(1/((1+T93)^T94)))/T93)</f>
        <v>27.1467145183312</v>
      </c>
      <c r="U96" s="12"/>
      <c r="V96" s="12"/>
      <c r="W96" s="236"/>
      <c r="X96" s="236"/>
      <c r="Y96" s="236"/>
      <c r="Z96" s="11"/>
      <c r="AB96" s="221" t="s">
        <v>216</v>
      </c>
      <c r="AC96" s="11" t="n">
        <f aca="false">((1-(1/((1+AC93)^AC94)))/AC93)</f>
        <v>27.1467145183312</v>
      </c>
      <c r="AD96" s="12"/>
      <c r="AE96" s="12"/>
      <c r="AF96" s="236"/>
      <c r="AG96" s="236"/>
      <c r="AH96" s="236"/>
      <c r="AI96" s="11"/>
    </row>
    <row r="97" customFormat="false" ht="17.35" hidden="false" customHeight="false" outlineLevel="0" collapsed="false">
      <c r="A97" s="221" t="s">
        <v>217</v>
      </c>
      <c r="B97" s="11" t="n">
        <f aca="false">B90-B95</f>
        <v>43752.1789208274</v>
      </c>
      <c r="C97" s="12"/>
      <c r="D97" s="12"/>
      <c r="E97" s="236"/>
      <c r="F97" s="236"/>
      <c r="G97" s="236"/>
      <c r="H97" s="11"/>
      <c r="J97" s="221" t="s">
        <v>217</v>
      </c>
      <c r="K97" s="11" t="n">
        <f aca="false">K90-K95</f>
        <v>37655</v>
      </c>
      <c r="L97" s="12"/>
      <c r="M97" s="12"/>
      <c r="N97" s="236"/>
      <c r="O97" s="236"/>
      <c r="P97" s="236"/>
      <c r="Q97" s="11"/>
      <c r="S97" s="221" t="s">
        <v>217</v>
      </c>
      <c r="T97" s="11" t="n">
        <f aca="false">T90-T95</f>
        <v>45460.1897086168</v>
      </c>
      <c r="U97" s="12"/>
      <c r="V97" s="12"/>
      <c r="W97" s="236"/>
      <c r="X97" s="236"/>
      <c r="Y97" s="236"/>
      <c r="Z97" s="11"/>
      <c r="AB97" s="221" t="s">
        <v>217</v>
      </c>
      <c r="AC97" s="11" t="n">
        <f aca="false">AC90-AC95</f>
        <v>45460.1897086168</v>
      </c>
      <c r="AD97" s="12"/>
      <c r="AE97" s="12"/>
      <c r="AF97" s="236"/>
      <c r="AG97" s="236"/>
      <c r="AH97" s="236"/>
      <c r="AI97" s="11"/>
    </row>
    <row r="98" customFormat="false" ht="17.35" hidden="false" customHeight="false" outlineLevel="0" collapsed="false">
      <c r="A98" s="221" t="s">
        <v>218</v>
      </c>
      <c r="B98" s="11" t="n">
        <f aca="false">(B97/B96)</f>
        <v>1639.88541555755</v>
      </c>
      <c r="C98" s="12"/>
      <c r="D98" s="12"/>
      <c r="E98" s="236"/>
      <c r="F98" s="236"/>
      <c r="G98" s="236"/>
      <c r="H98" s="11"/>
      <c r="J98" s="221" t="s">
        <v>218</v>
      </c>
      <c r="K98" s="11" t="n">
        <f aca="false">(K97/K96)</f>
        <v>1569.706327631</v>
      </c>
      <c r="L98" s="12"/>
      <c r="M98" s="12"/>
      <c r="N98" s="236"/>
      <c r="O98" s="236"/>
      <c r="P98" s="236"/>
      <c r="Q98" s="11"/>
      <c r="S98" s="221" t="s">
        <v>218</v>
      </c>
      <c r="T98" s="11" t="n">
        <f aca="false">(T97/T96)</f>
        <v>1674.61110912406</v>
      </c>
      <c r="U98" s="12"/>
      <c r="V98" s="12"/>
      <c r="W98" s="236"/>
      <c r="X98" s="236"/>
      <c r="Y98" s="236"/>
      <c r="Z98" s="11"/>
      <c r="AB98" s="221" t="s">
        <v>218</v>
      </c>
      <c r="AC98" s="11" t="n">
        <f aca="false">(AC97/AC96)</f>
        <v>1674.61110912406</v>
      </c>
      <c r="AD98" s="12"/>
      <c r="AE98" s="12"/>
      <c r="AF98" s="236"/>
      <c r="AG98" s="236"/>
      <c r="AH98" s="236"/>
      <c r="AI98" s="11"/>
    </row>
    <row r="99" customFormat="false" ht="17.35" hidden="false" customHeight="false" outlineLevel="0" collapsed="false">
      <c r="A99" s="221" t="s">
        <v>108</v>
      </c>
      <c r="B99" s="11" t="n">
        <f aca="false">((B98*(B94))+B86)</f>
        <v>52476.3332978415</v>
      </c>
      <c r="C99" s="12"/>
      <c r="D99" s="12"/>
      <c r="E99" s="236"/>
      <c r="F99" s="236"/>
      <c r="G99" s="236"/>
      <c r="H99" s="11"/>
      <c r="J99" s="221" t="s">
        <v>108</v>
      </c>
      <c r="K99" s="11" t="n">
        <f aca="false">((K98*(K94))+K86)</f>
        <v>51800.308811823</v>
      </c>
      <c r="L99" s="12"/>
      <c r="M99" s="12"/>
      <c r="N99" s="236"/>
      <c r="O99" s="236"/>
      <c r="P99" s="236"/>
      <c r="Q99" s="11"/>
      <c r="S99" s="221" t="s">
        <v>108</v>
      </c>
      <c r="T99" s="11" t="n">
        <f aca="false">(T98*(T94))+T86</f>
        <v>53587.5554919699</v>
      </c>
      <c r="U99" s="12"/>
      <c r="V99" s="12"/>
      <c r="W99" s="236"/>
      <c r="X99" s="236"/>
      <c r="Y99" s="236"/>
      <c r="Z99" s="11"/>
      <c r="AB99" s="221" t="s">
        <v>108</v>
      </c>
      <c r="AC99" s="11" t="n">
        <f aca="false">(AC98*(AC68))+AC86</f>
        <v>53587.5554919699</v>
      </c>
      <c r="AD99" s="12"/>
      <c r="AE99" s="12"/>
      <c r="AF99" s="236"/>
      <c r="AG99" s="236"/>
      <c r="AH99" s="236"/>
      <c r="AI99" s="11"/>
    </row>
    <row r="100" customFormat="false" ht="17.35" hidden="false" customHeight="false" outlineLevel="0" collapsed="false">
      <c r="A100" s="221" t="s">
        <v>109</v>
      </c>
      <c r="B100" s="11" t="n">
        <f aca="false">(((B98*(B94))+B86)/(1-B80))*B80</f>
        <v>0</v>
      </c>
      <c r="C100" s="12"/>
      <c r="D100" s="12"/>
      <c r="E100" s="236"/>
      <c r="F100" s="236"/>
      <c r="G100" s="236"/>
      <c r="H100" s="11"/>
      <c r="J100" s="221" t="s">
        <v>109</v>
      </c>
      <c r="K100" s="11" t="n">
        <f aca="false">(K99/(1-K80))*K80</f>
        <v>0</v>
      </c>
      <c r="L100" s="12"/>
      <c r="M100" s="12"/>
      <c r="N100" s="236"/>
      <c r="O100" s="236"/>
      <c r="P100" s="236"/>
      <c r="Q100" s="11"/>
      <c r="S100" s="221" t="s">
        <v>109</v>
      </c>
      <c r="T100" s="11" t="n">
        <f aca="false">(T99/(1-T80))*T80</f>
        <v>0</v>
      </c>
      <c r="U100" s="12"/>
      <c r="V100" s="12"/>
      <c r="W100" s="236"/>
      <c r="X100" s="236"/>
      <c r="Y100" s="236"/>
      <c r="Z100" s="11"/>
      <c r="AB100" s="221" t="s">
        <v>109</v>
      </c>
      <c r="AC100" s="11" t="n">
        <f aca="false">(AC99/(1-AC80))*AC80</f>
        <v>0</v>
      </c>
      <c r="AD100" s="12"/>
      <c r="AE100" s="12"/>
      <c r="AF100" s="236"/>
      <c r="AG100" s="236"/>
      <c r="AH100" s="236"/>
      <c r="AI100" s="11"/>
    </row>
    <row r="101" customFormat="false" ht="17.35" hidden="false" customHeight="false" outlineLevel="0" collapsed="false">
      <c r="A101" s="249" t="s">
        <v>110</v>
      </c>
      <c r="B101" s="84" t="n">
        <f aca="false">(B99+B100)</f>
        <v>52476.3332978415</v>
      </c>
      <c r="C101" s="12"/>
      <c r="D101" s="12"/>
      <c r="E101" s="236"/>
      <c r="F101" s="236"/>
      <c r="G101" s="236"/>
      <c r="H101" s="11"/>
      <c r="J101" s="249" t="s">
        <v>110</v>
      </c>
      <c r="K101" s="84" t="n">
        <f aca="false">(K99+K100)</f>
        <v>51800.308811823</v>
      </c>
      <c r="L101" s="12"/>
      <c r="M101" s="12"/>
      <c r="N101" s="236"/>
      <c r="O101" s="236"/>
      <c r="P101" s="236"/>
      <c r="Q101" s="11"/>
      <c r="S101" s="249" t="s">
        <v>110</v>
      </c>
      <c r="T101" s="84" t="n">
        <f aca="false">(T99+T100)</f>
        <v>53587.5554919699</v>
      </c>
      <c r="U101" s="12"/>
      <c r="V101" s="12"/>
      <c r="W101" s="236"/>
      <c r="X101" s="236"/>
      <c r="Y101" s="236"/>
      <c r="Z101" s="11"/>
      <c r="AB101" s="249" t="s">
        <v>110</v>
      </c>
      <c r="AC101" s="84" t="n">
        <f aca="false">(AC99+AC100)</f>
        <v>53587.5554919699</v>
      </c>
      <c r="AD101" s="12"/>
      <c r="AE101" s="12"/>
      <c r="AF101" s="236"/>
      <c r="AG101" s="236"/>
      <c r="AH101" s="236"/>
      <c r="AI101" s="11"/>
    </row>
    <row r="102" customFormat="false" ht="17.35" hidden="false" customHeight="false" outlineLevel="0" collapsed="false">
      <c r="A102" s="221"/>
      <c r="B102" s="12"/>
      <c r="C102" s="12"/>
      <c r="D102" s="12"/>
      <c r="E102" s="236"/>
      <c r="F102" s="236"/>
      <c r="G102" s="236"/>
      <c r="H102" s="11"/>
      <c r="J102" s="221"/>
      <c r="K102" s="12"/>
      <c r="L102" s="12"/>
      <c r="M102" s="12"/>
      <c r="N102" s="236"/>
      <c r="O102" s="236"/>
      <c r="P102" s="236"/>
      <c r="Q102" s="11"/>
      <c r="S102" s="221"/>
      <c r="T102" s="12"/>
      <c r="U102" s="12"/>
      <c r="V102" s="12"/>
      <c r="W102" s="236"/>
      <c r="X102" s="236"/>
      <c r="Y102" s="236"/>
      <c r="Z102" s="11"/>
      <c r="AB102" s="221"/>
      <c r="AC102" s="12"/>
      <c r="AD102" s="12"/>
      <c r="AE102" s="12"/>
      <c r="AF102" s="236"/>
      <c r="AG102" s="236"/>
      <c r="AH102" s="236"/>
      <c r="AI102" s="11"/>
    </row>
    <row r="103" customFormat="false" ht="17.35" hidden="false" customHeight="false" outlineLevel="0" collapsed="false">
      <c r="A103" s="271" t="s">
        <v>65</v>
      </c>
      <c r="B103" s="272" t="n">
        <f aca="false">((A46 * A34) + ((A46 * A34)*A117))/(B68)</f>
        <v>0</v>
      </c>
      <c r="C103" s="12"/>
      <c r="D103" s="12"/>
      <c r="E103" s="236"/>
      <c r="F103" s="236"/>
      <c r="G103" s="236"/>
      <c r="H103" s="11"/>
      <c r="J103" s="271" t="s">
        <v>65</v>
      </c>
      <c r="K103" s="272" t="n">
        <f aca="false">((E40/K94)*(1+J117))*1.2</f>
        <v>0</v>
      </c>
      <c r="L103" s="12"/>
      <c r="M103" s="12"/>
      <c r="N103" s="236"/>
      <c r="O103" s="236"/>
      <c r="P103" s="236"/>
      <c r="Q103" s="11"/>
      <c r="S103" s="271" t="s">
        <v>65</v>
      </c>
      <c r="T103" s="272" t="n">
        <f aca="false">((E40/T94)*(1+S117))</f>
        <v>0</v>
      </c>
      <c r="U103" s="12"/>
      <c r="V103" s="12"/>
      <c r="W103" s="236"/>
      <c r="X103" s="236"/>
      <c r="Y103" s="236"/>
      <c r="Z103" s="11"/>
      <c r="AB103" s="271" t="s">
        <v>65</v>
      </c>
      <c r="AC103" s="272" t="n">
        <f aca="false">((E40/AC94)*(1+AB117))*1.2</f>
        <v>0</v>
      </c>
      <c r="AD103" s="12"/>
      <c r="AE103" s="12"/>
      <c r="AF103" s="236"/>
      <c r="AG103" s="236"/>
      <c r="AH103" s="236"/>
      <c r="AI103" s="11"/>
    </row>
    <row r="104" customFormat="false" ht="17.35" hidden="false" customHeight="false" outlineLevel="0" collapsed="false">
      <c r="A104" s="274" t="s">
        <v>111</v>
      </c>
      <c r="B104" s="275" t="n">
        <f aca="false">B101/(B94)</f>
        <v>1639.88541555755</v>
      </c>
      <c r="C104" s="12"/>
      <c r="D104" s="12"/>
      <c r="E104" s="236"/>
      <c r="F104" s="236"/>
      <c r="G104" s="236"/>
      <c r="H104" s="11"/>
      <c r="J104" s="274" t="s">
        <v>111</v>
      </c>
      <c r="K104" s="275" t="n">
        <f aca="false">K101/(K94)</f>
        <v>1569.706327631</v>
      </c>
      <c r="L104" s="12"/>
      <c r="M104" s="12"/>
      <c r="N104" s="236"/>
      <c r="O104" s="236"/>
      <c r="P104" s="236"/>
      <c r="Q104" s="11"/>
      <c r="S104" s="274" t="s">
        <v>111</v>
      </c>
      <c r="T104" s="275" t="n">
        <f aca="false">T101/(T94)</f>
        <v>1674.61110912406</v>
      </c>
      <c r="U104" s="12"/>
      <c r="V104" s="12"/>
      <c r="W104" s="236"/>
      <c r="X104" s="236"/>
      <c r="Y104" s="236"/>
      <c r="Z104" s="11"/>
      <c r="AB104" s="274" t="s">
        <v>111</v>
      </c>
      <c r="AC104" s="275" t="n">
        <f aca="false">AC101/(AC68)</f>
        <v>1674.61110912406</v>
      </c>
      <c r="AD104" s="12"/>
      <c r="AE104" s="12"/>
      <c r="AF104" s="236"/>
      <c r="AG104" s="236"/>
      <c r="AH104" s="236"/>
      <c r="AI104" s="11"/>
    </row>
    <row r="105" customFormat="false" ht="17.35" hidden="false" customHeight="false" outlineLevel="0" collapsed="false">
      <c r="A105" s="276" t="s">
        <v>112</v>
      </c>
      <c r="B105" s="277" t="n">
        <f aca="false">B103+B104</f>
        <v>1639.88541555755</v>
      </c>
      <c r="C105" s="12"/>
      <c r="D105" s="12"/>
      <c r="E105" s="236" t="s">
        <v>26</v>
      </c>
      <c r="F105" s="236"/>
      <c r="G105" s="236"/>
      <c r="H105" s="11"/>
      <c r="J105" s="276" t="s">
        <v>112</v>
      </c>
      <c r="K105" s="277" t="n">
        <f aca="false">(K103+K104)</f>
        <v>1569.706327631</v>
      </c>
      <c r="L105" s="12"/>
      <c r="M105" s="12"/>
      <c r="N105" s="236"/>
      <c r="O105" s="236"/>
      <c r="P105" s="236"/>
      <c r="Q105" s="11"/>
      <c r="S105" s="276" t="s">
        <v>112</v>
      </c>
      <c r="T105" s="277" t="n">
        <f aca="false">T103+T104</f>
        <v>1674.61110912406</v>
      </c>
      <c r="U105" s="12"/>
      <c r="V105" s="12"/>
      <c r="W105" s="236"/>
      <c r="X105" s="236"/>
      <c r="Y105" s="236"/>
      <c r="Z105" s="11"/>
      <c r="AB105" s="276" t="s">
        <v>112</v>
      </c>
      <c r="AC105" s="277" t="n">
        <f aca="false">AC103+AC104</f>
        <v>1674.61110912406</v>
      </c>
      <c r="AD105" s="12"/>
      <c r="AE105" s="12"/>
      <c r="AF105" s="236"/>
      <c r="AG105" s="236"/>
      <c r="AH105" s="236"/>
      <c r="AI105" s="11"/>
    </row>
    <row r="106" customFormat="false" ht="17.35" hidden="false" customHeight="false" outlineLevel="0" collapsed="false">
      <c r="A106" s="249"/>
      <c r="B106" s="250"/>
      <c r="C106" s="250"/>
      <c r="D106" s="250"/>
      <c r="E106" s="278"/>
      <c r="F106" s="278"/>
      <c r="G106" s="278"/>
      <c r="H106" s="84"/>
      <c r="J106" s="249"/>
      <c r="K106" s="250"/>
      <c r="L106" s="250"/>
      <c r="M106" s="250"/>
      <c r="N106" s="278"/>
      <c r="O106" s="278"/>
      <c r="P106" s="278"/>
      <c r="Q106" s="84"/>
      <c r="S106" s="249"/>
      <c r="T106" s="250"/>
      <c r="U106" s="250"/>
      <c r="V106" s="250"/>
      <c r="W106" s="278"/>
      <c r="X106" s="278"/>
      <c r="Y106" s="278"/>
      <c r="Z106" s="84"/>
      <c r="AB106" s="249"/>
      <c r="AC106" s="250"/>
      <c r="AD106" s="250"/>
      <c r="AE106" s="250"/>
      <c r="AF106" s="278"/>
      <c r="AG106" s="278"/>
      <c r="AH106" s="278"/>
      <c r="AI106" s="84"/>
    </row>
    <row r="107" customFormat="false" ht="13.8" hidden="false" customHeight="false" outlineLevel="0" collapsed="false">
      <c r="A107" s="236"/>
      <c r="B107" s="236"/>
      <c r="C107" s="236"/>
      <c r="D107" s="236"/>
      <c r="E107" s="236"/>
      <c r="F107" s="236"/>
      <c r="G107" s="236"/>
      <c r="H107" s="236"/>
      <c r="J107" s="236"/>
      <c r="K107" s="236"/>
      <c r="L107" s="236"/>
      <c r="M107" s="236"/>
      <c r="N107" s="236"/>
      <c r="O107" s="236"/>
      <c r="P107" s="236"/>
      <c r="Q107" s="236"/>
      <c r="S107" s="236"/>
      <c r="T107" s="236"/>
      <c r="U107" s="236"/>
      <c r="V107" s="236"/>
      <c r="W107" s="236"/>
      <c r="X107" s="236"/>
      <c r="Y107" s="236"/>
      <c r="Z107" s="236"/>
      <c r="AB107" s="236"/>
      <c r="AC107" s="236"/>
      <c r="AD107" s="236"/>
      <c r="AE107" s="236"/>
      <c r="AF107" s="236"/>
      <c r="AG107" s="236"/>
      <c r="AH107" s="236"/>
      <c r="AI107" s="236"/>
    </row>
    <row r="108" customFormat="false" ht="13.8" hidden="false" customHeight="false" outlineLevel="0" collapsed="false">
      <c r="A108" s="236" t="n">
        <v>0.2</v>
      </c>
      <c r="B108" s="236" t="s">
        <v>219</v>
      </c>
      <c r="C108" s="236"/>
      <c r="D108" s="236"/>
      <c r="E108" s="236"/>
      <c r="F108" s="236"/>
      <c r="G108" s="236"/>
      <c r="H108" s="236"/>
      <c r="J108" s="236"/>
      <c r="K108" s="236"/>
      <c r="L108" s="236"/>
      <c r="M108" s="236"/>
      <c r="N108" s="236"/>
      <c r="O108" s="236"/>
      <c r="P108" s="236"/>
      <c r="Q108" s="236"/>
      <c r="S108" s="236"/>
      <c r="T108" s="236"/>
      <c r="U108" s="236"/>
      <c r="V108" s="236"/>
      <c r="W108" s="236"/>
      <c r="X108" s="236"/>
      <c r="Y108" s="236"/>
      <c r="Z108" s="236"/>
      <c r="AB108" s="236"/>
      <c r="AC108" s="236"/>
      <c r="AD108" s="236"/>
      <c r="AE108" s="236"/>
      <c r="AF108" s="236"/>
      <c r="AG108" s="236"/>
      <c r="AH108" s="236"/>
      <c r="AI108" s="236"/>
    </row>
    <row r="109" customFormat="false" ht="47.25" hidden="false" customHeight="true" outlineLevel="0" collapsed="false">
      <c r="A109" s="217" t="s">
        <v>220</v>
      </c>
      <c r="B109" s="217"/>
      <c r="C109" s="217"/>
      <c r="D109" s="217"/>
      <c r="E109" s="217"/>
      <c r="F109" s="217"/>
      <c r="G109" s="217"/>
      <c r="H109" s="217"/>
      <c r="J109" s="237" t="s">
        <v>221</v>
      </c>
      <c r="K109" s="237"/>
      <c r="L109" s="237"/>
      <c r="M109" s="237"/>
      <c r="N109" s="237"/>
      <c r="O109" s="237"/>
      <c r="P109" s="237"/>
      <c r="Q109" s="237"/>
      <c r="S109" s="217" t="s">
        <v>222</v>
      </c>
      <c r="T109" s="217"/>
      <c r="U109" s="217"/>
      <c r="V109" s="217"/>
      <c r="W109" s="217"/>
      <c r="X109" s="217"/>
      <c r="Y109" s="217"/>
      <c r="Z109" s="217"/>
      <c r="AB109" s="217" t="s">
        <v>223</v>
      </c>
      <c r="AC109" s="217"/>
      <c r="AD109" s="217"/>
      <c r="AE109" s="217"/>
      <c r="AF109" s="217"/>
      <c r="AG109" s="217"/>
      <c r="AH109" s="217"/>
      <c r="AI109" s="217"/>
    </row>
    <row r="110" customFormat="false" ht="17.35" hidden="false" customHeight="false" outlineLevel="0" collapsed="false">
      <c r="A110" s="238"/>
      <c r="B110" s="239"/>
      <c r="C110" s="239"/>
      <c r="D110" s="239"/>
      <c r="E110" s="262"/>
      <c r="F110" s="262"/>
      <c r="G110" s="262"/>
      <c r="H110" s="279"/>
      <c r="J110" s="238"/>
      <c r="K110" s="239"/>
      <c r="L110" s="239"/>
      <c r="M110" s="239"/>
      <c r="N110" s="262"/>
      <c r="O110" s="262"/>
      <c r="P110" s="262"/>
      <c r="Q110" s="279"/>
      <c r="S110" s="238"/>
      <c r="T110" s="239"/>
      <c r="U110" s="239"/>
      <c r="V110" s="239"/>
      <c r="W110" s="262"/>
      <c r="X110" s="262"/>
      <c r="Y110" s="262"/>
      <c r="Z110" s="279"/>
      <c r="AB110" s="238"/>
      <c r="AC110" s="239"/>
      <c r="AD110" s="239"/>
      <c r="AE110" s="239"/>
      <c r="AF110" s="262"/>
      <c r="AG110" s="262"/>
      <c r="AH110" s="262"/>
      <c r="AI110" s="279"/>
    </row>
    <row r="111" customFormat="false" ht="22.05" hidden="false" customHeight="false" outlineLevel="0" collapsed="false">
      <c r="A111" s="240" t="s">
        <v>25</v>
      </c>
      <c r="B111" s="240" t="n">
        <v>0</v>
      </c>
      <c r="C111" s="240"/>
      <c r="D111" s="240"/>
      <c r="E111" s="240" t="n">
        <v>0</v>
      </c>
      <c r="F111" s="240"/>
      <c r="G111" s="240"/>
      <c r="H111" s="240"/>
      <c r="J111" s="240" t="s">
        <v>116</v>
      </c>
      <c r="K111" s="240"/>
      <c r="L111" s="240"/>
      <c r="M111" s="240"/>
      <c r="N111" s="240"/>
      <c r="O111" s="240"/>
      <c r="P111" s="240"/>
      <c r="Q111" s="240"/>
      <c r="S111" s="240" t="s">
        <v>116</v>
      </c>
      <c r="T111" s="240"/>
      <c r="U111" s="240"/>
      <c r="V111" s="240"/>
      <c r="W111" s="240"/>
      <c r="X111" s="240"/>
      <c r="Y111" s="240"/>
      <c r="Z111" s="240"/>
      <c r="AB111" s="240" t="s">
        <v>116</v>
      </c>
      <c r="AC111" s="240"/>
      <c r="AD111" s="240"/>
      <c r="AE111" s="240"/>
      <c r="AF111" s="240"/>
      <c r="AG111" s="240"/>
      <c r="AH111" s="240"/>
      <c r="AI111" s="240"/>
    </row>
    <row r="112" customFormat="false" ht="17.35" hidden="false" customHeight="false" outlineLevel="0" collapsed="false">
      <c r="A112" s="221"/>
      <c r="B112" s="12"/>
      <c r="C112" s="12"/>
      <c r="D112" s="12"/>
      <c r="E112" s="236"/>
      <c r="F112" s="236"/>
      <c r="G112" s="236"/>
      <c r="H112" s="280"/>
      <c r="J112" s="221"/>
      <c r="K112" s="12"/>
      <c r="L112" s="12"/>
      <c r="M112" s="12"/>
      <c r="N112" s="236"/>
      <c r="O112" s="236"/>
      <c r="P112" s="236"/>
      <c r="Q112" s="280"/>
      <c r="S112" s="221"/>
      <c r="T112" s="12"/>
      <c r="U112" s="12"/>
      <c r="V112" s="12"/>
      <c r="W112" s="236"/>
      <c r="X112" s="236"/>
      <c r="Y112" s="236"/>
      <c r="Z112" s="280"/>
      <c r="AB112" s="221"/>
      <c r="AC112" s="12"/>
      <c r="AD112" s="12"/>
      <c r="AE112" s="12"/>
      <c r="AF112" s="236"/>
      <c r="AG112" s="236"/>
      <c r="AH112" s="236"/>
      <c r="AI112" s="280"/>
    </row>
    <row r="113" customFormat="false" ht="17.35" hidden="false" customHeight="false" outlineLevel="0" collapsed="false">
      <c r="A113" s="221" t="s">
        <v>118</v>
      </c>
      <c r="B113" s="12" t="s">
        <v>30</v>
      </c>
      <c r="C113" s="12"/>
      <c r="D113" s="12"/>
      <c r="E113" s="12" t="s">
        <v>130</v>
      </c>
      <c r="F113" s="12"/>
      <c r="G113" s="12"/>
      <c r="H113" s="11"/>
      <c r="J113" s="221" t="s">
        <v>118</v>
      </c>
      <c r="K113" s="12" t="s">
        <v>30</v>
      </c>
      <c r="L113" s="12"/>
      <c r="M113" s="12"/>
      <c r="N113" s="12" t="s">
        <v>130</v>
      </c>
      <c r="O113" s="12"/>
      <c r="P113" s="12"/>
      <c r="Q113" s="11"/>
      <c r="S113" s="221" t="s">
        <v>118</v>
      </c>
      <c r="T113" s="12" t="s">
        <v>30</v>
      </c>
      <c r="U113" s="12"/>
      <c r="V113" s="12"/>
      <c r="W113" s="12" t="s">
        <v>130</v>
      </c>
      <c r="X113" s="12"/>
      <c r="Y113" s="12"/>
      <c r="Z113" s="11"/>
      <c r="AB113" s="221" t="s">
        <v>118</v>
      </c>
      <c r="AC113" s="12" t="s">
        <v>30</v>
      </c>
      <c r="AD113" s="12"/>
      <c r="AE113" s="12"/>
      <c r="AF113" s="12" t="s">
        <v>130</v>
      </c>
      <c r="AG113" s="12"/>
      <c r="AH113" s="12"/>
      <c r="AI113" s="11"/>
    </row>
    <row r="114" customFormat="false" ht="17.35" hidden="false" customHeight="false" outlineLevel="0" collapsed="false">
      <c r="A114" s="241" t="s">
        <v>224</v>
      </c>
      <c r="B114" s="215" t="s">
        <v>117</v>
      </c>
      <c r="C114" s="215"/>
      <c r="D114" s="215"/>
      <c r="E114" s="42" t="s">
        <v>25</v>
      </c>
      <c r="F114" s="42"/>
      <c r="G114" s="42"/>
      <c r="H114" s="280"/>
      <c r="J114" s="241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80"/>
      <c r="S114" s="241" t="s">
        <v>224</v>
      </c>
      <c r="T114" s="215" t="s">
        <v>117</v>
      </c>
      <c r="U114" s="215"/>
      <c r="V114" s="215"/>
      <c r="W114" s="42" t="s">
        <v>25</v>
      </c>
      <c r="X114" s="42"/>
      <c r="Y114" s="42"/>
      <c r="Z114" s="280"/>
      <c r="AB114" s="241" t="s">
        <v>224</v>
      </c>
      <c r="AC114" s="215" t="s">
        <v>117</v>
      </c>
      <c r="AD114" s="215"/>
      <c r="AE114" s="215"/>
      <c r="AF114" s="42" t="s">
        <v>25</v>
      </c>
      <c r="AG114" s="42"/>
      <c r="AH114" s="42"/>
      <c r="AI114" s="280"/>
    </row>
    <row r="115" customFormat="false" ht="17.35" hidden="false" customHeight="false" outlineLevel="0" collapsed="false">
      <c r="A115" s="221"/>
      <c r="B115" s="12"/>
      <c r="C115" s="12"/>
      <c r="D115" s="236"/>
      <c r="E115" s="12"/>
      <c r="F115" s="12"/>
      <c r="G115" s="236"/>
      <c r="H115" s="11"/>
      <c r="J115" s="221"/>
      <c r="K115" s="12"/>
      <c r="L115" s="12"/>
      <c r="M115" s="236"/>
      <c r="N115" s="12"/>
      <c r="O115" s="12"/>
      <c r="P115" s="236"/>
      <c r="Q115" s="11"/>
      <c r="S115" s="221"/>
      <c r="T115" s="12"/>
      <c r="U115" s="12"/>
      <c r="V115" s="236"/>
      <c r="W115" s="12"/>
      <c r="X115" s="12"/>
      <c r="Y115" s="236"/>
      <c r="Z115" s="11"/>
      <c r="AB115" s="221"/>
      <c r="AC115" s="12"/>
      <c r="AD115" s="12"/>
      <c r="AE115" s="236"/>
      <c r="AF115" s="12"/>
      <c r="AG115" s="12"/>
      <c r="AH115" s="236"/>
      <c r="AI115" s="11"/>
    </row>
    <row r="116" customFormat="false" ht="17.35" hidden="false" customHeight="false" outlineLevel="0" collapsed="false">
      <c r="A116" s="221" t="s">
        <v>131</v>
      </c>
      <c r="B116" s="12" t="s">
        <v>225</v>
      </c>
      <c r="C116" s="12"/>
      <c r="D116" s="236"/>
      <c r="E116" s="12" t="s">
        <v>226</v>
      </c>
      <c r="F116" s="12"/>
      <c r="G116" s="236"/>
      <c r="H116" s="280"/>
      <c r="J116" s="221" t="s">
        <v>131</v>
      </c>
      <c r="K116" s="12" t="s">
        <v>225</v>
      </c>
      <c r="L116" s="12"/>
      <c r="M116" s="236"/>
      <c r="N116" s="12" t="s">
        <v>226</v>
      </c>
      <c r="O116" s="12"/>
      <c r="P116" s="236"/>
      <c r="Q116" s="280"/>
      <c r="S116" s="221" t="s">
        <v>131</v>
      </c>
      <c r="T116" s="12" t="s">
        <v>225</v>
      </c>
      <c r="U116" s="12"/>
      <c r="V116" s="236"/>
      <c r="W116" s="12" t="s">
        <v>226</v>
      </c>
      <c r="X116" s="12"/>
      <c r="Y116" s="236"/>
      <c r="Z116" s="280"/>
      <c r="AB116" s="221" t="s">
        <v>131</v>
      </c>
      <c r="AC116" s="12" t="s">
        <v>225</v>
      </c>
      <c r="AD116" s="12"/>
      <c r="AE116" s="236"/>
      <c r="AF116" s="12" t="s">
        <v>226</v>
      </c>
      <c r="AG116" s="12"/>
      <c r="AH116" s="236"/>
      <c r="AI116" s="280"/>
    </row>
    <row r="117" customFormat="false" ht="17.35" hidden="false" customHeight="false" outlineLevel="0" collapsed="false">
      <c r="A117" s="281" t="n">
        <v>0.2</v>
      </c>
      <c r="B117" s="112" t="s">
        <v>227</v>
      </c>
      <c r="C117" s="112"/>
      <c r="D117" s="112"/>
      <c r="E117" s="282" t="n">
        <f aca="false">B92</f>
        <v>0.137</v>
      </c>
      <c r="F117" s="282"/>
      <c r="G117" s="282"/>
      <c r="H117" s="246"/>
      <c r="J117" s="281" t="n">
        <v>0.3</v>
      </c>
      <c r="K117" s="112" t="s">
        <v>227</v>
      </c>
      <c r="L117" s="112"/>
      <c r="M117" s="112"/>
      <c r="N117" s="282" t="n">
        <f aca="false">K92</f>
        <v>0.24</v>
      </c>
      <c r="O117" s="282"/>
      <c r="P117" s="282"/>
      <c r="Q117" s="246"/>
      <c r="S117" s="281" t="n">
        <v>0.2</v>
      </c>
      <c r="T117" s="112" t="s">
        <v>228</v>
      </c>
      <c r="U117" s="112"/>
      <c r="V117" s="112"/>
      <c r="W117" s="282" t="n">
        <f aca="false">T92</f>
        <v>0.1235</v>
      </c>
      <c r="X117" s="282"/>
      <c r="Y117" s="282"/>
      <c r="Z117" s="246"/>
      <c r="AB117" s="281" t="n">
        <v>0.2</v>
      </c>
      <c r="AC117" s="112" t="s">
        <v>228</v>
      </c>
      <c r="AD117" s="112"/>
      <c r="AE117" s="112"/>
      <c r="AF117" s="283" t="n">
        <f aca="false">AC92</f>
        <v>0.1235</v>
      </c>
      <c r="AG117" s="283"/>
      <c r="AH117" s="283"/>
      <c r="AI117" s="246"/>
      <c r="AP117" s="216" t="s">
        <v>229</v>
      </c>
    </row>
    <row r="118" customFormat="false" ht="17.35" hidden="false" customHeight="false" outlineLevel="0" collapsed="false">
      <c r="A118" s="221"/>
      <c r="B118" s="12"/>
      <c r="C118" s="12"/>
      <c r="D118" s="12"/>
      <c r="E118" s="12"/>
      <c r="F118" s="12"/>
      <c r="G118" s="12"/>
      <c r="H118" s="11"/>
      <c r="J118" s="221"/>
      <c r="K118" s="12"/>
      <c r="L118" s="12"/>
      <c r="M118" s="12"/>
      <c r="N118" s="12"/>
      <c r="O118" s="12"/>
      <c r="P118" s="12"/>
      <c r="Q118" s="11"/>
      <c r="S118" s="221"/>
      <c r="T118" s="12"/>
      <c r="U118" s="12"/>
      <c r="V118" s="12"/>
      <c r="W118" s="12"/>
      <c r="X118" s="12"/>
      <c r="Y118" s="12"/>
      <c r="Z118" s="11"/>
      <c r="AB118" s="221"/>
      <c r="AC118" s="12"/>
      <c r="AD118" s="12"/>
      <c r="AE118" s="12"/>
      <c r="AF118" s="12"/>
      <c r="AG118" s="12"/>
      <c r="AH118" s="12"/>
      <c r="AI118" s="11"/>
      <c r="AP118" s="216" t="s">
        <v>227</v>
      </c>
    </row>
    <row r="119" customFormat="false" ht="17.35" hidden="false" customHeight="false" outlineLevel="0" collapsed="false">
      <c r="A119" s="221" t="s">
        <v>230</v>
      </c>
      <c r="B119" s="12" t="s">
        <v>142</v>
      </c>
      <c r="C119" s="12"/>
      <c r="D119" s="12"/>
      <c r="E119" s="12" t="s">
        <v>231</v>
      </c>
      <c r="F119" s="12"/>
      <c r="G119" s="12"/>
      <c r="H119" s="11"/>
      <c r="J119" s="221" t="s">
        <v>230</v>
      </c>
      <c r="K119" s="12" t="s">
        <v>142</v>
      </c>
      <c r="L119" s="12"/>
      <c r="M119" s="12"/>
      <c r="N119" s="12" t="s">
        <v>231</v>
      </c>
      <c r="O119" s="12"/>
      <c r="P119" s="12"/>
      <c r="Q119" s="11"/>
      <c r="S119" s="221" t="s">
        <v>230</v>
      </c>
      <c r="T119" s="12" t="s">
        <v>142</v>
      </c>
      <c r="U119" s="12"/>
      <c r="V119" s="12"/>
      <c r="W119" s="12" t="s">
        <v>231</v>
      </c>
      <c r="X119" s="12"/>
      <c r="Y119" s="12"/>
      <c r="Z119" s="11"/>
      <c r="AB119" s="221" t="s">
        <v>230</v>
      </c>
      <c r="AC119" s="12" t="s">
        <v>142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2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80"/>
      <c r="J120" s="242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80"/>
      <c r="S120" s="242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80"/>
      <c r="AB120" s="242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80"/>
    </row>
    <row r="121" customFormat="false" ht="17.35" hidden="false" customHeight="false" outlineLevel="0" collapsed="false">
      <c r="A121" s="221"/>
      <c r="B121" s="12"/>
      <c r="C121" s="12"/>
      <c r="D121" s="12"/>
      <c r="E121" s="12"/>
      <c r="F121" s="12"/>
      <c r="G121" s="236"/>
      <c r="H121" s="280"/>
      <c r="J121" s="221"/>
      <c r="K121" s="12"/>
      <c r="L121" s="12"/>
      <c r="M121" s="12"/>
      <c r="N121" s="12"/>
      <c r="O121" s="12"/>
      <c r="P121" s="236"/>
      <c r="Q121" s="280"/>
      <c r="S121" s="221"/>
      <c r="T121" s="12"/>
      <c r="U121" s="12"/>
      <c r="V121" s="12"/>
      <c r="W121" s="12"/>
      <c r="X121" s="12"/>
      <c r="Y121" s="236"/>
      <c r="Z121" s="280"/>
      <c r="AB121" s="221"/>
      <c r="AC121" s="12"/>
      <c r="AD121" s="12"/>
      <c r="AE121" s="12"/>
      <c r="AF121" s="12"/>
      <c r="AG121" s="12"/>
      <c r="AH121" s="236"/>
      <c r="AI121" s="280"/>
    </row>
    <row r="122" customFormat="false" ht="17.35" hidden="false" customHeight="false" outlineLevel="0" collapsed="false">
      <c r="A122" s="51" t="s">
        <v>232</v>
      </c>
      <c r="B122" s="12" t="s">
        <v>163</v>
      </c>
      <c r="C122" s="12"/>
      <c r="D122" s="12"/>
      <c r="E122" s="12" t="s">
        <v>132</v>
      </c>
      <c r="F122" s="12"/>
      <c r="G122" s="236"/>
      <c r="H122" s="280"/>
      <c r="J122" s="51" t="s">
        <v>232</v>
      </c>
      <c r="K122" s="12" t="s">
        <v>163</v>
      </c>
      <c r="L122" s="12"/>
      <c r="M122" s="12"/>
      <c r="N122" s="12" t="s">
        <v>132</v>
      </c>
      <c r="O122" s="12"/>
      <c r="P122" s="236"/>
      <c r="Q122" s="280"/>
      <c r="S122" s="51" t="s">
        <v>232</v>
      </c>
      <c r="T122" s="12" t="s">
        <v>163</v>
      </c>
      <c r="U122" s="12"/>
      <c r="V122" s="12"/>
      <c r="W122" s="12" t="s">
        <v>132</v>
      </c>
      <c r="X122" s="12"/>
      <c r="Y122" s="236"/>
      <c r="Z122" s="280"/>
      <c r="AB122" s="51" t="s">
        <v>232</v>
      </c>
      <c r="AC122" s="12" t="s">
        <v>163</v>
      </c>
      <c r="AD122" s="12"/>
      <c r="AE122" s="12"/>
      <c r="AF122" s="12" t="s">
        <v>132</v>
      </c>
      <c r="AG122" s="12"/>
      <c r="AH122" s="236"/>
      <c r="AI122" s="280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80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80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80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80"/>
    </row>
    <row r="124" customFormat="false" ht="13.8" hidden="false" customHeight="false" outlineLevel="0" collapsed="false">
      <c r="A124" s="284"/>
      <c r="B124" s="236"/>
      <c r="C124" s="236"/>
      <c r="D124" s="236"/>
      <c r="E124" s="236"/>
      <c r="F124" s="236"/>
      <c r="G124" s="236"/>
      <c r="H124" s="280"/>
      <c r="J124" s="284"/>
      <c r="K124" s="236"/>
      <c r="L124" s="236"/>
      <c r="M124" s="236"/>
      <c r="N124" s="236"/>
      <c r="O124" s="236"/>
      <c r="P124" s="236"/>
      <c r="Q124" s="280"/>
      <c r="S124" s="284"/>
      <c r="T124" s="236"/>
      <c r="U124" s="236"/>
      <c r="V124" s="236"/>
      <c r="W124" s="236"/>
      <c r="X124" s="236"/>
      <c r="Y124" s="236"/>
      <c r="Z124" s="280"/>
      <c r="AB124" s="284"/>
      <c r="AC124" s="236"/>
      <c r="AD124" s="236"/>
      <c r="AE124" s="236"/>
      <c r="AF124" s="236"/>
      <c r="AG124" s="236"/>
      <c r="AH124" s="236"/>
      <c r="AI124" s="280"/>
    </row>
    <row r="125" customFormat="false" ht="13.8" hidden="false" customHeight="false" outlineLevel="0" collapsed="false">
      <c r="A125" s="284"/>
      <c r="B125" s="236"/>
      <c r="C125" s="236"/>
      <c r="D125" s="236"/>
      <c r="E125" s="236"/>
      <c r="F125" s="236"/>
      <c r="G125" s="236"/>
      <c r="H125" s="280"/>
      <c r="J125" s="284"/>
      <c r="K125" s="236"/>
      <c r="L125" s="236"/>
      <c r="M125" s="236"/>
      <c r="N125" s="236"/>
      <c r="O125" s="236"/>
      <c r="P125" s="236"/>
      <c r="Q125" s="280"/>
      <c r="S125" s="284"/>
      <c r="T125" s="236"/>
      <c r="U125" s="236"/>
      <c r="V125" s="236"/>
      <c r="W125" s="236"/>
      <c r="X125" s="236"/>
      <c r="Y125" s="236"/>
      <c r="Z125" s="280"/>
      <c r="AB125" s="284"/>
      <c r="AC125" s="236"/>
      <c r="AD125" s="236"/>
      <c r="AE125" s="236"/>
      <c r="AF125" s="236"/>
      <c r="AG125" s="236"/>
      <c r="AH125" s="236"/>
      <c r="AI125" s="280"/>
    </row>
    <row r="126" customFormat="false" ht="22.05" hidden="false" customHeight="false" outlineLevel="0" collapsed="false">
      <c r="A126" s="240" t="s">
        <v>233</v>
      </c>
      <c r="B126" s="240"/>
      <c r="C126" s="240"/>
      <c r="D126" s="240"/>
      <c r="E126" s="240"/>
      <c r="F126" s="240"/>
      <c r="G126" s="240"/>
      <c r="H126" s="240"/>
      <c r="J126" s="240" t="s">
        <v>233</v>
      </c>
      <c r="K126" s="240"/>
      <c r="L126" s="240"/>
      <c r="M126" s="240"/>
      <c r="N126" s="240"/>
      <c r="O126" s="240"/>
      <c r="P126" s="240"/>
      <c r="Q126" s="240"/>
      <c r="S126" s="240" t="s">
        <v>233</v>
      </c>
      <c r="T126" s="240"/>
      <c r="U126" s="240"/>
      <c r="V126" s="240"/>
      <c r="W126" s="240"/>
      <c r="X126" s="240"/>
      <c r="Y126" s="240"/>
      <c r="Z126" s="240"/>
      <c r="AB126" s="240" t="s">
        <v>233</v>
      </c>
      <c r="AC126" s="240"/>
      <c r="AD126" s="240"/>
      <c r="AE126" s="240"/>
      <c r="AF126" s="240"/>
      <c r="AG126" s="240"/>
      <c r="AH126" s="240"/>
      <c r="AI126" s="240"/>
    </row>
    <row r="127" customFormat="false" ht="13.8" hidden="false" customHeight="false" outlineLevel="0" collapsed="false">
      <c r="A127" s="284"/>
      <c r="B127" s="236"/>
      <c r="C127" s="236"/>
      <c r="D127" s="236"/>
      <c r="E127" s="236"/>
      <c r="F127" s="236"/>
      <c r="G127" s="236"/>
      <c r="H127" s="280"/>
      <c r="J127" s="284"/>
      <c r="K127" s="236"/>
      <c r="L127" s="236"/>
      <c r="M127" s="236"/>
      <c r="N127" s="236"/>
      <c r="O127" s="236"/>
      <c r="P127" s="236"/>
      <c r="Q127" s="280"/>
      <c r="S127" s="284"/>
      <c r="T127" s="236"/>
      <c r="U127" s="236"/>
      <c r="V127" s="236"/>
      <c r="W127" s="236"/>
      <c r="X127" s="236"/>
      <c r="Y127" s="236"/>
      <c r="Z127" s="280"/>
      <c r="AB127" s="284"/>
      <c r="AC127" s="236"/>
      <c r="AD127" s="236"/>
      <c r="AE127" s="236"/>
      <c r="AF127" s="236"/>
      <c r="AG127" s="236"/>
      <c r="AH127" s="236"/>
      <c r="AI127" s="280"/>
    </row>
    <row r="128" customFormat="false" ht="19.7" hidden="false" customHeight="false" outlineLevel="0" collapsed="false">
      <c r="A128" s="264"/>
      <c r="B128" s="285" t="s">
        <v>1</v>
      </c>
      <c r="C128" s="285"/>
      <c r="D128" s="285" t="s">
        <v>2</v>
      </c>
      <c r="E128" s="285"/>
      <c r="F128" s="285" t="s">
        <v>3</v>
      </c>
      <c r="G128" s="285"/>
      <c r="H128" s="286" t="s">
        <v>4</v>
      </c>
      <c r="J128" s="264"/>
      <c r="K128" s="285" t="s">
        <v>1</v>
      </c>
      <c r="L128" s="285"/>
      <c r="M128" s="285" t="s">
        <v>2</v>
      </c>
      <c r="N128" s="285"/>
      <c r="O128" s="285" t="s">
        <v>3</v>
      </c>
      <c r="P128" s="285"/>
      <c r="Q128" s="286" t="s">
        <v>4</v>
      </c>
      <c r="S128" s="264"/>
      <c r="T128" s="285" t="s">
        <v>1</v>
      </c>
      <c r="U128" s="285"/>
      <c r="V128" s="285" t="s">
        <v>2</v>
      </c>
      <c r="W128" s="285"/>
      <c r="X128" s="285" t="s">
        <v>3</v>
      </c>
      <c r="Y128" s="285"/>
      <c r="Z128" s="286" t="s">
        <v>4</v>
      </c>
      <c r="AB128" s="264"/>
      <c r="AC128" s="285" t="s">
        <v>1</v>
      </c>
      <c r="AD128" s="285"/>
      <c r="AE128" s="285" t="s">
        <v>2</v>
      </c>
      <c r="AF128" s="285"/>
      <c r="AG128" s="285" t="s">
        <v>3</v>
      </c>
      <c r="AH128" s="285"/>
      <c r="AI128" s="286" t="s">
        <v>4</v>
      </c>
    </row>
    <row r="129" customFormat="false" ht="19.7" hidden="false" customHeight="false" outlineLevel="0" collapsed="false">
      <c r="A129" s="218"/>
      <c r="B129" s="287" t="s">
        <v>234</v>
      </c>
      <c r="C129" s="288" t="s">
        <v>235</v>
      </c>
      <c r="D129" s="287" t="s">
        <v>234</v>
      </c>
      <c r="E129" s="289" t="s">
        <v>235</v>
      </c>
      <c r="F129" s="287" t="s">
        <v>234</v>
      </c>
      <c r="G129" s="289" t="s">
        <v>235</v>
      </c>
      <c r="H129" s="290"/>
      <c r="J129" s="218"/>
      <c r="K129" s="287" t="s">
        <v>234</v>
      </c>
      <c r="L129" s="288" t="s">
        <v>235</v>
      </c>
      <c r="M129" s="287" t="s">
        <v>234</v>
      </c>
      <c r="N129" s="289" t="s">
        <v>235</v>
      </c>
      <c r="O129" s="287" t="s">
        <v>234</v>
      </c>
      <c r="P129" s="289" t="s">
        <v>235</v>
      </c>
      <c r="Q129" s="290"/>
      <c r="S129" s="218"/>
      <c r="T129" s="287" t="s">
        <v>234</v>
      </c>
      <c r="U129" s="288" t="s">
        <v>235</v>
      </c>
      <c r="V129" s="287" t="s">
        <v>234</v>
      </c>
      <c r="W129" s="289" t="s">
        <v>235</v>
      </c>
      <c r="X129" s="287" t="s">
        <v>234</v>
      </c>
      <c r="Y129" s="289" t="s">
        <v>235</v>
      </c>
      <c r="Z129" s="290"/>
      <c r="AB129" s="218"/>
      <c r="AC129" s="287" t="s">
        <v>234</v>
      </c>
      <c r="AD129" s="288" t="s">
        <v>235</v>
      </c>
      <c r="AE129" s="287" t="s">
        <v>234</v>
      </c>
      <c r="AF129" s="289" t="s">
        <v>235</v>
      </c>
      <c r="AG129" s="287" t="s">
        <v>234</v>
      </c>
      <c r="AH129" s="289" t="s">
        <v>235</v>
      </c>
      <c r="AI129" s="290"/>
    </row>
    <row r="130" customFormat="false" ht="17.35" hidden="false" customHeight="false" outlineLevel="0" collapsed="false">
      <c r="A130" s="238" t="s">
        <v>5</v>
      </c>
      <c r="B130" s="238" t="n">
        <f aca="false">B3</f>
        <v>46854.17</v>
      </c>
      <c r="C130" s="242" t="n">
        <f aca="false">B130</f>
        <v>46854.17</v>
      </c>
      <c r="D130" s="238" t="n">
        <f aca="false">D3</f>
        <v>0</v>
      </c>
      <c r="E130" s="242" t="n">
        <f aca="false">D130</f>
        <v>0</v>
      </c>
      <c r="F130" s="238" t="n">
        <f aca="false">F3</f>
        <v>833.33</v>
      </c>
      <c r="G130" s="242" t="n">
        <f aca="false">F130</f>
        <v>833.33</v>
      </c>
      <c r="H130" s="291" t="n">
        <f aca="false">H3</f>
        <v>0</v>
      </c>
      <c r="J130" s="238" t="s">
        <v>5</v>
      </c>
      <c r="K130" s="238" t="n">
        <f aca="false">B3</f>
        <v>46854.17</v>
      </c>
      <c r="L130" s="242" t="n">
        <v>28629.17</v>
      </c>
      <c r="M130" s="238" t="n">
        <f aca="false">D3</f>
        <v>0</v>
      </c>
      <c r="N130" s="242" t="n">
        <f aca="false">M130</f>
        <v>0</v>
      </c>
      <c r="O130" s="238" t="n">
        <f aca="false">F3</f>
        <v>833.33</v>
      </c>
      <c r="P130" s="242" t="n">
        <f aca="false">O130</f>
        <v>833.33</v>
      </c>
      <c r="Q130" s="291" t="n">
        <f aca="false">H3</f>
        <v>0</v>
      </c>
      <c r="S130" s="238" t="s">
        <v>5</v>
      </c>
      <c r="T130" s="238" t="n">
        <f aca="false">B3</f>
        <v>46854.17</v>
      </c>
      <c r="U130" s="242" t="n">
        <f aca="false">T130</f>
        <v>46854.17</v>
      </c>
      <c r="V130" s="238" t="n">
        <f aca="false">D3</f>
        <v>0</v>
      </c>
      <c r="W130" s="242" t="n">
        <f aca="false">V130</f>
        <v>0</v>
      </c>
      <c r="X130" s="238" t="n">
        <f aca="false">F3</f>
        <v>833.33</v>
      </c>
      <c r="Y130" s="242" t="n">
        <f aca="false">X130</f>
        <v>833.33</v>
      </c>
      <c r="Z130" s="291" t="n">
        <f aca="false">H3</f>
        <v>0</v>
      </c>
      <c r="AB130" s="238" t="s">
        <v>5</v>
      </c>
      <c r="AC130" s="238" t="n">
        <f aca="false">B3</f>
        <v>46854.17</v>
      </c>
      <c r="AD130" s="242" t="n">
        <f aca="false">AC130</f>
        <v>46854.17</v>
      </c>
      <c r="AE130" s="238" t="n">
        <f aca="false">D3</f>
        <v>0</v>
      </c>
      <c r="AF130" s="242" t="n">
        <f aca="false">AE130</f>
        <v>0</v>
      </c>
      <c r="AG130" s="238" t="n">
        <f aca="false">F3</f>
        <v>833.33</v>
      </c>
      <c r="AH130" s="242" t="n">
        <f aca="false">AG130</f>
        <v>833.33</v>
      </c>
      <c r="AI130" s="291" t="n">
        <f aca="false">H3</f>
        <v>0</v>
      </c>
    </row>
    <row r="131" customFormat="false" ht="17.35" hidden="false" customHeight="false" outlineLevel="0" collapsed="false">
      <c r="A131" s="221" t="s">
        <v>6</v>
      </c>
      <c r="B131" s="292" t="n">
        <f aca="false">B4</f>
        <v>0</v>
      </c>
      <c r="C131" s="293" t="n">
        <v>0</v>
      </c>
      <c r="D131" s="292" t="n">
        <f aca="false">D4</f>
        <v>0</v>
      </c>
      <c r="E131" s="293" t="n">
        <v>0</v>
      </c>
      <c r="F131" s="292" t="n">
        <f aca="false">F4</f>
        <v>0</v>
      </c>
      <c r="G131" s="293" t="n">
        <v>0</v>
      </c>
      <c r="H131" s="225"/>
      <c r="J131" s="221" t="s">
        <v>6</v>
      </c>
      <c r="K131" s="292" t="n">
        <f aca="false">B4</f>
        <v>0</v>
      </c>
      <c r="L131" s="293" t="n">
        <v>0</v>
      </c>
      <c r="M131" s="292" t="n">
        <f aca="false">D4</f>
        <v>0</v>
      </c>
      <c r="N131" s="293" t="n">
        <f aca="false">M131</f>
        <v>0</v>
      </c>
      <c r="O131" s="292" t="n">
        <f aca="false">F4</f>
        <v>0</v>
      </c>
      <c r="P131" s="293" t="n">
        <f aca="false">O131</f>
        <v>0</v>
      </c>
      <c r="Q131" s="225"/>
      <c r="S131" s="221" t="s">
        <v>6</v>
      </c>
      <c r="T131" s="292" t="n">
        <f aca="false">B4</f>
        <v>0</v>
      </c>
      <c r="U131" s="293" t="n">
        <v>0.25</v>
      </c>
      <c r="V131" s="292" t="n">
        <f aca="false">D4</f>
        <v>0</v>
      </c>
      <c r="W131" s="293" t="n">
        <f aca="false">V131</f>
        <v>0</v>
      </c>
      <c r="X131" s="292" t="n">
        <f aca="false">F4</f>
        <v>0</v>
      </c>
      <c r="Y131" s="293" t="n">
        <f aca="false">X131</f>
        <v>0</v>
      </c>
      <c r="Z131" s="225"/>
      <c r="AB131" s="221" t="s">
        <v>6</v>
      </c>
      <c r="AC131" s="292" t="n">
        <f aca="false">B4</f>
        <v>0</v>
      </c>
      <c r="AD131" s="293" t="n">
        <v>0.25</v>
      </c>
      <c r="AE131" s="292" t="n">
        <f aca="false">D4</f>
        <v>0</v>
      </c>
      <c r="AF131" s="293" t="n">
        <f aca="false">AE131</f>
        <v>0</v>
      </c>
      <c r="AG131" s="292" t="n">
        <f aca="false">F4</f>
        <v>0</v>
      </c>
      <c r="AH131" s="293" t="n">
        <f aca="false">AG131</f>
        <v>0</v>
      </c>
      <c r="AI131" s="225"/>
    </row>
    <row r="132" customFormat="false" ht="17.35" hidden="false" customHeight="false" outlineLevel="0" collapsed="false">
      <c r="A132" s="221" t="s">
        <v>7</v>
      </c>
      <c r="B132" s="221" t="n">
        <f aca="false">B5</f>
        <v>0</v>
      </c>
      <c r="C132" s="242" t="n">
        <v>0</v>
      </c>
      <c r="D132" s="221" t="n">
        <f aca="false">D5</f>
        <v>0</v>
      </c>
      <c r="E132" s="242" t="n">
        <v>0</v>
      </c>
      <c r="F132" s="221" t="n">
        <f aca="false">F5</f>
        <v>0</v>
      </c>
      <c r="G132" s="242" t="n">
        <v>0</v>
      </c>
      <c r="H132" s="11"/>
      <c r="J132" s="221" t="s">
        <v>7</v>
      </c>
      <c r="K132" s="221" t="n">
        <f aca="false">B5</f>
        <v>0</v>
      </c>
      <c r="L132" s="242" t="n">
        <v>0</v>
      </c>
      <c r="M132" s="221" t="n">
        <f aca="false">D5</f>
        <v>0</v>
      </c>
      <c r="N132" s="242" t="n">
        <f aca="false">M132</f>
        <v>0</v>
      </c>
      <c r="O132" s="221" t="n">
        <f aca="false">F5</f>
        <v>0</v>
      </c>
      <c r="P132" s="242" t="n">
        <f aca="false">O132</f>
        <v>0</v>
      </c>
      <c r="Q132" s="11"/>
      <c r="S132" s="221" t="s">
        <v>7</v>
      </c>
      <c r="T132" s="221" t="n">
        <f aca="false">B5</f>
        <v>0</v>
      </c>
      <c r="U132" s="242" t="n">
        <v>0</v>
      </c>
      <c r="V132" s="221" t="n">
        <f aca="false">D5</f>
        <v>0</v>
      </c>
      <c r="W132" s="242" t="n">
        <f aca="false">V132</f>
        <v>0</v>
      </c>
      <c r="X132" s="221" t="n">
        <f aca="false">F5</f>
        <v>0</v>
      </c>
      <c r="Y132" s="242" t="n">
        <f aca="false">X132</f>
        <v>0</v>
      </c>
      <c r="Z132" s="11"/>
      <c r="AB132" s="221" t="s">
        <v>7</v>
      </c>
      <c r="AC132" s="221" t="n">
        <f aca="false">B5</f>
        <v>0</v>
      </c>
      <c r="AD132" s="242" t="n">
        <v>0</v>
      </c>
      <c r="AE132" s="221" t="n">
        <f aca="false">D5</f>
        <v>0</v>
      </c>
      <c r="AF132" s="242" t="n">
        <f aca="false">AE132</f>
        <v>0</v>
      </c>
      <c r="AG132" s="221" t="n">
        <f aca="false">F5</f>
        <v>0</v>
      </c>
      <c r="AH132" s="242" t="n">
        <f aca="false">AG132</f>
        <v>0</v>
      </c>
      <c r="AI132" s="11"/>
    </row>
    <row r="133" customFormat="false" ht="17.35" hidden="false" customHeight="false" outlineLevel="0" collapsed="false">
      <c r="A133" s="221" t="s">
        <v>8</v>
      </c>
      <c r="B133" s="221" t="n">
        <f aca="false">(B130*B131)+B132</f>
        <v>0</v>
      </c>
      <c r="C133" s="102" t="n">
        <f aca="false">(C130*C131)+C132</f>
        <v>0</v>
      </c>
      <c r="D133" s="221" t="n">
        <f aca="false">(D130*D131)+D132</f>
        <v>0</v>
      </c>
      <c r="E133" s="102" t="n">
        <f aca="false">(E130*E131)+E132</f>
        <v>0</v>
      </c>
      <c r="F133" s="221" t="n">
        <f aca="false">(F130*F131)+F132</f>
        <v>0</v>
      </c>
      <c r="G133" s="102" t="n">
        <f aca="false">(G130*G131)+G132</f>
        <v>0</v>
      </c>
      <c r="H133" s="11"/>
      <c r="J133" s="221" t="s">
        <v>8</v>
      </c>
      <c r="K133" s="221" t="n">
        <f aca="false">(K130*K131)+K132</f>
        <v>0</v>
      </c>
      <c r="L133" s="102" t="n">
        <f aca="false">(L130*L131)+L132</f>
        <v>0</v>
      </c>
      <c r="M133" s="221" t="n">
        <f aca="false">(M130*M131)+M132</f>
        <v>0</v>
      </c>
      <c r="N133" s="102" t="n">
        <f aca="false">(N130*N131)+N132</f>
        <v>0</v>
      </c>
      <c r="O133" s="221" t="n">
        <f aca="false">(O130*O131)+O132</f>
        <v>0</v>
      </c>
      <c r="P133" s="102" t="n">
        <f aca="false">(P130*P131)+P132</f>
        <v>0</v>
      </c>
      <c r="Q133" s="11"/>
      <c r="S133" s="221" t="s">
        <v>8</v>
      </c>
      <c r="T133" s="221" t="n">
        <f aca="false">(T130*T131)+T132</f>
        <v>0</v>
      </c>
      <c r="U133" s="102" t="n">
        <f aca="false">(U130*U131)+U132</f>
        <v>11713.5425</v>
      </c>
      <c r="V133" s="221" t="n">
        <f aca="false">(V130*V131)+V132</f>
        <v>0</v>
      </c>
      <c r="W133" s="102" t="n">
        <f aca="false">(W130*W131)+W132</f>
        <v>0</v>
      </c>
      <c r="X133" s="221" t="n">
        <f aca="false">(X130*X131)+X132</f>
        <v>0</v>
      </c>
      <c r="Y133" s="102" t="n">
        <f aca="false">(Y130*Y131)+Y132</f>
        <v>0</v>
      </c>
      <c r="Z133" s="11"/>
      <c r="AB133" s="221" t="s">
        <v>8</v>
      </c>
      <c r="AC133" s="221" t="n">
        <f aca="false">(AC130*AC131)+AC132</f>
        <v>0</v>
      </c>
      <c r="AD133" s="102" t="n">
        <f aca="false">(AD130*AD131)+AD132</f>
        <v>11713.5425</v>
      </c>
      <c r="AE133" s="221" t="n">
        <f aca="false">(AE130*AE131)+AE132</f>
        <v>0</v>
      </c>
      <c r="AF133" s="102" t="n">
        <f aca="false">(AF130*AF131)+AF132</f>
        <v>0</v>
      </c>
      <c r="AG133" s="221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9" t="s">
        <v>9</v>
      </c>
      <c r="B134" s="249" t="n">
        <f aca="false">B130-B133</f>
        <v>46854.17</v>
      </c>
      <c r="C134" s="84" t="n">
        <f aca="false">C130-C133</f>
        <v>46854.17</v>
      </c>
      <c r="D134" s="249" t="n">
        <f aca="false">D130-D133</f>
        <v>0</v>
      </c>
      <c r="E134" s="84" t="n">
        <f aca="false">E130-E133</f>
        <v>0</v>
      </c>
      <c r="F134" s="249" t="n">
        <f aca="false">F130-F133</f>
        <v>833.33</v>
      </c>
      <c r="G134" s="84" t="n">
        <f aca="false">G130-G133</f>
        <v>833.33</v>
      </c>
      <c r="H134" s="84"/>
      <c r="J134" s="249" t="s">
        <v>9</v>
      </c>
      <c r="K134" s="249" t="n">
        <f aca="false">K130-K133</f>
        <v>46854.17</v>
      </c>
      <c r="L134" s="84" t="n">
        <f aca="false">L130-L133</f>
        <v>28629.17</v>
      </c>
      <c r="M134" s="249" t="n">
        <f aca="false">M130-M133</f>
        <v>0</v>
      </c>
      <c r="N134" s="84" t="n">
        <f aca="false">N130-N133</f>
        <v>0</v>
      </c>
      <c r="O134" s="249" t="n">
        <f aca="false">O130-O133</f>
        <v>833.33</v>
      </c>
      <c r="P134" s="84" t="n">
        <f aca="false">P130-P133</f>
        <v>833.33</v>
      </c>
      <c r="Q134" s="84"/>
      <c r="S134" s="249" t="s">
        <v>9</v>
      </c>
      <c r="T134" s="249" t="n">
        <f aca="false">T130-T133</f>
        <v>46854.17</v>
      </c>
      <c r="U134" s="84" t="n">
        <f aca="false">U130-U133</f>
        <v>35140.6275</v>
      </c>
      <c r="V134" s="249" t="n">
        <f aca="false">V130-V133</f>
        <v>0</v>
      </c>
      <c r="W134" s="84" t="n">
        <f aca="false">W130-W133</f>
        <v>0</v>
      </c>
      <c r="X134" s="249" t="n">
        <f aca="false">X130-X133</f>
        <v>833.33</v>
      </c>
      <c r="Y134" s="84" t="n">
        <f aca="false">Y130-Y133</f>
        <v>833.33</v>
      </c>
      <c r="Z134" s="84"/>
      <c r="AB134" s="249" t="s">
        <v>9</v>
      </c>
      <c r="AC134" s="249" t="n">
        <f aca="false">AC130-AC133</f>
        <v>46854.17</v>
      </c>
      <c r="AD134" s="84" t="n">
        <f aca="false">AD130-AD133</f>
        <v>35140.6275</v>
      </c>
      <c r="AE134" s="249" t="n">
        <f aca="false">AE130-AE133</f>
        <v>0</v>
      </c>
      <c r="AF134" s="84" t="n">
        <f aca="false">AF130-AF133</f>
        <v>0</v>
      </c>
      <c r="AG134" s="249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1"/>
      <c r="B135" s="12"/>
      <c r="C135" s="12"/>
      <c r="D135" s="12"/>
      <c r="E135" s="12"/>
      <c r="F135" s="12"/>
      <c r="G135" s="12"/>
      <c r="H135" s="11"/>
      <c r="J135" s="221"/>
      <c r="K135" s="12"/>
      <c r="L135" s="12"/>
      <c r="M135" s="12"/>
      <c r="N135" s="12"/>
      <c r="O135" s="12"/>
      <c r="P135" s="12"/>
      <c r="Q135" s="11"/>
      <c r="S135" s="221"/>
      <c r="T135" s="12"/>
      <c r="U135" s="12"/>
      <c r="V135" s="12"/>
      <c r="W135" s="12"/>
      <c r="X135" s="12"/>
      <c r="Y135" s="12"/>
      <c r="Z135" s="11"/>
      <c r="AB135" s="221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4"/>
      <c r="B136" s="295"/>
      <c r="C136" s="295"/>
      <c r="D136" s="295"/>
      <c r="E136" s="295"/>
      <c r="F136" s="295"/>
      <c r="G136" s="227" t="s">
        <v>234</v>
      </c>
      <c r="H136" s="296" t="s">
        <v>235</v>
      </c>
      <c r="J136" s="294"/>
      <c r="K136" s="295"/>
      <c r="L136" s="295"/>
      <c r="M136" s="295"/>
      <c r="N136" s="295"/>
      <c r="O136" s="295"/>
      <c r="P136" s="227" t="s">
        <v>234</v>
      </c>
      <c r="Q136" s="296" t="s">
        <v>235</v>
      </c>
      <c r="S136" s="294"/>
      <c r="T136" s="295"/>
      <c r="U136" s="295"/>
      <c r="V136" s="295"/>
      <c r="W136" s="295"/>
      <c r="X136" s="295"/>
      <c r="Y136" s="227" t="s">
        <v>234</v>
      </c>
      <c r="Z136" s="296" t="s">
        <v>235</v>
      </c>
      <c r="AB136" s="294"/>
      <c r="AC136" s="295"/>
      <c r="AD136" s="295"/>
      <c r="AE136" s="295"/>
      <c r="AF136" s="295"/>
      <c r="AG136" s="295"/>
      <c r="AH136" s="227" t="s">
        <v>234</v>
      </c>
      <c r="AI136" s="296" t="s">
        <v>235</v>
      </c>
    </row>
    <row r="137" customFormat="false" ht="17.35" hidden="false" customHeight="false" outlineLevel="0" collapsed="false">
      <c r="A137" s="297" t="s">
        <v>236</v>
      </c>
      <c r="B137" s="298"/>
      <c r="C137" s="298"/>
      <c r="D137" s="298"/>
      <c r="E137" s="298"/>
      <c r="F137" s="298"/>
      <c r="G137" s="299" t="n">
        <f aca="false">H130</f>
        <v>0</v>
      </c>
      <c r="H137" s="300" t="n">
        <f aca="false">SUM(H140:H142)</f>
        <v>0</v>
      </c>
      <c r="J137" s="297" t="s">
        <v>236</v>
      </c>
      <c r="K137" s="298"/>
      <c r="L137" s="298"/>
      <c r="M137" s="298"/>
      <c r="N137" s="298"/>
      <c r="O137" s="298"/>
      <c r="P137" s="299" t="n">
        <f aca="false">Q130</f>
        <v>0</v>
      </c>
      <c r="Q137" s="300" t="n">
        <f aca="false">SUM(Q140:Q142)</f>
        <v>0</v>
      </c>
      <c r="S137" s="297" t="s">
        <v>236</v>
      </c>
      <c r="T137" s="298"/>
      <c r="U137" s="298"/>
      <c r="V137" s="298"/>
      <c r="W137" s="298"/>
      <c r="X137" s="298"/>
      <c r="Y137" s="299" t="n">
        <f aca="false">Z130</f>
        <v>0</v>
      </c>
      <c r="Z137" s="300" t="n">
        <f aca="false">SUM(Z140:Z142)</f>
        <v>0</v>
      </c>
      <c r="AB137" s="297" t="s">
        <v>236</v>
      </c>
      <c r="AC137" s="298"/>
      <c r="AD137" s="298"/>
      <c r="AE137" s="298"/>
      <c r="AF137" s="298"/>
      <c r="AG137" s="298"/>
      <c r="AH137" s="299" t="n">
        <f aca="false">AI130</f>
        <v>0</v>
      </c>
      <c r="AI137" s="300" t="n">
        <f aca="false">SUM(AI140:AI142)</f>
        <v>0</v>
      </c>
    </row>
    <row r="138" customFormat="false" ht="17.35" hidden="false" customHeight="false" outlineLevel="0" collapsed="false">
      <c r="A138" s="221"/>
      <c r="B138" s="12"/>
      <c r="C138" s="12"/>
      <c r="D138" s="12"/>
      <c r="E138" s="12"/>
      <c r="F138" s="12"/>
      <c r="G138" s="301"/>
      <c r="H138" s="302"/>
      <c r="J138" s="221"/>
      <c r="K138" s="12"/>
      <c r="L138" s="12"/>
      <c r="M138" s="12"/>
      <c r="N138" s="12"/>
      <c r="O138" s="12"/>
      <c r="P138" s="301"/>
      <c r="Q138" s="302"/>
      <c r="S138" s="221"/>
      <c r="T138" s="12"/>
      <c r="U138" s="12"/>
      <c r="V138" s="12"/>
      <c r="W138" s="12"/>
      <c r="X138" s="12"/>
      <c r="Y138" s="301"/>
      <c r="Z138" s="302"/>
      <c r="AB138" s="221"/>
      <c r="AC138" s="12"/>
      <c r="AD138" s="12"/>
      <c r="AE138" s="12"/>
      <c r="AF138" s="12"/>
      <c r="AG138" s="12"/>
      <c r="AH138" s="301"/>
      <c r="AI138" s="302"/>
    </row>
    <row r="139" customFormat="false" ht="17.35" hidden="false" customHeight="false" outlineLevel="0" collapsed="false">
      <c r="A139" s="303" t="s">
        <v>237</v>
      </c>
      <c r="B139" s="304" t="s">
        <v>238</v>
      </c>
      <c r="C139" s="304"/>
      <c r="D139" s="304" t="s">
        <v>239</v>
      </c>
      <c r="E139" s="304"/>
      <c r="F139" s="304" t="s">
        <v>7</v>
      </c>
      <c r="G139" s="304"/>
      <c r="H139" s="302" t="s">
        <v>235</v>
      </c>
      <c r="J139" s="303" t="s">
        <v>237</v>
      </c>
      <c r="K139" s="305" t="s">
        <v>238</v>
      </c>
      <c r="L139" s="305"/>
      <c r="M139" s="304" t="s">
        <v>239</v>
      </c>
      <c r="N139" s="304"/>
      <c r="O139" s="304" t="s">
        <v>7</v>
      </c>
      <c r="P139" s="304"/>
      <c r="Q139" s="302" t="s">
        <v>235</v>
      </c>
      <c r="S139" s="303" t="s">
        <v>237</v>
      </c>
      <c r="T139" s="304" t="s">
        <v>238</v>
      </c>
      <c r="U139" s="304"/>
      <c r="V139" s="304" t="s">
        <v>239</v>
      </c>
      <c r="W139" s="304"/>
      <c r="X139" s="304" t="s">
        <v>7</v>
      </c>
      <c r="Y139" s="304"/>
      <c r="Z139" s="302" t="s">
        <v>235</v>
      </c>
      <c r="AB139" s="303" t="s">
        <v>237</v>
      </c>
      <c r="AC139" s="304" t="s">
        <v>238</v>
      </c>
      <c r="AD139" s="304"/>
      <c r="AE139" s="304" t="s">
        <v>239</v>
      </c>
      <c r="AF139" s="304"/>
      <c r="AG139" s="304" t="s">
        <v>7</v>
      </c>
      <c r="AH139" s="304"/>
      <c r="AI139" s="302" t="s">
        <v>235</v>
      </c>
    </row>
    <row r="140" customFormat="false" ht="17.35" hidden="false" customHeight="false" outlineLevel="0" collapsed="false">
      <c r="A140" s="221" t="s">
        <v>240</v>
      </c>
      <c r="B140" s="306" t="n">
        <f aca="false">G137</f>
        <v>0</v>
      </c>
      <c r="C140" s="306"/>
      <c r="D140" s="307" t="n">
        <v>0</v>
      </c>
      <c r="E140" s="307"/>
      <c r="F140" s="306" t="n">
        <v>0</v>
      </c>
      <c r="G140" s="306"/>
      <c r="H140" s="308" t="n">
        <f aca="false">(B140-(B140*D140))-F140</f>
        <v>0</v>
      </c>
      <c r="J140" s="221" t="s">
        <v>240</v>
      </c>
      <c r="K140" s="306" t="n">
        <f aca="false">P137</f>
        <v>0</v>
      </c>
      <c r="L140" s="306"/>
      <c r="M140" s="307" t="n">
        <v>0</v>
      </c>
      <c r="N140" s="307"/>
      <c r="O140" s="306" t="n">
        <v>0</v>
      </c>
      <c r="P140" s="306"/>
      <c r="Q140" s="308" t="n">
        <f aca="false">(K140-(K140*M140))-O140</f>
        <v>0</v>
      </c>
      <c r="S140" s="221" t="s">
        <v>240</v>
      </c>
      <c r="T140" s="306" t="n">
        <f aca="false">Y137</f>
        <v>0</v>
      </c>
      <c r="U140" s="306"/>
      <c r="V140" s="307" t="n">
        <v>0</v>
      </c>
      <c r="W140" s="307"/>
      <c r="X140" s="306" t="n">
        <v>0</v>
      </c>
      <c r="Y140" s="306"/>
      <c r="Z140" s="308" t="n">
        <f aca="false">(T140-(T140*V140))-X140</f>
        <v>0</v>
      </c>
      <c r="AB140" s="221" t="s">
        <v>240</v>
      </c>
      <c r="AC140" s="306" t="n">
        <f aca="false">AH137</f>
        <v>0</v>
      </c>
      <c r="AD140" s="306"/>
      <c r="AE140" s="307" t="n">
        <v>0</v>
      </c>
      <c r="AF140" s="307"/>
      <c r="AG140" s="306" t="n">
        <v>0</v>
      </c>
      <c r="AH140" s="306"/>
      <c r="AI140" s="308" t="n">
        <f aca="false">(AC140-(AC140*AE140))-AG140</f>
        <v>0</v>
      </c>
    </row>
    <row r="141" customFormat="false" ht="17.35" hidden="false" customHeight="false" outlineLevel="0" collapsed="false">
      <c r="A141" s="221" t="s">
        <v>241</v>
      </c>
      <c r="B141" s="306" t="n">
        <v>0</v>
      </c>
      <c r="C141" s="306"/>
      <c r="D141" s="307" t="n">
        <v>0</v>
      </c>
      <c r="E141" s="307"/>
      <c r="F141" s="306" t="n">
        <v>0</v>
      </c>
      <c r="G141" s="306"/>
      <c r="H141" s="308" t="n">
        <f aca="false">(B141-(B141*D141))-F141</f>
        <v>0</v>
      </c>
      <c r="J141" s="221" t="s">
        <v>241</v>
      </c>
      <c r="K141" s="306" t="n">
        <v>0</v>
      </c>
      <c r="L141" s="306"/>
      <c r="M141" s="307" t="n">
        <v>0</v>
      </c>
      <c r="N141" s="307"/>
      <c r="O141" s="306" t="n">
        <v>0</v>
      </c>
      <c r="P141" s="306"/>
      <c r="Q141" s="308" t="n">
        <f aca="false">(K141-(K141*M141))-O141</f>
        <v>0</v>
      </c>
      <c r="S141" s="221" t="s">
        <v>241</v>
      </c>
      <c r="T141" s="306" t="n">
        <v>0</v>
      </c>
      <c r="U141" s="306"/>
      <c r="V141" s="307" t="n">
        <v>0</v>
      </c>
      <c r="W141" s="307"/>
      <c r="X141" s="306" t="n">
        <v>0</v>
      </c>
      <c r="Y141" s="306"/>
      <c r="Z141" s="308" t="n">
        <f aca="false">(T141-(T141*V141))-X141</f>
        <v>0</v>
      </c>
      <c r="AB141" s="221" t="s">
        <v>241</v>
      </c>
      <c r="AC141" s="306" t="n">
        <v>0</v>
      </c>
      <c r="AD141" s="306"/>
      <c r="AE141" s="307" t="n">
        <v>0</v>
      </c>
      <c r="AF141" s="307"/>
      <c r="AG141" s="306" t="n">
        <v>0</v>
      </c>
      <c r="AH141" s="306"/>
      <c r="AI141" s="308" t="n">
        <f aca="false">(AC141-(AC141*AE141))-AG141</f>
        <v>0</v>
      </c>
    </row>
    <row r="142" customFormat="false" ht="17.35" hidden="false" customHeight="false" outlineLevel="0" collapsed="false">
      <c r="A142" s="221" t="s">
        <v>242</v>
      </c>
      <c r="B142" s="306" t="n">
        <v>0</v>
      </c>
      <c r="C142" s="306"/>
      <c r="D142" s="307" t="n">
        <v>0</v>
      </c>
      <c r="E142" s="307"/>
      <c r="F142" s="306" t="n">
        <v>0</v>
      </c>
      <c r="G142" s="306"/>
      <c r="H142" s="308" t="n">
        <f aca="false">(B142-(B142*D142))-F142</f>
        <v>0</v>
      </c>
      <c r="J142" s="221" t="s">
        <v>242</v>
      </c>
      <c r="K142" s="306" t="n">
        <v>0</v>
      </c>
      <c r="L142" s="306"/>
      <c r="M142" s="307" t="n">
        <v>0</v>
      </c>
      <c r="N142" s="307"/>
      <c r="O142" s="306" t="n">
        <v>0</v>
      </c>
      <c r="P142" s="306"/>
      <c r="Q142" s="308" t="n">
        <f aca="false">(K142-(K142*M142))-O142</f>
        <v>0</v>
      </c>
      <c r="S142" s="221" t="s">
        <v>242</v>
      </c>
      <c r="T142" s="306" t="n">
        <v>0</v>
      </c>
      <c r="U142" s="306"/>
      <c r="V142" s="307" t="n">
        <v>0</v>
      </c>
      <c r="W142" s="307"/>
      <c r="X142" s="306" t="n">
        <v>0</v>
      </c>
      <c r="Y142" s="306"/>
      <c r="Z142" s="308" t="n">
        <f aca="false">(T142-(T142*V142))-X142</f>
        <v>0</v>
      </c>
      <c r="AB142" s="221" t="s">
        <v>242</v>
      </c>
      <c r="AC142" s="306" t="n">
        <v>0</v>
      </c>
      <c r="AD142" s="306"/>
      <c r="AE142" s="307" t="n">
        <v>0</v>
      </c>
      <c r="AF142" s="307"/>
      <c r="AG142" s="306" t="n">
        <v>0</v>
      </c>
      <c r="AH142" s="306"/>
      <c r="AI142" s="308" t="n">
        <f aca="false">(AC142-(AC142*AE142))-AG142</f>
        <v>0</v>
      </c>
    </row>
    <row r="143" customFormat="false" ht="17.35" hidden="false" customHeight="false" outlineLevel="0" collapsed="false">
      <c r="A143" s="221"/>
      <c r="B143" s="12"/>
      <c r="C143" s="12"/>
      <c r="D143" s="12"/>
      <c r="E143" s="12"/>
      <c r="F143" s="12"/>
      <c r="G143" s="301"/>
      <c r="H143" s="302"/>
      <c r="J143" s="221"/>
      <c r="K143" s="12"/>
      <c r="L143" s="12"/>
      <c r="M143" s="12"/>
      <c r="N143" s="12"/>
      <c r="O143" s="12"/>
      <c r="P143" s="301"/>
      <c r="Q143" s="302"/>
      <c r="S143" s="221"/>
      <c r="T143" s="12"/>
      <c r="U143" s="12"/>
      <c r="V143" s="12"/>
      <c r="W143" s="12"/>
      <c r="X143" s="12"/>
      <c r="Y143" s="301"/>
      <c r="Z143" s="302"/>
      <c r="AB143" s="221"/>
      <c r="AC143" s="12"/>
      <c r="AD143" s="12"/>
      <c r="AE143" s="12"/>
      <c r="AF143" s="12"/>
      <c r="AG143" s="12"/>
      <c r="AH143" s="301"/>
      <c r="AI143" s="302"/>
    </row>
    <row r="144" customFormat="false" ht="19.7" hidden="false" customHeight="false" outlineLevel="0" collapsed="false">
      <c r="A144" s="226" t="s">
        <v>10</v>
      </c>
      <c r="B144" s="226"/>
      <c r="C144" s="226"/>
      <c r="D144" s="226"/>
      <c r="E144" s="226"/>
      <c r="F144" s="226"/>
      <c r="G144" s="227" t="n">
        <f aca="false">H9</f>
        <v>47687.5</v>
      </c>
      <c r="H144" s="309" t="n">
        <f aca="false">C134+E134+G134+H137</f>
        <v>47687.5</v>
      </c>
      <c r="J144" s="226" t="s">
        <v>10</v>
      </c>
      <c r="K144" s="226"/>
      <c r="L144" s="226"/>
      <c r="M144" s="226"/>
      <c r="N144" s="226"/>
      <c r="O144" s="226"/>
      <c r="P144" s="227" t="n">
        <f aca="false">H9</f>
        <v>47687.5</v>
      </c>
      <c r="Q144" s="309" t="n">
        <f aca="false">L134+N134+P134+Q137</f>
        <v>29462.5</v>
      </c>
      <c r="S144" s="226" t="s">
        <v>10</v>
      </c>
      <c r="T144" s="226"/>
      <c r="U144" s="226"/>
      <c r="V144" s="226"/>
      <c r="W144" s="226"/>
      <c r="X144" s="226"/>
      <c r="Y144" s="227" t="n">
        <f aca="false">H9</f>
        <v>47687.5</v>
      </c>
      <c r="Z144" s="309" t="n">
        <f aca="false">U134+W134+Y134+Z137</f>
        <v>35973.9575</v>
      </c>
      <c r="AB144" s="226" t="s">
        <v>10</v>
      </c>
      <c r="AC144" s="226"/>
      <c r="AD144" s="226"/>
      <c r="AE144" s="226"/>
      <c r="AF144" s="226"/>
      <c r="AG144" s="226"/>
      <c r="AH144" s="227" t="n">
        <f aca="false">H9</f>
        <v>47687.5</v>
      </c>
      <c r="AI144" s="309" t="n">
        <f aca="false">AD134+AF134+AH134+AI137</f>
        <v>35973.9575</v>
      </c>
    </row>
    <row r="145" customFormat="false" ht="17.35" hidden="false" customHeight="false" outlineLevel="0" collapsed="false">
      <c r="A145" s="229" t="s">
        <v>11</v>
      </c>
      <c r="B145" s="229"/>
      <c r="C145" s="229"/>
      <c r="D145" s="229"/>
      <c r="E145" s="229"/>
      <c r="F145" s="229"/>
      <c r="G145" s="230" t="n">
        <f aca="false">H10</f>
        <v>550</v>
      </c>
      <c r="H145" s="11" t="n">
        <f aca="false">G145</f>
        <v>550</v>
      </c>
      <c r="J145" s="229" t="s">
        <v>11</v>
      </c>
      <c r="K145" s="229"/>
      <c r="L145" s="229"/>
      <c r="M145" s="229"/>
      <c r="N145" s="229"/>
      <c r="O145" s="229"/>
      <c r="P145" s="230" t="n">
        <f aca="false">H10</f>
        <v>550</v>
      </c>
      <c r="Q145" s="11" t="n">
        <f aca="false">P145</f>
        <v>550</v>
      </c>
      <c r="S145" s="229" t="s">
        <v>11</v>
      </c>
      <c r="T145" s="229"/>
      <c r="U145" s="229"/>
      <c r="V145" s="229"/>
      <c r="W145" s="229"/>
      <c r="X145" s="229"/>
      <c r="Y145" s="230" t="n">
        <f aca="false">H10</f>
        <v>550</v>
      </c>
      <c r="Z145" s="11" t="n">
        <f aca="false">Y145</f>
        <v>550</v>
      </c>
      <c r="AB145" s="229" t="s">
        <v>11</v>
      </c>
      <c r="AC145" s="229"/>
      <c r="AD145" s="229"/>
      <c r="AE145" s="229"/>
      <c r="AF145" s="229"/>
      <c r="AG145" s="229"/>
      <c r="AH145" s="230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9" t="s">
        <v>12</v>
      </c>
      <c r="B146" s="229"/>
      <c r="C146" s="229"/>
      <c r="D146" s="229"/>
      <c r="E146" s="229"/>
      <c r="F146" s="229"/>
      <c r="G146" s="230" t="n">
        <f aca="false">H11</f>
        <v>9647.5</v>
      </c>
      <c r="H146" s="11" t="n">
        <f aca="false">(H144+H145)*20%</f>
        <v>9647.5</v>
      </c>
      <c r="J146" s="229" t="s">
        <v>12</v>
      </c>
      <c r="K146" s="229"/>
      <c r="L146" s="229"/>
      <c r="M146" s="229"/>
      <c r="N146" s="229"/>
      <c r="O146" s="229"/>
      <c r="P146" s="230" t="n">
        <f aca="false">H11</f>
        <v>9647.5</v>
      </c>
      <c r="Q146" s="11" t="n">
        <f aca="false">(Q144+Q145)*20%</f>
        <v>6002.5</v>
      </c>
      <c r="S146" s="229" t="s">
        <v>12</v>
      </c>
      <c r="T146" s="229"/>
      <c r="U146" s="229"/>
      <c r="V146" s="229"/>
      <c r="W146" s="229"/>
      <c r="X146" s="229"/>
      <c r="Y146" s="230" t="n">
        <f aca="false">H11</f>
        <v>9647.5</v>
      </c>
      <c r="Z146" s="11" t="n">
        <f aca="false">(Z144+Z145)*20%</f>
        <v>7304.7915</v>
      </c>
      <c r="AB146" s="229" t="s">
        <v>12</v>
      </c>
      <c r="AC146" s="229"/>
      <c r="AD146" s="229"/>
      <c r="AE146" s="229"/>
      <c r="AF146" s="229"/>
      <c r="AG146" s="229"/>
      <c r="AH146" s="230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9" t="s">
        <v>13</v>
      </c>
      <c r="B147" s="229"/>
      <c r="C147" s="229"/>
      <c r="D147" s="229"/>
      <c r="E147" s="229"/>
      <c r="F147" s="229"/>
      <c r="G147" s="230" t="n">
        <f aca="false">H12</f>
        <v>0</v>
      </c>
      <c r="H147" s="11" t="n">
        <v>0</v>
      </c>
      <c r="J147" s="229" t="s">
        <v>13</v>
      </c>
      <c r="K147" s="229"/>
      <c r="L147" s="229"/>
      <c r="M147" s="229"/>
      <c r="N147" s="229"/>
      <c r="O147" s="229"/>
      <c r="P147" s="230" t="n">
        <f aca="false">H12</f>
        <v>0</v>
      </c>
      <c r="Q147" s="11" t="n">
        <f aca="false">P147</f>
        <v>0</v>
      </c>
      <c r="S147" s="229" t="s">
        <v>13</v>
      </c>
      <c r="T147" s="229"/>
      <c r="U147" s="229"/>
      <c r="V147" s="229"/>
      <c r="W147" s="229"/>
      <c r="X147" s="229"/>
      <c r="Y147" s="230" t="n">
        <f aca="false">H12</f>
        <v>0</v>
      </c>
      <c r="Z147" s="11" t="n">
        <f aca="false">Y147</f>
        <v>0</v>
      </c>
      <c r="AB147" s="229" t="s">
        <v>13</v>
      </c>
      <c r="AC147" s="229"/>
      <c r="AD147" s="229"/>
      <c r="AE147" s="229"/>
      <c r="AF147" s="229"/>
      <c r="AG147" s="229"/>
      <c r="AH147" s="230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9" t="s">
        <v>14</v>
      </c>
      <c r="B148" s="229"/>
      <c r="C148" s="229"/>
      <c r="D148" s="229"/>
      <c r="E148" s="229"/>
      <c r="F148" s="229"/>
      <c r="G148" s="230" t="n">
        <f aca="false">H13</f>
        <v>585</v>
      </c>
      <c r="H148" s="11" t="n">
        <f aca="false">G148</f>
        <v>585</v>
      </c>
      <c r="J148" s="229" t="s">
        <v>14</v>
      </c>
      <c r="K148" s="229"/>
      <c r="L148" s="229"/>
      <c r="M148" s="229"/>
      <c r="N148" s="229"/>
      <c r="O148" s="229"/>
      <c r="P148" s="230" t="n">
        <f aca="false">H13</f>
        <v>585</v>
      </c>
      <c r="Q148" s="11" t="n">
        <f aca="false">P148</f>
        <v>585</v>
      </c>
      <c r="S148" s="229" t="s">
        <v>14</v>
      </c>
      <c r="T148" s="229"/>
      <c r="U148" s="229"/>
      <c r="V148" s="229"/>
      <c r="W148" s="229"/>
      <c r="X148" s="229"/>
      <c r="Y148" s="230" t="n">
        <f aca="false">H13</f>
        <v>585</v>
      </c>
      <c r="Z148" s="11" t="n">
        <f aca="false">Y148</f>
        <v>585</v>
      </c>
      <c r="AB148" s="229" t="s">
        <v>14</v>
      </c>
      <c r="AC148" s="229"/>
      <c r="AD148" s="229"/>
      <c r="AE148" s="229"/>
      <c r="AF148" s="229"/>
      <c r="AG148" s="229"/>
      <c r="AH148" s="230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9" t="s">
        <v>15</v>
      </c>
      <c r="B149" s="229"/>
      <c r="C149" s="229"/>
      <c r="D149" s="229"/>
      <c r="E149" s="229"/>
      <c r="F149" s="229"/>
      <c r="G149" s="230" t="n">
        <f aca="false">H14</f>
        <v>55</v>
      </c>
      <c r="H149" s="11" t="n">
        <v>55</v>
      </c>
      <c r="J149" s="229" t="s">
        <v>15</v>
      </c>
      <c r="K149" s="229"/>
      <c r="L149" s="229"/>
      <c r="M149" s="229"/>
      <c r="N149" s="229"/>
      <c r="O149" s="229"/>
      <c r="P149" s="230" t="n">
        <f aca="false">H14</f>
        <v>55</v>
      </c>
      <c r="Q149" s="11" t="n">
        <v>55</v>
      </c>
      <c r="S149" s="229" t="s">
        <v>15</v>
      </c>
      <c r="T149" s="229"/>
      <c r="U149" s="229"/>
      <c r="V149" s="229"/>
      <c r="W149" s="229"/>
      <c r="X149" s="229"/>
      <c r="Y149" s="230" t="n">
        <f aca="false">H14</f>
        <v>55</v>
      </c>
      <c r="Z149" s="11" t="n">
        <v>55</v>
      </c>
      <c r="AB149" s="229" t="s">
        <v>15</v>
      </c>
      <c r="AC149" s="229"/>
      <c r="AD149" s="229"/>
      <c r="AE149" s="229"/>
      <c r="AF149" s="229"/>
      <c r="AG149" s="229"/>
      <c r="AH149" s="230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9" t="s">
        <v>17</v>
      </c>
      <c r="B150" s="229"/>
      <c r="C150" s="229"/>
      <c r="D150" s="229"/>
      <c r="E150" s="229"/>
      <c r="F150" s="229"/>
      <c r="G150" s="310" t="n">
        <f aca="false">H15</f>
        <v>58525</v>
      </c>
      <c r="H150" s="311" t="n">
        <f aca="false">(H144+H145+H148+H149+H146)-H147</f>
        <v>58525</v>
      </c>
      <c r="J150" s="229" t="s">
        <v>17</v>
      </c>
      <c r="K150" s="229"/>
      <c r="L150" s="229"/>
      <c r="M150" s="229"/>
      <c r="N150" s="229"/>
      <c r="O150" s="229"/>
      <c r="P150" s="310" t="n">
        <f aca="false">H15</f>
        <v>58525</v>
      </c>
      <c r="Q150" s="311" t="n">
        <f aca="false">(Q144+Q145+Q148+Q149+Q146)-Q147</f>
        <v>36655</v>
      </c>
      <c r="S150" s="229" t="s">
        <v>17</v>
      </c>
      <c r="T150" s="229"/>
      <c r="U150" s="229"/>
      <c r="V150" s="229"/>
      <c r="W150" s="229"/>
      <c r="X150" s="229"/>
      <c r="Y150" s="310" t="n">
        <f aca="false">H15</f>
        <v>58525</v>
      </c>
      <c r="Z150" s="311" t="n">
        <f aca="false">(Z144+Z145+Z148+Z149+Z146)-Z147</f>
        <v>44468.749</v>
      </c>
      <c r="AB150" s="229" t="s">
        <v>17</v>
      </c>
      <c r="AC150" s="229"/>
      <c r="AD150" s="229"/>
      <c r="AE150" s="229"/>
      <c r="AF150" s="229"/>
      <c r="AG150" s="229"/>
      <c r="AH150" s="310" t="n">
        <f aca="false">H15</f>
        <v>58525</v>
      </c>
      <c r="AI150" s="311" t="n">
        <f aca="false">(AI144+AI145+AI148+AI149+AI146)-AI147</f>
        <v>44468.749</v>
      </c>
    </row>
    <row r="151" customFormat="false" ht="17.35" hidden="false" customHeight="false" outlineLevel="0" collapsed="false">
      <c r="A151" s="229" t="s">
        <v>18</v>
      </c>
      <c r="B151" s="229"/>
      <c r="C151" s="229"/>
      <c r="D151" s="229"/>
      <c r="E151" s="229"/>
      <c r="F151" s="229"/>
      <c r="G151" s="230" t="n">
        <f aca="false">H16</f>
        <v>0</v>
      </c>
      <c r="H151" s="242" t="n">
        <f aca="false">G151</f>
        <v>0</v>
      </c>
      <c r="J151" s="229" t="s">
        <v>18</v>
      </c>
      <c r="K151" s="229"/>
      <c r="L151" s="229"/>
      <c r="M151" s="229"/>
      <c r="N151" s="229"/>
      <c r="O151" s="229"/>
      <c r="P151" s="230" t="n">
        <f aca="false">H16</f>
        <v>0</v>
      </c>
      <c r="Q151" s="242" t="n">
        <f aca="false">P151</f>
        <v>0</v>
      </c>
      <c r="S151" s="229" t="s">
        <v>18</v>
      </c>
      <c r="T151" s="229"/>
      <c r="U151" s="229"/>
      <c r="V151" s="229"/>
      <c r="W151" s="229"/>
      <c r="X151" s="229"/>
      <c r="Y151" s="230" t="n">
        <f aca="false">H16</f>
        <v>0</v>
      </c>
      <c r="Z151" s="242" t="n">
        <f aca="false">Y151</f>
        <v>0</v>
      </c>
      <c r="AB151" s="229" t="s">
        <v>18</v>
      </c>
      <c r="AC151" s="229"/>
      <c r="AD151" s="229"/>
      <c r="AE151" s="229"/>
      <c r="AF151" s="229"/>
      <c r="AG151" s="229"/>
      <c r="AH151" s="230" t="n">
        <f aca="false">H16</f>
        <v>0</v>
      </c>
      <c r="AI151" s="242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2" t="s">
        <v>20</v>
      </c>
      <c r="K152" s="312"/>
      <c r="L152" s="312"/>
      <c r="M152" s="312"/>
      <c r="N152" s="312"/>
      <c r="O152" s="312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2" t="s">
        <v>19</v>
      </c>
      <c r="B153" s="233" t="s">
        <v>23</v>
      </c>
      <c r="C153" s="233"/>
      <c r="D153" s="233"/>
      <c r="E153" s="233"/>
      <c r="F153" s="233"/>
      <c r="G153" s="230" t="n">
        <f aca="false">H18</f>
        <v>0</v>
      </c>
      <c r="H153" s="242" t="n">
        <f aca="false">G153</f>
        <v>0</v>
      </c>
      <c r="J153" s="232" t="s">
        <v>19</v>
      </c>
      <c r="K153" s="233" t="s">
        <v>23</v>
      </c>
      <c r="L153" s="233"/>
      <c r="M153" s="233"/>
      <c r="N153" s="233"/>
      <c r="O153" s="233"/>
      <c r="P153" s="230" t="n">
        <f aca="false">H18</f>
        <v>0</v>
      </c>
      <c r="Q153" s="242" t="n">
        <f aca="false">P153</f>
        <v>0</v>
      </c>
      <c r="S153" s="232" t="s">
        <v>19</v>
      </c>
      <c r="T153" s="233" t="s">
        <v>23</v>
      </c>
      <c r="U153" s="233"/>
      <c r="V153" s="233"/>
      <c r="W153" s="233"/>
      <c r="X153" s="233"/>
      <c r="Y153" s="230" t="n">
        <f aca="false">H18</f>
        <v>0</v>
      </c>
      <c r="Z153" s="242" t="n">
        <f aca="false">Y153</f>
        <v>0</v>
      </c>
      <c r="AB153" s="232" t="s">
        <v>19</v>
      </c>
      <c r="AC153" s="233" t="s">
        <v>23</v>
      </c>
      <c r="AD153" s="233"/>
      <c r="AE153" s="233"/>
      <c r="AF153" s="233"/>
      <c r="AG153" s="233"/>
      <c r="AH153" s="230" t="n">
        <f aca="false">H18</f>
        <v>0</v>
      </c>
      <c r="AI153" s="242" t="n">
        <f aca="false">AH153</f>
        <v>0</v>
      </c>
    </row>
    <row r="154" customFormat="false" ht="17.35" hidden="false" customHeight="false" outlineLevel="0" collapsed="false">
      <c r="A154" s="232" t="s">
        <v>22</v>
      </c>
      <c r="B154" s="233" t="s">
        <v>23</v>
      </c>
      <c r="C154" s="233"/>
      <c r="D154" s="233"/>
      <c r="E154" s="233"/>
      <c r="F154" s="233"/>
      <c r="G154" s="230" t="n">
        <f aca="false">H19</f>
        <v>0</v>
      </c>
      <c r="H154" s="242" t="n">
        <v>0</v>
      </c>
      <c r="I154" s="216" t="n">
        <f aca="false">(G151+G154+G155+G153)</f>
        <v>0</v>
      </c>
      <c r="J154" s="232" t="s">
        <v>22</v>
      </c>
      <c r="K154" s="233" t="s">
        <v>23</v>
      </c>
      <c r="L154" s="233"/>
      <c r="M154" s="233"/>
      <c r="N154" s="233"/>
      <c r="O154" s="233"/>
      <c r="P154" s="230" t="n">
        <f aca="false">H19</f>
        <v>0</v>
      </c>
      <c r="Q154" s="242" t="n">
        <f aca="false">P154</f>
        <v>0</v>
      </c>
      <c r="S154" s="232" t="s">
        <v>22</v>
      </c>
      <c r="T154" s="233" t="s">
        <v>23</v>
      </c>
      <c r="U154" s="233"/>
      <c r="V154" s="233"/>
      <c r="W154" s="233"/>
      <c r="X154" s="233"/>
      <c r="Y154" s="230" t="n">
        <f aca="false">H19</f>
        <v>0</v>
      </c>
      <c r="Z154" s="242" t="n">
        <f aca="false">Y154</f>
        <v>0</v>
      </c>
      <c r="AB154" s="232" t="s">
        <v>22</v>
      </c>
      <c r="AC154" s="233" t="s">
        <v>23</v>
      </c>
      <c r="AD154" s="233"/>
      <c r="AE154" s="233"/>
      <c r="AF154" s="233"/>
      <c r="AG154" s="233"/>
      <c r="AH154" s="230" t="n">
        <f aca="false">H19</f>
        <v>0</v>
      </c>
      <c r="AI154" s="242" t="n">
        <f aca="false">AH154</f>
        <v>0</v>
      </c>
    </row>
    <row r="155" customFormat="false" ht="17.35" hidden="false" customHeight="false" outlineLevel="0" collapsed="false">
      <c r="A155" s="313" t="s">
        <v>24</v>
      </c>
      <c r="B155" s="314" t="s">
        <v>23</v>
      </c>
      <c r="C155" s="314"/>
      <c r="D155" s="314"/>
      <c r="E155" s="314"/>
      <c r="F155" s="314"/>
      <c r="G155" s="230" t="n">
        <f aca="false">H20</f>
        <v>0</v>
      </c>
      <c r="H155" s="242" t="n">
        <v>0</v>
      </c>
      <c r="I155" s="216" t="n">
        <f aca="false">(H151+H153+H154+H155)</f>
        <v>0</v>
      </c>
      <c r="J155" s="313" t="s">
        <v>24</v>
      </c>
      <c r="K155" s="314" t="s">
        <v>23</v>
      </c>
      <c r="L155" s="314"/>
      <c r="M155" s="314"/>
      <c r="N155" s="314"/>
      <c r="O155" s="314"/>
      <c r="P155" s="230" t="n">
        <f aca="false">H20</f>
        <v>0</v>
      </c>
      <c r="Q155" s="242" t="n">
        <f aca="false">P155</f>
        <v>0</v>
      </c>
      <c r="S155" s="313" t="s">
        <v>24</v>
      </c>
      <c r="T155" s="314" t="s">
        <v>23</v>
      </c>
      <c r="U155" s="314"/>
      <c r="V155" s="314"/>
      <c r="W155" s="314"/>
      <c r="X155" s="314"/>
      <c r="Y155" s="230" t="n">
        <f aca="false">H20</f>
        <v>0</v>
      </c>
      <c r="Z155" s="242" t="n">
        <f aca="false">Y155</f>
        <v>0</v>
      </c>
      <c r="AB155" s="313" t="s">
        <v>24</v>
      </c>
      <c r="AC155" s="314" t="s">
        <v>23</v>
      </c>
      <c r="AD155" s="314"/>
      <c r="AE155" s="314"/>
      <c r="AF155" s="314"/>
      <c r="AG155" s="314"/>
      <c r="AH155" s="230" t="n">
        <f aca="false">H20</f>
        <v>0</v>
      </c>
      <c r="AI155" s="242" t="n">
        <f aca="false">AH155</f>
        <v>0</v>
      </c>
    </row>
    <row r="156" customFormat="false" ht="19.7" hidden="false" customHeight="false" outlineLevel="0" collapsed="false">
      <c r="A156" s="229" t="s">
        <v>27</v>
      </c>
      <c r="B156" s="229"/>
      <c r="C156" s="229"/>
      <c r="D156" s="229"/>
      <c r="E156" s="229"/>
      <c r="F156" s="229"/>
      <c r="G156" s="310" t="n">
        <f aca="false">G150-((G153*1.2)+(G154*1.2)+(G155*1.2)+(G151*1.2))</f>
        <v>58525</v>
      </c>
      <c r="H156" s="315" t="n">
        <f aca="false">H150-((H153*1.2)+(H154*1.2)+(H155*1.2)+(H151*1.2))</f>
        <v>58525</v>
      </c>
      <c r="J156" s="316" t="s">
        <v>27</v>
      </c>
      <c r="K156" s="316"/>
      <c r="L156" s="316"/>
      <c r="M156" s="316"/>
      <c r="N156" s="316"/>
      <c r="O156" s="316"/>
      <c r="P156" s="310" t="n">
        <f aca="false">P150-((P153*1.2)+(P154*1.2)+(P155*1.2)+(P151*1.2))</f>
        <v>58525</v>
      </c>
      <c r="Q156" s="315" t="n">
        <f aca="false">Q150-((Q153*1.2)+(Q154*1.2)+(Q155*1.2)+(Q151*1.2))</f>
        <v>36655</v>
      </c>
      <c r="S156" s="229" t="s">
        <v>27</v>
      </c>
      <c r="T156" s="229"/>
      <c r="U156" s="229"/>
      <c r="V156" s="229"/>
      <c r="W156" s="229"/>
      <c r="X156" s="229"/>
      <c r="Y156" s="310" t="n">
        <f aca="false">Y150-((Y153*1.2)+(Y154*1.2)+(Y155*1.2)+(Y151*1.2))</f>
        <v>58525</v>
      </c>
      <c r="Z156" s="315" t="n">
        <f aca="false">Z150-((Z153*1.2)+(Z154*1.2)+(Z155*1.2)+(Z151*1.2))</f>
        <v>44468.749</v>
      </c>
      <c r="AB156" s="229" t="s">
        <v>27</v>
      </c>
      <c r="AC156" s="229"/>
      <c r="AD156" s="229"/>
      <c r="AE156" s="229"/>
      <c r="AF156" s="229"/>
      <c r="AG156" s="229"/>
      <c r="AH156" s="310" t="n">
        <f aca="false">AH150-((AH153*1.2)+(AH154*1.2)+(AH155*1.2)+(AH151*1.2))</f>
        <v>58525</v>
      </c>
      <c r="AI156" s="31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9" t="s">
        <v>243</v>
      </c>
      <c r="B157" s="229"/>
      <c r="C157" s="229"/>
      <c r="D157" s="229"/>
      <c r="E157" s="229"/>
      <c r="F157" s="229"/>
      <c r="G157" s="230"/>
      <c r="H157" s="242" t="n">
        <f aca="false">((H156-G156)-(H146-G146))+((I155-I154)*0.2)</f>
        <v>0</v>
      </c>
      <c r="I157" s="216" t="n">
        <f aca="false">(H157-G90)/1.2</f>
        <v>0</v>
      </c>
      <c r="J157" s="229" t="s">
        <v>243</v>
      </c>
      <c r="K157" s="229"/>
      <c r="L157" s="229"/>
      <c r="M157" s="229"/>
      <c r="N157" s="229"/>
      <c r="O157" s="229"/>
      <c r="P157" s="230"/>
      <c r="Q157" s="242" t="n">
        <f aca="false">Q156-P156</f>
        <v>-21870</v>
      </c>
      <c r="S157" s="229" t="s">
        <v>243</v>
      </c>
      <c r="T157" s="229"/>
      <c r="U157" s="229"/>
      <c r="V157" s="229"/>
      <c r="W157" s="229"/>
      <c r="X157" s="229"/>
      <c r="Y157" s="230"/>
      <c r="Z157" s="242" t="n">
        <f aca="false">Z156-Y156</f>
        <v>-14056.251</v>
      </c>
      <c r="AB157" s="229" t="s">
        <v>243</v>
      </c>
      <c r="AC157" s="229"/>
      <c r="AD157" s="229"/>
      <c r="AE157" s="229"/>
      <c r="AF157" s="229"/>
      <c r="AG157" s="229"/>
      <c r="AH157" s="230"/>
      <c r="AI157" s="242" t="n">
        <f aca="false">AI156-AH156</f>
        <v>-14056.251</v>
      </c>
    </row>
    <row r="158" customFormat="false" ht="17.35" hidden="false" customHeight="false" outlineLevel="0" collapsed="false">
      <c r="A158" s="221"/>
      <c r="B158" s="12"/>
      <c r="C158" s="12"/>
      <c r="D158" s="12"/>
      <c r="E158" s="236"/>
      <c r="F158" s="236"/>
      <c r="G158" s="236"/>
      <c r="H158" s="11"/>
      <c r="J158" s="221"/>
      <c r="K158" s="12"/>
      <c r="L158" s="12"/>
      <c r="M158" s="12"/>
      <c r="N158" s="236"/>
      <c r="O158" s="236"/>
      <c r="P158" s="236"/>
      <c r="Q158" s="11"/>
      <c r="S158" s="221"/>
      <c r="T158" s="12"/>
      <c r="U158" s="12"/>
      <c r="V158" s="12"/>
      <c r="W158" s="236"/>
      <c r="X158" s="236"/>
      <c r="Y158" s="236"/>
      <c r="Z158" s="11"/>
      <c r="AB158" s="221"/>
      <c r="AC158" s="12"/>
      <c r="AD158" s="12"/>
      <c r="AE158" s="12"/>
      <c r="AF158" s="236"/>
      <c r="AG158" s="236"/>
      <c r="AH158" s="236"/>
      <c r="AI158" s="11"/>
    </row>
    <row r="159" customFormat="false" ht="22.05" hidden="false" customHeight="false" outlineLevel="0" collapsed="false">
      <c r="A159" s="240" t="s">
        <v>244</v>
      </c>
      <c r="B159" s="240"/>
      <c r="C159" s="240"/>
      <c r="D159" s="240"/>
      <c r="E159" s="240"/>
      <c r="F159" s="240"/>
      <c r="G159" s="240"/>
      <c r="H159" s="240"/>
      <c r="J159" s="240" t="s">
        <v>244</v>
      </c>
      <c r="K159" s="240"/>
      <c r="L159" s="240"/>
      <c r="M159" s="240"/>
      <c r="N159" s="240"/>
      <c r="O159" s="240"/>
      <c r="P159" s="240"/>
      <c r="Q159" s="240"/>
      <c r="S159" s="240" t="s">
        <v>244</v>
      </c>
      <c r="T159" s="240"/>
      <c r="U159" s="240"/>
      <c r="V159" s="240"/>
      <c r="W159" s="240"/>
      <c r="X159" s="240"/>
      <c r="Y159" s="240"/>
      <c r="Z159" s="240"/>
      <c r="AB159" s="240" t="s">
        <v>244</v>
      </c>
      <c r="AC159" s="240"/>
      <c r="AD159" s="240"/>
      <c r="AE159" s="240"/>
      <c r="AF159" s="240"/>
      <c r="AG159" s="240"/>
      <c r="AH159" s="240"/>
      <c r="AI159" s="240"/>
    </row>
    <row r="160" customFormat="false" ht="17.35" hidden="false" customHeight="false" outlineLevel="0" collapsed="false">
      <c r="A160" s="221"/>
      <c r="B160" s="12"/>
      <c r="C160" s="12"/>
      <c r="D160" s="12"/>
      <c r="E160" s="236"/>
      <c r="F160" s="236"/>
      <c r="G160" s="236"/>
      <c r="H160" s="11"/>
      <c r="J160" s="221"/>
      <c r="K160" s="12"/>
      <c r="L160" s="12"/>
      <c r="M160" s="12"/>
      <c r="N160" s="236"/>
      <c r="O160" s="236"/>
      <c r="P160" s="236"/>
      <c r="Q160" s="11"/>
      <c r="S160" s="221"/>
      <c r="T160" s="12"/>
      <c r="U160" s="12"/>
      <c r="V160" s="12"/>
      <c r="W160" s="236"/>
      <c r="X160" s="236"/>
      <c r="Y160" s="236"/>
      <c r="Z160" s="11"/>
      <c r="AB160" s="221"/>
      <c r="AC160" s="12"/>
      <c r="AD160" s="12"/>
      <c r="AE160" s="12"/>
      <c r="AF160" s="236"/>
      <c r="AG160" s="236"/>
      <c r="AH160" s="236"/>
      <c r="AI160" s="11"/>
    </row>
    <row r="161" customFormat="false" ht="17.35" hidden="false" customHeight="false" outlineLevel="0" collapsed="false">
      <c r="A161" s="221" t="s">
        <v>138</v>
      </c>
      <c r="B161" s="12"/>
      <c r="C161" s="12"/>
      <c r="D161" s="236"/>
      <c r="E161" s="112" t="n">
        <v>0</v>
      </c>
      <c r="F161" s="112"/>
      <c r="G161" s="112" t="n">
        <v>0</v>
      </c>
      <c r="H161" s="112"/>
      <c r="J161" s="221" t="s">
        <v>138</v>
      </c>
      <c r="K161" s="12"/>
      <c r="L161" s="12"/>
      <c r="M161" s="236"/>
      <c r="N161" s="112" t="n">
        <v>10000</v>
      </c>
      <c r="O161" s="112"/>
      <c r="P161" s="112" t="n">
        <v>5000</v>
      </c>
      <c r="Q161" s="112"/>
      <c r="S161" s="221" t="s">
        <v>138</v>
      </c>
      <c r="T161" s="12"/>
      <c r="U161" s="12"/>
      <c r="V161" s="236"/>
      <c r="W161" s="112" t="n">
        <v>10000</v>
      </c>
      <c r="X161" s="112"/>
      <c r="Y161" s="112" t="n">
        <v>5000</v>
      </c>
      <c r="Z161" s="112"/>
      <c r="AB161" s="221" t="s">
        <v>138</v>
      </c>
      <c r="AC161" s="12"/>
      <c r="AD161" s="12"/>
      <c r="AE161" s="236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1" t="s">
        <v>139</v>
      </c>
      <c r="B162" s="12"/>
      <c r="C162" s="12"/>
      <c r="D162" s="236"/>
      <c r="E162" s="210" t="n">
        <f aca="false">G162</f>
        <v>0</v>
      </c>
      <c r="F162" s="210"/>
      <c r="G162" s="112" t="n">
        <v>0</v>
      </c>
      <c r="H162" s="112"/>
      <c r="J162" s="221" t="s">
        <v>139</v>
      </c>
      <c r="K162" s="12"/>
      <c r="L162" s="12"/>
      <c r="M162" s="236"/>
      <c r="N162" s="210" t="n">
        <f aca="false">P162</f>
        <v>7000</v>
      </c>
      <c r="O162" s="210"/>
      <c r="P162" s="112" t="n">
        <v>7000</v>
      </c>
      <c r="Q162" s="112"/>
      <c r="S162" s="221" t="s">
        <v>139</v>
      </c>
      <c r="T162" s="12"/>
      <c r="U162" s="12"/>
      <c r="V162" s="236"/>
      <c r="W162" s="210" t="n">
        <f aca="false">Y162</f>
        <v>7000</v>
      </c>
      <c r="X162" s="210"/>
      <c r="Y162" s="112" t="n">
        <v>7000</v>
      </c>
      <c r="Z162" s="112"/>
      <c r="AB162" s="221" t="s">
        <v>139</v>
      </c>
      <c r="AC162" s="12"/>
      <c r="AD162" s="12"/>
      <c r="AE162" s="236"/>
      <c r="AF162" s="210" t="n">
        <f aca="false">AH162</f>
        <v>7000</v>
      </c>
      <c r="AG162" s="210"/>
      <c r="AH162" s="112" t="n">
        <v>7000</v>
      </c>
      <c r="AI162" s="112"/>
    </row>
    <row r="163" customFormat="false" ht="17.35" hidden="false" customHeight="false" outlineLevel="0" collapsed="false">
      <c r="A163" s="221" t="s">
        <v>140</v>
      </c>
      <c r="B163" s="12"/>
      <c r="C163" s="12"/>
      <c r="D163" s="236"/>
      <c r="E163" s="210" t="n">
        <f aca="false">E161-E162</f>
        <v>0</v>
      </c>
      <c r="F163" s="210"/>
      <c r="G163" s="115" t="n">
        <f aca="false">G161-G162</f>
        <v>0</v>
      </c>
      <c r="H163" s="115"/>
      <c r="J163" s="221" t="s">
        <v>140</v>
      </c>
      <c r="K163" s="12"/>
      <c r="L163" s="12"/>
      <c r="M163" s="236"/>
      <c r="N163" s="210" t="n">
        <f aca="false">N161-N162</f>
        <v>3000</v>
      </c>
      <c r="O163" s="210"/>
      <c r="P163" s="115" t="n">
        <f aca="false">P161-P162</f>
        <v>-2000</v>
      </c>
      <c r="Q163" s="115"/>
      <c r="S163" s="221" t="s">
        <v>140</v>
      </c>
      <c r="T163" s="12"/>
      <c r="U163" s="12"/>
      <c r="V163" s="236"/>
      <c r="W163" s="210" t="n">
        <f aca="false">W161-W162</f>
        <v>3000</v>
      </c>
      <c r="X163" s="210"/>
      <c r="Y163" s="115" t="n">
        <f aca="false">Y161-Y162</f>
        <v>-2000</v>
      </c>
      <c r="Z163" s="115"/>
      <c r="AB163" s="221" t="s">
        <v>140</v>
      </c>
      <c r="AC163" s="12"/>
      <c r="AD163" s="12"/>
      <c r="AE163" s="236"/>
      <c r="AF163" s="210" t="n">
        <f aca="false">AF161-AF162</f>
        <v>3000</v>
      </c>
      <c r="AG163" s="210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1" t="s">
        <v>141</v>
      </c>
      <c r="B164" s="12"/>
      <c r="C164" s="12"/>
      <c r="D164" s="236"/>
      <c r="E164" s="210" t="n">
        <f aca="false">E163-G163</f>
        <v>0</v>
      </c>
      <c r="F164" s="210"/>
      <c r="G164" s="236"/>
      <c r="H164" s="11"/>
      <c r="J164" s="221" t="s">
        <v>141</v>
      </c>
      <c r="K164" s="12"/>
      <c r="L164" s="12"/>
      <c r="M164" s="236"/>
      <c r="N164" s="210" t="n">
        <f aca="false">N163-P163</f>
        <v>5000</v>
      </c>
      <c r="O164" s="210"/>
      <c r="P164" s="236"/>
      <c r="Q164" s="11"/>
      <c r="S164" s="221" t="s">
        <v>141</v>
      </c>
      <c r="T164" s="12"/>
      <c r="U164" s="12"/>
      <c r="V164" s="236"/>
      <c r="W164" s="210" t="n">
        <f aca="false">W163-Y163</f>
        <v>5000</v>
      </c>
      <c r="X164" s="210"/>
      <c r="Y164" s="236"/>
      <c r="Z164" s="11"/>
      <c r="AB164" s="221" t="s">
        <v>141</v>
      </c>
      <c r="AC164" s="12"/>
      <c r="AD164" s="12"/>
      <c r="AE164" s="236"/>
      <c r="AF164" s="210" t="n">
        <f aca="false">AF163-AH163</f>
        <v>5000</v>
      </c>
      <c r="AG164" s="210"/>
      <c r="AH164" s="236"/>
      <c r="AI164" s="11"/>
    </row>
    <row r="165" customFormat="false" ht="17.35" hidden="false" customHeight="false" outlineLevel="0" collapsed="false">
      <c r="A165" s="221"/>
      <c r="B165" s="12"/>
      <c r="C165" s="12"/>
      <c r="D165" s="236"/>
      <c r="E165" s="12"/>
      <c r="F165" s="236"/>
      <c r="G165" s="236"/>
      <c r="H165" s="11"/>
      <c r="J165" s="221"/>
      <c r="K165" s="12"/>
      <c r="L165" s="12"/>
      <c r="M165" s="236"/>
      <c r="N165" s="12"/>
      <c r="O165" s="236"/>
      <c r="P165" s="236"/>
      <c r="Q165" s="11"/>
      <c r="S165" s="221"/>
      <c r="T165" s="12"/>
      <c r="U165" s="12"/>
      <c r="V165" s="236"/>
      <c r="W165" s="12"/>
      <c r="X165" s="236"/>
      <c r="Y165" s="236"/>
      <c r="Z165" s="11"/>
      <c r="AB165" s="221"/>
      <c r="AC165" s="12"/>
      <c r="AD165" s="12"/>
      <c r="AE165" s="236"/>
      <c r="AF165" s="12"/>
      <c r="AG165" s="236"/>
      <c r="AH165" s="236"/>
      <c r="AI165" s="11"/>
    </row>
    <row r="166" customFormat="false" ht="17.35" hidden="false" customHeight="false" outlineLevel="0" collapsed="false">
      <c r="A166" s="238" t="s">
        <v>245</v>
      </c>
      <c r="B166" s="239"/>
      <c r="C166" s="239"/>
      <c r="D166" s="262"/>
      <c r="E166" s="239"/>
      <c r="F166" s="262"/>
      <c r="G166" s="317" t="n">
        <f aca="false">B120</f>
        <v>0</v>
      </c>
      <c r="H166" s="317"/>
      <c r="J166" s="238" t="s">
        <v>245</v>
      </c>
      <c r="K166" s="239"/>
      <c r="L166" s="239"/>
      <c r="M166" s="262"/>
      <c r="N166" s="239"/>
      <c r="O166" s="262"/>
      <c r="P166" s="317" t="n">
        <f aca="false">K120</f>
        <v>1000</v>
      </c>
      <c r="Q166" s="317"/>
      <c r="S166" s="238" t="s">
        <v>245</v>
      </c>
      <c r="T166" s="239"/>
      <c r="U166" s="239"/>
      <c r="V166" s="262"/>
      <c r="W166" s="239"/>
      <c r="X166" s="262"/>
      <c r="Y166" s="317" t="n">
        <f aca="false">T120</f>
        <v>1000</v>
      </c>
      <c r="Z166" s="317"/>
      <c r="AB166" s="238" t="s">
        <v>245</v>
      </c>
      <c r="AC166" s="239"/>
      <c r="AD166" s="239"/>
      <c r="AE166" s="262"/>
      <c r="AF166" s="239"/>
      <c r="AG166" s="262"/>
      <c r="AH166" s="317" t="n">
        <f aca="false">AC120</f>
        <v>1000</v>
      </c>
      <c r="AI166" s="317"/>
    </row>
    <row r="167" customFormat="false" ht="19.7" hidden="false" customHeight="false" outlineLevel="0" collapsed="false">
      <c r="A167" s="318" t="s">
        <v>246</v>
      </c>
      <c r="B167" s="12"/>
      <c r="C167" s="12"/>
      <c r="D167" s="236"/>
      <c r="E167" s="12"/>
      <c r="F167" s="236"/>
      <c r="G167" s="319" t="n">
        <f aca="false">H156-G163-G166</f>
        <v>58525</v>
      </c>
      <c r="H167" s="319"/>
      <c r="J167" s="318" t="s">
        <v>246</v>
      </c>
      <c r="K167" s="12"/>
      <c r="L167" s="12"/>
      <c r="M167" s="236"/>
      <c r="N167" s="12"/>
      <c r="O167" s="236"/>
      <c r="P167" s="319" t="n">
        <f aca="false">Q156-P163-P166</f>
        <v>37655</v>
      </c>
      <c r="Q167" s="319"/>
      <c r="S167" s="318" t="s">
        <v>246</v>
      </c>
      <c r="T167" s="12"/>
      <c r="U167" s="12"/>
      <c r="V167" s="236"/>
      <c r="W167" s="12"/>
      <c r="X167" s="236"/>
      <c r="Y167" s="319" t="n">
        <f aca="false">Z156-Y163-Y166</f>
        <v>45468.749</v>
      </c>
      <c r="Z167" s="319"/>
      <c r="AB167" s="318" t="s">
        <v>246</v>
      </c>
      <c r="AC167" s="12"/>
      <c r="AD167" s="12"/>
      <c r="AE167" s="236"/>
      <c r="AF167" s="12"/>
      <c r="AG167" s="236"/>
      <c r="AH167" s="319" t="n">
        <f aca="false">AI156-AH163-AH166</f>
        <v>45468.749</v>
      </c>
      <c r="AI167" s="319"/>
    </row>
    <row r="168" customFormat="false" ht="17.35" hidden="false" customHeight="false" outlineLevel="0" collapsed="false">
      <c r="A168" s="249" t="s">
        <v>52</v>
      </c>
      <c r="B168" s="250"/>
      <c r="C168" s="250"/>
      <c r="D168" s="278"/>
      <c r="E168" s="250"/>
      <c r="F168" s="278"/>
      <c r="G168" s="320" t="n">
        <f aca="false">B123</f>
        <v>416.67</v>
      </c>
      <c r="H168" s="320"/>
      <c r="J168" s="249" t="s">
        <v>52</v>
      </c>
      <c r="K168" s="250"/>
      <c r="L168" s="250"/>
      <c r="M168" s="278"/>
      <c r="N168" s="250"/>
      <c r="O168" s="278"/>
      <c r="P168" s="320" t="n">
        <f aca="false">K123</f>
        <v>239.99</v>
      </c>
      <c r="Q168" s="320"/>
      <c r="S168" s="249" t="s">
        <v>52</v>
      </c>
      <c r="T168" s="250"/>
      <c r="U168" s="250"/>
      <c r="V168" s="278"/>
      <c r="W168" s="250"/>
      <c r="X168" s="278"/>
      <c r="Y168" s="320" t="n">
        <f aca="false">T123</f>
        <v>199.99</v>
      </c>
      <c r="Z168" s="320"/>
      <c r="AB168" s="249" t="s">
        <v>52</v>
      </c>
      <c r="AC168" s="250"/>
      <c r="AD168" s="250"/>
      <c r="AE168" s="278"/>
      <c r="AF168" s="250"/>
      <c r="AG168" s="278"/>
      <c r="AH168" s="320" t="n">
        <f aca="false">AC123</f>
        <v>239.99</v>
      </c>
      <c r="AI168" s="320"/>
    </row>
    <row r="169" customFormat="false" ht="17.35" hidden="false" customHeight="false" outlineLevel="0" collapsed="false">
      <c r="A169" s="221"/>
      <c r="B169" s="12"/>
      <c r="C169" s="12"/>
      <c r="D169" s="12"/>
      <c r="E169" s="236"/>
      <c r="F169" s="236"/>
      <c r="G169" s="236"/>
      <c r="H169" s="11"/>
      <c r="J169" s="221"/>
      <c r="K169" s="12"/>
      <c r="L169" s="12"/>
      <c r="M169" s="12"/>
      <c r="N169" s="236"/>
      <c r="O169" s="236"/>
      <c r="P169" s="236"/>
      <c r="Q169" s="11"/>
      <c r="S169" s="221"/>
      <c r="T169" s="12"/>
      <c r="U169" s="12"/>
      <c r="V169" s="12"/>
      <c r="W169" s="236"/>
      <c r="X169" s="236"/>
      <c r="Y169" s="236"/>
      <c r="Z169" s="11"/>
      <c r="AB169" s="221"/>
      <c r="AC169" s="12"/>
      <c r="AD169" s="12"/>
      <c r="AE169" s="12"/>
      <c r="AF169" s="236"/>
      <c r="AG169" s="236"/>
      <c r="AH169" s="236"/>
      <c r="AI169" s="11"/>
    </row>
    <row r="170" customFormat="false" ht="17.35" hidden="false" customHeight="false" outlineLevel="0" collapsed="false">
      <c r="A170" s="221"/>
      <c r="B170" s="12"/>
      <c r="C170" s="12"/>
      <c r="D170" s="12"/>
      <c r="E170" s="236"/>
      <c r="F170" s="236"/>
      <c r="G170" s="236"/>
      <c r="H170" s="11"/>
      <c r="J170" s="221"/>
      <c r="K170" s="12"/>
      <c r="L170" s="12"/>
      <c r="M170" s="12"/>
      <c r="N170" s="236"/>
      <c r="O170" s="236"/>
      <c r="P170" s="236"/>
      <c r="Q170" s="11"/>
      <c r="S170" s="221"/>
      <c r="T170" s="12"/>
      <c r="U170" s="12"/>
      <c r="V170" s="12"/>
      <c r="W170" s="236"/>
      <c r="X170" s="236"/>
      <c r="Y170" s="236"/>
      <c r="Z170" s="11"/>
      <c r="AB170" s="221"/>
      <c r="AC170" s="12"/>
      <c r="AD170" s="12"/>
      <c r="AE170" s="12"/>
      <c r="AF170" s="236"/>
      <c r="AG170" s="236"/>
      <c r="AH170" s="236"/>
      <c r="AI170" s="11"/>
    </row>
    <row r="171" customFormat="false" ht="22.05" hidden="false" customHeight="false" outlineLevel="0" collapsed="false">
      <c r="A171" s="240" t="s">
        <v>247</v>
      </c>
      <c r="B171" s="240"/>
      <c r="C171" s="240"/>
      <c r="D171" s="240"/>
      <c r="E171" s="240"/>
      <c r="F171" s="240"/>
      <c r="G171" s="240"/>
      <c r="H171" s="240"/>
      <c r="J171" s="240" t="s">
        <v>247</v>
      </c>
      <c r="K171" s="240"/>
      <c r="L171" s="240"/>
      <c r="M171" s="240"/>
      <c r="N171" s="240"/>
      <c r="O171" s="240"/>
      <c r="P171" s="240"/>
      <c r="Q171" s="240"/>
      <c r="S171" s="240" t="s">
        <v>247</v>
      </c>
      <c r="T171" s="240"/>
      <c r="U171" s="240"/>
      <c r="V171" s="240"/>
      <c r="W171" s="240"/>
      <c r="X171" s="240"/>
      <c r="Y171" s="240"/>
      <c r="Z171" s="240"/>
      <c r="AB171" s="240" t="s">
        <v>247</v>
      </c>
      <c r="AC171" s="240"/>
      <c r="AD171" s="240"/>
      <c r="AE171" s="240"/>
      <c r="AF171" s="240"/>
      <c r="AG171" s="240"/>
      <c r="AH171" s="240"/>
      <c r="AI171" s="240"/>
    </row>
    <row r="172" customFormat="false" ht="17.35" hidden="false" customHeight="false" outlineLevel="0" collapsed="false">
      <c r="A172" s="221"/>
      <c r="B172" s="12"/>
      <c r="C172" s="12"/>
      <c r="D172" s="12"/>
      <c r="E172" s="236"/>
      <c r="F172" s="236"/>
      <c r="G172" s="236"/>
      <c r="H172" s="11"/>
      <c r="J172" s="221"/>
      <c r="K172" s="12"/>
      <c r="L172" s="12"/>
      <c r="M172" s="12"/>
      <c r="N172" s="236"/>
      <c r="O172" s="236"/>
      <c r="P172" s="236"/>
      <c r="Q172" s="11"/>
      <c r="S172" s="221"/>
      <c r="T172" s="12"/>
      <c r="U172" s="12"/>
      <c r="V172" s="12"/>
      <c r="W172" s="236"/>
      <c r="X172" s="236"/>
      <c r="Y172" s="236"/>
      <c r="Z172" s="11"/>
      <c r="AB172" s="221"/>
      <c r="AC172" s="12"/>
      <c r="AD172" s="12"/>
      <c r="AE172" s="12"/>
      <c r="AF172" s="236"/>
      <c r="AG172" s="236"/>
      <c r="AH172" s="236"/>
      <c r="AI172" s="11"/>
    </row>
    <row r="173" customFormat="false" ht="17.35" hidden="false" customHeight="false" outlineLevel="0" collapsed="false">
      <c r="A173" s="221" t="s">
        <v>145</v>
      </c>
      <c r="B173" s="117" t="n">
        <v>0</v>
      </c>
      <c r="C173" s="117"/>
      <c r="D173" s="12"/>
      <c r="E173" s="236"/>
      <c r="F173" s="236"/>
      <c r="G173" s="236"/>
      <c r="H173" s="11"/>
      <c r="J173" s="221" t="s">
        <v>145</v>
      </c>
      <c r="K173" s="117" t="n">
        <v>0</v>
      </c>
      <c r="L173" s="117"/>
      <c r="M173" s="12"/>
      <c r="N173" s="236"/>
      <c r="O173" s="236"/>
      <c r="P173" s="236"/>
      <c r="Q173" s="11"/>
      <c r="S173" s="221" t="s">
        <v>145</v>
      </c>
      <c r="T173" s="117" t="n">
        <v>0</v>
      </c>
      <c r="U173" s="117"/>
      <c r="V173" s="12"/>
      <c r="W173" s="236"/>
      <c r="X173" s="236"/>
      <c r="Y173" s="236"/>
      <c r="Z173" s="11"/>
      <c r="AB173" s="221" t="s">
        <v>145</v>
      </c>
      <c r="AC173" s="117" t="n">
        <v>0</v>
      </c>
      <c r="AD173" s="117"/>
      <c r="AE173" s="12"/>
      <c r="AF173" s="236"/>
      <c r="AG173" s="236"/>
      <c r="AH173" s="236"/>
      <c r="AI173" s="11"/>
    </row>
    <row r="174" customFormat="false" ht="17.35" hidden="false" customHeight="false" outlineLevel="0" collapsed="false">
      <c r="A174" s="221"/>
      <c r="B174" s="12"/>
      <c r="C174" s="12"/>
      <c r="D174" s="12"/>
      <c r="E174" s="236"/>
      <c r="F174" s="236"/>
      <c r="G174" s="236"/>
      <c r="H174" s="11"/>
      <c r="J174" s="221"/>
      <c r="K174" s="12"/>
      <c r="L174" s="12"/>
      <c r="M174" s="12"/>
      <c r="N174" s="236"/>
      <c r="O174" s="236"/>
      <c r="P174" s="236"/>
      <c r="Q174" s="11"/>
      <c r="S174" s="221"/>
      <c r="T174" s="12"/>
      <c r="U174" s="12"/>
      <c r="V174" s="12"/>
      <c r="W174" s="236"/>
      <c r="X174" s="236"/>
      <c r="Y174" s="236"/>
      <c r="Z174" s="11"/>
      <c r="AB174" s="221"/>
      <c r="AC174" s="12"/>
      <c r="AD174" s="12"/>
      <c r="AE174" s="12"/>
      <c r="AF174" s="236"/>
      <c r="AG174" s="236"/>
      <c r="AH174" s="236"/>
      <c r="AI174" s="11"/>
    </row>
    <row r="175" customFormat="false" ht="17.35" hidden="false" customHeight="false" outlineLevel="0" collapsed="false">
      <c r="A175" s="321" t="s">
        <v>248</v>
      </c>
      <c r="B175" s="322" t="s">
        <v>249</v>
      </c>
      <c r="C175" s="322"/>
      <c r="D175" s="322"/>
      <c r="E175" s="322" t="s">
        <v>250</v>
      </c>
      <c r="F175" s="236"/>
      <c r="G175" s="236"/>
      <c r="H175" s="11"/>
      <c r="J175" s="321" t="s">
        <v>248</v>
      </c>
      <c r="K175" s="322" t="s">
        <v>249</v>
      </c>
      <c r="L175" s="322"/>
      <c r="M175" s="322"/>
      <c r="N175" s="322" t="s">
        <v>250</v>
      </c>
      <c r="O175" s="236"/>
      <c r="P175" s="236"/>
      <c r="Q175" s="11"/>
      <c r="S175" s="321" t="s">
        <v>248</v>
      </c>
      <c r="T175" s="322" t="s">
        <v>249</v>
      </c>
      <c r="U175" s="322"/>
      <c r="V175" s="322"/>
      <c r="W175" s="322" t="s">
        <v>250</v>
      </c>
      <c r="X175" s="236"/>
      <c r="Y175" s="236"/>
      <c r="Z175" s="11"/>
      <c r="AB175" s="321" t="s">
        <v>248</v>
      </c>
      <c r="AC175" s="322" t="s">
        <v>249</v>
      </c>
      <c r="AD175" s="322"/>
      <c r="AE175" s="322"/>
      <c r="AF175" s="322" t="s">
        <v>250</v>
      </c>
      <c r="AG175" s="236"/>
      <c r="AH175" s="236"/>
      <c r="AI175" s="11"/>
    </row>
    <row r="176" customFormat="false" ht="17.35" hidden="false" customHeight="false" outlineLevel="0" collapsed="false">
      <c r="A176" s="323" t="n">
        <f aca="false">B104</f>
        <v>1639.88541555755</v>
      </c>
      <c r="B176" s="123" t="n">
        <f aca="false">B103</f>
        <v>0</v>
      </c>
      <c r="C176" s="322"/>
      <c r="D176" s="322"/>
      <c r="E176" s="123" t="n">
        <f aca="false">B105</f>
        <v>1639.88541555755</v>
      </c>
      <c r="F176" s="236"/>
      <c r="G176" s="236"/>
      <c r="H176" s="11"/>
      <c r="J176" s="323" t="n">
        <f aca="false">K104</f>
        <v>1569.706327631</v>
      </c>
      <c r="K176" s="123" t="n">
        <f aca="false">K103</f>
        <v>0</v>
      </c>
      <c r="L176" s="322"/>
      <c r="M176" s="322"/>
      <c r="N176" s="123" t="n">
        <f aca="false">K105</f>
        <v>1569.706327631</v>
      </c>
      <c r="O176" s="236"/>
      <c r="P176" s="236"/>
      <c r="Q176" s="11"/>
      <c r="S176" s="323" t="n">
        <f aca="false">T104</f>
        <v>1674.61110912406</v>
      </c>
      <c r="T176" s="123" t="n">
        <f aca="false">T103</f>
        <v>0</v>
      </c>
      <c r="U176" s="322"/>
      <c r="V176" s="322"/>
      <c r="W176" s="123" t="n">
        <f aca="false">T105</f>
        <v>1674.61110912406</v>
      </c>
      <c r="X176" s="236"/>
      <c r="Y176" s="236"/>
      <c r="Z176" s="11"/>
      <c r="AB176" s="323" t="n">
        <f aca="false">AC104</f>
        <v>1674.61110912406</v>
      </c>
      <c r="AC176" s="123" t="n">
        <f aca="false">AC103</f>
        <v>0</v>
      </c>
      <c r="AD176" s="322"/>
      <c r="AE176" s="322"/>
      <c r="AF176" s="123" t="n">
        <f aca="false">AC105</f>
        <v>1674.61110912406</v>
      </c>
      <c r="AG176" s="236"/>
      <c r="AH176" s="236"/>
      <c r="AI176" s="11"/>
    </row>
    <row r="177" customFormat="false" ht="17.35" hidden="false" customHeight="false" outlineLevel="0" collapsed="false">
      <c r="A177" s="221"/>
      <c r="B177" s="12"/>
      <c r="C177" s="12"/>
      <c r="D177" s="12"/>
      <c r="E177" s="236"/>
      <c r="F177" s="236"/>
      <c r="G177" s="236"/>
      <c r="H177" s="11"/>
      <c r="J177" s="221"/>
      <c r="K177" s="12"/>
      <c r="L177" s="12"/>
      <c r="M177" s="12"/>
      <c r="N177" s="236"/>
      <c r="O177" s="236"/>
      <c r="P177" s="236"/>
      <c r="Q177" s="11"/>
      <c r="S177" s="221"/>
      <c r="T177" s="12"/>
      <c r="U177" s="12"/>
      <c r="V177" s="12"/>
      <c r="W177" s="236"/>
      <c r="X177" s="236"/>
      <c r="Y177" s="236"/>
      <c r="Z177" s="11"/>
      <c r="AB177" s="221"/>
      <c r="AC177" s="12"/>
      <c r="AD177" s="12"/>
      <c r="AE177" s="12"/>
      <c r="AF177" s="236"/>
      <c r="AG177" s="236"/>
      <c r="AH177" s="236"/>
      <c r="AI177" s="11"/>
    </row>
    <row r="178" customFormat="false" ht="17.35" hidden="false" customHeight="false" outlineLevel="0" collapsed="false">
      <c r="A178" s="221" t="s">
        <v>81</v>
      </c>
      <c r="B178" s="12" t="s">
        <v>82</v>
      </c>
      <c r="C178" s="12"/>
      <c r="D178" s="236"/>
      <c r="E178" s="12" t="s">
        <v>251</v>
      </c>
      <c r="F178" s="236"/>
      <c r="G178" s="236"/>
      <c r="H178" s="11"/>
      <c r="J178" s="221" t="s">
        <v>81</v>
      </c>
      <c r="K178" s="12" t="s">
        <v>82</v>
      </c>
      <c r="L178" s="12"/>
      <c r="M178" s="236"/>
      <c r="N178" s="12" t="s">
        <v>251</v>
      </c>
      <c r="O178" s="236"/>
      <c r="P178" s="236"/>
      <c r="Q178" s="11"/>
      <c r="S178" s="221" t="s">
        <v>81</v>
      </c>
      <c r="T178" s="12" t="s">
        <v>82</v>
      </c>
      <c r="U178" s="12"/>
      <c r="V178" s="236"/>
      <c r="W178" s="12" t="s">
        <v>251</v>
      </c>
      <c r="X178" s="236"/>
      <c r="Y178" s="236"/>
      <c r="Z178" s="11"/>
      <c r="AB178" s="221" t="s">
        <v>81</v>
      </c>
      <c r="AC178" s="12" t="s">
        <v>82</v>
      </c>
      <c r="AD178" s="12"/>
      <c r="AE178" s="236"/>
      <c r="AF178" s="12" t="s">
        <v>251</v>
      </c>
      <c r="AG178" s="236"/>
      <c r="AH178" s="236"/>
      <c r="AI178" s="11"/>
    </row>
    <row r="179" customFormat="false" ht="17.35" hidden="false" customHeight="false" outlineLevel="0" collapsed="false">
      <c r="A179" s="324" t="str">
        <f aca="false">K29</f>
        <v>33</v>
      </c>
      <c r="B179" s="118" t="str">
        <f aca="false">K30</f>
        <v>5000</v>
      </c>
      <c r="C179" s="325"/>
      <c r="D179" s="236"/>
      <c r="E179" s="128" t="str">
        <f aca="false">IF(A120="YES", A40, 0)</f>
        <v>12</v>
      </c>
      <c r="F179" s="236"/>
      <c r="G179" s="236"/>
      <c r="H179" s="11"/>
      <c r="J179" s="324" t="str">
        <f aca="false">K29</f>
        <v>33</v>
      </c>
      <c r="K179" s="161" t="str">
        <f aca="false">K30</f>
        <v>5000</v>
      </c>
      <c r="L179" s="325"/>
      <c r="M179" s="236"/>
      <c r="N179" s="128" t="str">
        <f aca="false">IF(A120="YES", A40, 0)</f>
        <v>12</v>
      </c>
      <c r="O179" s="236"/>
      <c r="P179" s="236"/>
      <c r="Q179" s="11"/>
      <c r="S179" s="324" t="str">
        <f aca="false">K29</f>
        <v>33</v>
      </c>
      <c r="T179" s="161" t="str">
        <f aca="false">K30</f>
        <v>5000</v>
      </c>
      <c r="U179" s="325"/>
      <c r="V179" s="236"/>
      <c r="W179" s="128" t="str">
        <f aca="false">IF(A120="YES", A40, 0)</f>
        <v>12</v>
      </c>
      <c r="X179" s="236"/>
      <c r="Y179" s="236"/>
      <c r="Z179" s="11"/>
      <c r="AB179" s="324" t="str">
        <f aca="false">K29</f>
        <v>33</v>
      </c>
      <c r="AC179" s="161" t="str">
        <f aca="false">K30</f>
        <v>5000</v>
      </c>
      <c r="AD179" s="325"/>
      <c r="AE179" s="236"/>
      <c r="AF179" s="128" t="str">
        <f aca="false">IF(A120="YES", A40, 0)</f>
        <v>12</v>
      </c>
      <c r="AG179" s="236"/>
      <c r="AH179" s="236"/>
      <c r="AI179" s="11"/>
    </row>
    <row r="180" customFormat="false" ht="17.35" hidden="false" customHeight="false" outlineLevel="0" collapsed="false">
      <c r="A180" s="221"/>
      <c r="B180" s="12"/>
      <c r="C180" s="12"/>
      <c r="D180" s="236"/>
      <c r="E180" s="12"/>
      <c r="F180" s="236"/>
      <c r="G180" s="236"/>
      <c r="H180" s="11"/>
      <c r="J180" s="221"/>
      <c r="K180" s="12"/>
      <c r="L180" s="12"/>
      <c r="M180" s="236"/>
      <c r="N180" s="12"/>
      <c r="O180" s="236"/>
      <c r="P180" s="236"/>
      <c r="Q180" s="11"/>
      <c r="S180" s="221"/>
      <c r="T180" s="12"/>
      <c r="U180" s="12"/>
      <c r="V180" s="236"/>
      <c r="W180" s="12"/>
      <c r="X180" s="236"/>
      <c r="Y180" s="236"/>
      <c r="Z180" s="11"/>
      <c r="AB180" s="221"/>
      <c r="AC180" s="12"/>
      <c r="AD180" s="12"/>
      <c r="AE180" s="236"/>
      <c r="AF180" s="12"/>
      <c r="AG180" s="236"/>
      <c r="AH180" s="236"/>
      <c r="AI180" s="11"/>
    </row>
    <row r="181" customFormat="false" ht="17.35" hidden="false" customHeight="false" outlineLevel="0" collapsed="false">
      <c r="A181" s="221" t="s">
        <v>252</v>
      </c>
      <c r="B181" s="12" t="s">
        <v>253</v>
      </c>
      <c r="C181" s="12"/>
      <c r="D181" s="236"/>
      <c r="E181" s="12" t="s">
        <v>254</v>
      </c>
      <c r="F181" s="236"/>
      <c r="G181" s="236"/>
      <c r="H181" s="11"/>
      <c r="J181" s="221" t="s">
        <v>252</v>
      </c>
      <c r="K181" s="12" t="s">
        <v>253</v>
      </c>
      <c r="L181" s="12"/>
      <c r="M181" s="236"/>
      <c r="N181" s="12" t="s">
        <v>254</v>
      </c>
      <c r="O181" s="236"/>
      <c r="P181" s="236"/>
      <c r="Q181" s="11"/>
      <c r="S181" s="221" t="s">
        <v>252</v>
      </c>
      <c r="T181" s="12" t="s">
        <v>253</v>
      </c>
      <c r="U181" s="12"/>
      <c r="V181" s="236"/>
      <c r="W181" s="12" t="s">
        <v>254</v>
      </c>
      <c r="X181" s="236"/>
      <c r="Y181" s="236"/>
      <c r="Z181" s="11"/>
      <c r="AB181" s="221" t="s">
        <v>252</v>
      </c>
      <c r="AC181" s="12" t="s">
        <v>253</v>
      </c>
      <c r="AD181" s="12"/>
      <c r="AE181" s="236"/>
      <c r="AF181" s="12" t="s">
        <v>254</v>
      </c>
      <c r="AG181" s="236"/>
      <c r="AH181" s="236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4"/>
      <c r="D182" s="236"/>
      <c r="E182" s="128" t="n">
        <f aca="false">H148+H149</f>
        <v>640</v>
      </c>
      <c r="F182" s="236"/>
      <c r="G182" s="236"/>
      <c r="H182" s="11"/>
      <c r="J182" s="125" t="n">
        <f aca="false">Q150-Q146-Q148-Q149</f>
        <v>30012.5</v>
      </c>
      <c r="K182" s="126" t="n">
        <f aca="false">Q146</f>
        <v>6002.5</v>
      </c>
      <c r="L182" s="244"/>
      <c r="M182" s="236"/>
      <c r="N182" s="128" t="n">
        <f aca="false">Q148+Q149</f>
        <v>640</v>
      </c>
      <c r="O182" s="236"/>
      <c r="P182" s="236"/>
      <c r="Q182" s="11"/>
      <c r="S182" s="125" t="n">
        <f aca="false">Z150-Z146-Z148-Z149</f>
        <v>36523.9575</v>
      </c>
      <c r="T182" s="126" t="n">
        <f aca="false">Z146</f>
        <v>7304.7915</v>
      </c>
      <c r="U182" s="244"/>
      <c r="V182" s="236"/>
      <c r="W182" s="128" t="n">
        <f aca="false">Z148+Z149</f>
        <v>640</v>
      </c>
      <c r="X182" s="236"/>
      <c r="Y182" s="236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4"/>
      <c r="AE182" s="236"/>
      <c r="AF182" s="128" t="n">
        <f aca="false">AI148+AI149</f>
        <v>640</v>
      </c>
      <c r="AG182" s="236"/>
      <c r="AH182" s="236"/>
      <c r="AI182" s="11"/>
    </row>
    <row r="183" customFormat="false" ht="17.35" hidden="false" customHeight="false" outlineLevel="0" collapsed="false">
      <c r="A183" s="221"/>
      <c r="B183" s="12"/>
      <c r="C183" s="12"/>
      <c r="D183" s="236"/>
      <c r="E183" s="12"/>
      <c r="F183" s="236"/>
      <c r="G183" s="236"/>
      <c r="H183" s="11"/>
      <c r="J183" s="221"/>
      <c r="K183" s="12"/>
      <c r="L183" s="12"/>
      <c r="M183" s="236"/>
      <c r="N183" s="12"/>
      <c r="O183" s="236"/>
      <c r="P183" s="236"/>
      <c r="Q183" s="11"/>
      <c r="S183" s="221"/>
      <c r="T183" s="12"/>
      <c r="U183" s="12"/>
      <c r="V183" s="236"/>
      <c r="W183" s="12"/>
      <c r="X183" s="236"/>
      <c r="Y183" s="236"/>
      <c r="Z183" s="11"/>
      <c r="AB183" s="221"/>
      <c r="AC183" s="12"/>
      <c r="AD183" s="12"/>
      <c r="AE183" s="236"/>
      <c r="AF183" s="12"/>
      <c r="AG183" s="236"/>
      <c r="AH183" s="236"/>
      <c r="AI183" s="11"/>
    </row>
    <row r="184" customFormat="false" ht="17.35" hidden="false" customHeight="false" outlineLevel="0" collapsed="false">
      <c r="A184" s="221" t="s">
        <v>255</v>
      </c>
      <c r="B184" s="12" t="s">
        <v>142</v>
      </c>
      <c r="C184" s="12"/>
      <c r="D184" s="236"/>
      <c r="E184" s="12" t="s">
        <v>231</v>
      </c>
      <c r="F184" s="236"/>
      <c r="G184" s="236"/>
      <c r="H184" s="11"/>
      <c r="J184" s="221" t="s">
        <v>255</v>
      </c>
      <c r="K184" s="12" t="s">
        <v>142</v>
      </c>
      <c r="L184" s="12"/>
      <c r="M184" s="236"/>
      <c r="N184" s="12" t="s">
        <v>231</v>
      </c>
      <c r="O184" s="236"/>
      <c r="P184" s="236"/>
      <c r="Q184" s="11"/>
      <c r="S184" s="221" t="s">
        <v>255</v>
      </c>
      <c r="T184" s="12" t="s">
        <v>142</v>
      </c>
      <c r="U184" s="12"/>
      <c r="V184" s="236"/>
      <c r="W184" s="12" t="s">
        <v>231</v>
      </c>
      <c r="X184" s="236"/>
      <c r="Y184" s="236"/>
      <c r="Z184" s="11"/>
      <c r="AB184" s="221" t="s">
        <v>255</v>
      </c>
      <c r="AC184" s="12" t="s">
        <v>142</v>
      </c>
      <c r="AD184" s="12"/>
      <c r="AE184" s="236"/>
      <c r="AF184" s="12" t="s">
        <v>231</v>
      </c>
      <c r="AG184" s="236"/>
      <c r="AH184" s="236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6"/>
      <c r="E185" s="126" t="n">
        <f aca="false">E120</f>
        <v>0</v>
      </c>
      <c r="F185" s="236"/>
      <c r="G185" s="236"/>
      <c r="H185" s="130"/>
      <c r="J185" s="125" t="n">
        <f aca="false">Q150</f>
        <v>36655</v>
      </c>
      <c r="K185" s="126" t="n">
        <f aca="false">K120</f>
        <v>1000</v>
      </c>
      <c r="L185" s="126"/>
      <c r="M185" s="236"/>
      <c r="N185" s="126" t="n">
        <f aca="false">N120</f>
        <v>0</v>
      </c>
      <c r="O185" s="236"/>
      <c r="P185" s="236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6"/>
      <c r="W185" s="126" t="n">
        <f aca="false">W120</f>
        <v>0</v>
      </c>
      <c r="X185" s="236"/>
      <c r="Y185" s="236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6"/>
      <c r="AF185" s="126" t="n">
        <f aca="false">AF120</f>
        <v>0</v>
      </c>
      <c r="AG185" s="236"/>
      <c r="AH185" s="236"/>
      <c r="AI185" s="130"/>
    </row>
    <row r="186" customFormat="false" ht="17.35" hidden="false" customHeight="false" outlineLevel="0" collapsed="false">
      <c r="A186" s="221"/>
      <c r="B186" s="12"/>
      <c r="C186" s="12"/>
      <c r="D186" s="236"/>
      <c r="E186" s="12"/>
      <c r="F186" s="236"/>
      <c r="G186" s="236"/>
      <c r="H186" s="11"/>
      <c r="J186" s="221"/>
      <c r="K186" s="12"/>
      <c r="L186" s="12"/>
      <c r="M186" s="236"/>
      <c r="N186" s="12"/>
      <c r="O186" s="236"/>
      <c r="P186" s="236"/>
      <c r="Q186" s="11"/>
      <c r="S186" s="221"/>
      <c r="T186" s="12"/>
      <c r="U186" s="12"/>
      <c r="V186" s="236"/>
      <c r="W186" s="12"/>
      <c r="X186" s="236"/>
      <c r="Y186" s="236"/>
      <c r="Z186" s="11"/>
      <c r="AB186" s="221"/>
      <c r="AC186" s="12"/>
      <c r="AD186" s="12"/>
      <c r="AE186" s="236"/>
      <c r="AF186" s="12"/>
      <c r="AG186" s="236"/>
      <c r="AH186" s="236"/>
      <c r="AI186" s="11"/>
    </row>
    <row r="187" customFormat="false" ht="17.35" hidden="false" customHeight="false" outlineLevel="0" collapsed="false">
      <c r="A187" s="221" t="s">
        <v>232</v>
      </c>
      <c r="B187" s="12" t="s">
        <v>138</v>
      </c>
      <c r="C187" s="12"/>
      <c r="D187" s="236"/>
      <c r="E187" s="12" t="s">
        <v>246</v>
      </c>
      <c r="F187" s="236"/>
      <c r="G187" s="236"/>
      <c r="H187" s="11"/>
      <c r="J187" s="221" t="s">
        <v>232</v>
      </c>
      <c r="K187" s="12" t="s">
        <v>138</v>
      </c>
      <c r="L187" s="12"/>
      <c r="M187" s="236"/>
      <c r="N187" s="12" t="s">
        <v>246</v>
      </c>
      <c r="O187" s="236"/>
      <c r="P187" s="236"/>
      <c r="Q187" s="11"/>
      <c r="S187" s="221" t="s">
        <v>232</v>
      </c>
      <c r="T187" s="12" t="s">
        <v>138</v>
      </c>
      <c r="U187" s="12"/>
      <c r="V187" s="236"/>
      <c r="W187" s="12" t="s">
        <v>246</v>
      </c>
      <c r="X187" s="236"/>
      <c r="Y187" s="236"/>
      <c r="Z187" s="11"/>
      <c r="AB187" s="221" t="s">
        <v>232</v>
      </c>
      <c r="AC187" s="12" t="s">
        <v>138</v>
      </c>
      <c r="AD187" s="12"/>
      <c r="AE187" s="236"/>
      <c r="AF187" s="12" t="s">
        <v>246</v>
      </c>
      <c r="AG187" s="236"/>
      <c r="AH187" s="236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6"/>
      <c r="E188" s="126" t="n">
        <f aca="false">A185-A188-B188</f>
        <v>58525</v>
      </c>
      <c r="F188" s="236"/>
      <c r="G188" s="236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6"/>
      <c r="N188" s="126" t="n">
        <f aca="false">J185-J188-K188</f>
        <v>37655</v>
      </c>
      <c r="O188" s="236"/>
      <c r="P188" s="236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6"/>
      <c r="W188" s="126" t="n">
        <f aca="false">S185-S188-T188</f>
        <v>45468.749</v>
      </c>
      <c r="X188" s="236"/>
      <c r="Y188" s="236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6"/>
      <c r="AF188" s="126" t="n">
        <f aca="false">AB185-AB188-AC188</f>
        <v>45468.749</v>
      </c>
      <c r="AG188" s="236"/>
      <c r="AH188" s="236"/>
      <c r="AI188" s="130"/>
    </row>
    <row r="189" customFormat="false" ht="17.35" hidden="false" customHeight="false" outlineLevel="0" collapsed="false">
      <c r="A189" s="221"/>
      <c r="B189" s="12"/>
      <c r="C189" s="12"/>
      <c r="D189" s="236"/>
      <c r="E189" s="12"/>
      <c r="F189" s="236"/>
      <c r="G189" s="236"/>
      <c r="H189" s="11"/>
      <c r="J189" s="221"/>
      <c r="K189" s="12"/>
      <c r="L189" s="12"/>
      <c r="M189" s="236"/>
      <c r="N189" s="12"/>
      <c r="O189" s="236"/>
      <c r="P189" s="236"/>
      <c r="Q189" s="11"/>
      <c r="S189" s="221"/>
      <c r="T189" s="12"/>
      <c r="U189" s="12"/>
      <c r="V189" s="236"/>
      <c r="W189" s="12"/>
      <c r="X189" s="236"/>
      <c r="Y189" s="236"/>
      <c r="Z189" s="11"/>
      <c r="AB189" s="221"/>
      <c r="AC189" s="12"/>
      <c r="AD189" s="12"/>
      <c r="AE189" s="236"/>
      <c r="AF189" s="12"/>
      <c r="AG189" s="236"/>
      <c r="AH189" s="236"/>
      <c r="AI189" s="11"/>
    </row>
    <row r="190" customFormat="false" ht="17.35" hidden="false" customHeight="false" outlineLevel="0" collapsed="false">
      <c r="A190" s="221" t="s">
        <v>256</v>
      </c>
      <c r="B190" s="12" t="s">
        <v>52</v>
      </c>
      <c r="C190" s="12"/>
      <c r="D190" s="236"/>
      <c r="E190" s="12" t="s">
        <v>257</v>
      </c>
      <c r="F190" s="236"/>
      <c r="G190" s="236"/>
      <c r="H190" s="11"/>
      <c r="J190" s="221" t="s">
        <v>256</v>
      </c>
      <c r="K190" s="12" t="s">
        <v>52</v>
      </c>
      <c r="L190" s="12"/>
      <c r="M190" s="236"/>
      <c r="N190" s="12" t="s">
        <v>257</v>
      </c>
      <c r="O190" s="236"/>
      <c r="P190" s="236"/>
      <c r="Q190" s="11"/>
      <c r="S190" s="221" t="s">
        <v>256</v>
      </c>
      <c r="T190" s="12" t="s">
        <v>52</v>
      </c>
      <c r="U190" s="12"/>
      <c r="V190" s="236"/>
      <c r="W190" s="12" t="s">
        <v>257</v>
      </c>
      <c r="X190" s="236"/>
      <c r="Y190" s="236"/>
      <c r="Z190" s="11"/>
      <c r="AB190" s="221" t="s">
        <v>256</v>
      </c>
      <c r="AC190" s="12" t="s">
        <v>52</v>
      </c>
      <c r="AD190" s="12"/>
      <c r="AE190" s="236"/>
      <c r="AF190" s="12" t="s">
        <v>257</v>
      </c>
      <c r="AG190" s="236"/>
      <c r="AH190" s="236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6"/>
      <c r="E191" s="126" t="n">
        <f aca="false">E188+A191+B191+A194</f>
        <v>52915.0032978415</v>
      </c>
      <c r="F191" s="236"/>
      <c r="G191" s="236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6"/>
      <c r="N191" s="126" t="n">
        <f aca="false">N188+J191+K191+J194</f>
        <v>50502.592484192</v>
      </c>
      <c r="O191" s="236"/>
      <c r="P191" s="236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6"/>
      <c r="W191" s="126" t="n">
        <f aca="false">W188+S191+T191+S194</f>
        <v>53809.5454919699</v>
      </c>
      <c r="X191" s="236"/>
      <c r="Y191" s="236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6"/>
      <c r="AF191" s="126" t="n">
        <f aca="false">AF188+AB191+AC191+AB194</f>
        <v>53849.5454919699</v>
      </c>
      <c r="AG191" s="236"/>
      <c r="AH191" s="236"/>
      <c r="AI191" s="130"/>
    </row>
    <row r="192" customFormat="false" ht="17.35" hidden="false" customHeight="false" outlineLevel="0" collapsed="false">
      <c r="A192" s="221"/>
      <c r="B192" s="12"/>
      <c r="C192" s="12"/>
      <c r="D192" s="236"/>
      <c r="E192" s="12"/>
      <c r="F192" s="236"/>
      <c r="G192" s="236"/>
      <c r="H192" s="11"/>
      <c r="J192" s="221"/>
      <c r="K192" s="12"/>
      <c r="L192" s="12"/>
      <c r="M192" s="236"/>
      <c r="N192" s="12"/>
      <c r="O192" s="236"/>
      <c r="P192" s="236"/>
      <c r="Q192" s="11"/>
      <c r="S192" s="221"/>
      <c r="T192" s="12"/>
      <c r="U192" s="12"/>
      <c r="V192" s="236"/>
      <c r="W192" s="12"/>
      <c r="X192" s="236"/>
      <c r="Y192" s="236"/>
      <c r="Z192" s="11"/>
      <c r="AB192" s="221"/>
      <c r="AC192" s="12"/>
      <c r="AD192" s="12"/>
      <c r="AE192" s="236"/>
      <c r="AF192" s="12"/>
      <c r="AG192" s="236"/>
      <c r="AH192" s="236"/>
      <c r="AI192" s="11"/>
    </row>
    <row r="193" customFormat="false" ht="17.35" hidden="false" customHeight="false" outlineLevel="0" collapsed="false">
      <c r="A193" s="221" t="s">
        <v>258</v>
      </c>
      <c r="B193" s="12" t="s">
        <v>259</v>
      </c>
      <c r="C193" s="12"/>
      <c r="D193" s="236"/>
      <c r="E193" s="12" t="s">
        <v>260</v>
      </c>
      <c r="F193" s="236"/>
      <c r="G193" s="236"/>
      <c r="H193" s="11"/>
      <c r="J193" s="221" t="s">
        <v>258</v>
      </c>
      <c r="K193" s="12" t="s">
        <v>259</v>
      </c>
      <c r="L193" s="12"/>
      <c r="M193" s="236"/>
      <c r="N193" s="12" t="s">
        <v>260</v>
      </c>
      <c r="O193" s="236"/>
      <c r="P193" s="236"/>
      <c r="Q193" s="11"/>
      <c r="S193" s="221" t="s">
        <v>258</v>
      </c>
      <c r="T193" s="12" t="s">
        <v>259</v>
      </c>
      <c r="U193" s="12"/>
      <c r="V193" s="236"/>
      <c r="W193" s="12" t="s">
        <v>260</v>
      </c>
      <c r="X193" s="236"/>
      <c r="Y193" s="236"/>
      <c r="Z193" s="11"/>
      <c r="AB193" s="221" t="s">
        <v>258</v>
      </c>
      <c r="AC193" s="12" t="s">
        <v>259</v>
      </c>
      <c r="AD193" s="12"/>
      <c r="AE193" s="236"/>
      <c r="AF193" s="12" t="s">
        <v>260</v>
      </c>
      <c r="AG193" s="236"/>
      <c r="AH193" s="236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6"/>
      <c r="E194" s="126" t="n">
        <f aca="false">E179+A194</f>
        <v>22</v>
      </c>
      <c r="F194" s="236"/>
      <c r="G194" s="236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6"/>
      <c r="N194" s="126" t="n">
        <f aca="false">N179+J194</f>
        <v>32</v>
      </c>
      <c r="O194" s="236"/>
      <c r="P194" s="236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6"/>
      <c r="W194" s="126" t="n">
        <f aca="false">W179+S194</f>
        <v>22</v>
      </c>
      <c r="X194" s="236"/>
      <c r="Y194" s="236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6"/>
      <c r="AF194" s="126" t="n">
        <f aca="false">AF179+AB194</f>
        <v>22</v>
      </c>
      <c r="AG194" s="236"/>
      <c r="AH194" s="236"/>
      <c r="AI194" s="130"/>
    </row>
    <row r="195" customFormat="false" ht="17.35" hidden="false" customHeight="false" outlineLevel="0" collapsed="false">
      <c r="A195" s="221"/>
      <c r="B195" s="12"/>
      <c r="C195" s="12"/>
      <c r="D195" s="12"/>
      <c r="E195" s="236"/>
      <c r="F195" s="236"/>
      <c r="G195" s="236"/>
      <c r="H195" s="11"/>
      <c r="J195" s="221"/>
      <c r="K195" s="12"/>
      <c r="L195" s="12"/>
      <c r="M195" s="12"/>
      <c r="N195" s="236"/>
      <c r="O195" s="236"/>
      <c r="P195" s="236"/>
      <c r="Q195" s="11"/>
      <c r="S195" s="221"/>
      <c r="T195" s="12"/>
      <c r="U195" s="12"/>
      <c r="V195" s="12"/>
      <c r="W195" s="236"/>
      <c r="X195" s="12"/>
      <c r="Y195" s="12"/>
      <c r="Z195" s="11"/>
      <c r="AB195" s="221"/>
      <c r="AC195" s="12"/>
      <c r="AD195" s="12"/>
      <c r="AE195" s="12"/>
      <c r="AF195" s="236"/>
      <c r="AG195" s="236"/>
      <c r="AH195" s="236"/>
      <c r="AI195" s="11"/>
    </row>
    <row r="196" customFormat="false" ht="17.35" hidden="false" customHeight="false" outlineLevel="0" collapsed="false">
      <c r="A196" s="221" t="s">
        <v>261</v>
      </c>
      <c r="B196" s="12" t="s">
        <v>262</v>
      </c>
      <c r="C196" s="12"/>
      <c r="D196" s="12"/>
      <c r="E196" s="114" t="s">
        <v>263</v>
      </c>
      <c r="F196" s="236"/>
      <c r="G196" s="236"/>
      <c r="H196" s="11"/>
      <c r="J196" s="221" t="s">
        <v>261</v>
      </c>
      <c r="K196" s="12" t="s">
        <v>262</v>
      </c>
      <c r="L196" s="12"/>
      <c r="M196" s="12"/>
      <c r="N196" s="114" t="s">
        <v>263</v>
      </c>
      <c r="O196" s="236"/>
      <c r="P196" s="236"/>
      <c r="Q196" s="11"/>
      <c r="S196" s="221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1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6"/>
      <c r="G197" s="236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6"/>
      <c r="P197" s="236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6"/>
      <c r="F198" s="236"/>
      <c r="G198" s="236"/>
      <c r="H198" s="11"/>
      <c r="J198" s="129"/>
      <c r="K198" s="126"/>
      <c r="L198" s="12"/>
      <c r="M198" s="12"/>
      <c r="N198" s="236"/>
      <c r="O198" s="236"/>
      <c r="P198" s="236"/>
      <c r="Q198" s="11"/>
      <c r="S198" s="129"/>
      <c r="T198" s="126"/>
      <c r="U198" s="12"/>
      <c r="V198" s="12"/>
      <c r="W198" s="236"/>
      <c r="X198" s="12"/>
      <c r="Y198" s="12"/>
      <c r="Z198" s="11"/>
      <c r="AB198" s="129"/>
      <c r="AC198" s="126"/>
      <c r="AD198" s="12"/>
      <c r="AE198" s="12"/>
      <c r="AF198" s="236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6"/>
      <c r="G199" s="236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6"/>
      <c r="P199" s="236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6"/>
      <c r="G200" s="236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6"/>
      <c r="P200" s="236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1"/>
      <c r="B201" s="12"/>
      <c r="C201" s="12"/>
      <c r="D201" s="12"/>
      <c r="E201" s="236"/>
      <c r="F201" s="236"/>
      <c r="G201" s="236"/>
      <c r="H201" s="11"/>
      <c r="J201" s="221"/>
      <c r="K201" s="12"/>
      <c r="L201" s="12"/>
      <c r="M201" s="12"/>
      <c r="N201" s="236"/>
      <c r="O201" s="236"/>
      <c r="P201" s="236"/>
      <c r="Q201" s="11"/>
      <c r="S201" s="221"/>
      <c r="T201" s="12"/>
      <c r="U201" s="12"/>
      <c r="V201" s="12"/>
      <c r="W201" s="236"/>
      <c r="X201" s="236"/>
      <c r="Y201" s="236"/>
      <c r="Z201" s="11"/>
      <c r="AB201" s="221"/>
      <c r="AC201" s="12"/>
      <c r="AD201" s="12"/>
      <c r="AE201" s="12"/>
      <c r="AF201" s="236"/>
      <c r="AG201" s="236"/>
      <c r="AH201" s="236"/>
      <c r="AI201" s="11"/>
    </row>
    <row r="202" customFormat="false" ht="17.35" hidden="false" customHeight="false" outlineLevel="0" collapsed="false">
      <c r="A202" s="254" t="s">
        <v>267</v>
      </c>
      <c r="B202" s="12"/>
      <c r="C202" s="12"/>
      <c r="D202" s="255"/>
      <c r="E202" s="255"/>
      <c r="F202" s="255"/>
      <c r="G202" s="255"/>
      <c r="H202" s="256"/>
      <c r="J202" s="254" t="s">
        <v>267</v>
      </c>
      <c r="K202" s="12"/>
      <c r="L202" s="12"/>
      <c r="M202" s="255"/>
      <c r="N202" s="255"/>
      <c r="O202" s="255"/>
      <c r="P202" s="255"/>
      <c r="Q202" s="256"/>
      <c r="S202" s="254" t="s">
        <v>267</v>
      </c>
      <c r="T202" s="12"/>
      <c r="U202" s="12"/>
      <c r="V202" s="255"/>
      <c r="W202" s="255"/>
      <c r="X202" s="255"/>
      <c r="Y202" s="255"/>
      <c r="Z202" s="256"/>
      <c r="AB202" s="254" t="s">
        <v>267</v>
      </c>
      <c r="AC202" s="12"/>
      <c r="AD202" s="12"/>
      <c r="AE202" s="255"/>
      <c r="AF202" s="255"/>
      <c r="AG202" s="255"/>
      <c r="AH202" s="255"/>
      <c r="AI202" s="256"/>
    </row>
    <row r="203" customFormat="false" ht="17.35" hidden="false" customHeight="false" outlineLevel="0" collapsed="false">
      <c r="A203" s="221"/>
      <c r="B203" s="257"/>
      <c r="C203" s="257"/>
      <c r="D203" s="12"/>
      <c r="E203" s="236"/>
      <c r="F203" s="236"/>
      <c r="G203" s="236"/>
      <c r="H203" s="11"/>
      <c r="J203" s="221"/>
      <c r="K203" s="257"/>
      <c r="L203" s="257"/>
      <c r="M203" s="12"/>
      <c r="N203" s="236"/>
      <c r="O203" s="236"/>
      <c r="P203" s="236"/>
      <c r="Q203" s="11"/>
      <c r="S203" s="221"/>
      <c r="T203" s="257"/>
      <c r="U203" s="257"/>
      <c r="V203" s="12"/>
      <c r="W203" s="236"/>
      <c r="X203" s="236"/>
      <c r="Y203" s="236"/>
      <c r="Z203" s="11"/>
      <c r="AB203" s="221"/>
      <c r="AC203" s="257"/>
      <c r="AD203" s="257"/>
      <c r="AE203" s="12"/>
      <c r="AF203" s="236"/>
      <c r="AG203" s="236"/>
      <c r="AH203" s="236"/>
      <c r="AI203" s="11"/>
    </row>
    <row r="204" customFormat="false" ht="19.7" hidden="false" customHeight="false" outlineLevel="0" collapsed="false">
      <c r="A204" s="326" t="s">
        <v>81</v>
      </c>
      <c r="B204" s="259" t="s">
        <v>82</v>
      </c>
      <c r="C204" s="259"/>
      <c r="D204" s="259"/>
      <c r="E204" s="236"/>
      <c r="F204" s="236"/>
      <c r="G204" s="236"/>
      <c r="H204" s="11"/>
      <c r="J204" s="326" t="s">
        <v>81</v>
      </c>
      <c r="K204" s="327" t="s">
        <v>82</v>
      </c>
      <c r="L204" s="327"/>
      <c r="M204" s="327"/>
      <c r="N204" s="236"/>
      <c r="O204" s="236"/>
      <c r="P204" s="236"/>
      <c r="Q204" s="11"/>
      <c r="S204" s="326" t="s">
        <v>81</v>
      </c>
      <c r="T204" s="259" t="s">
        <v>82</v>
      </c>
      <c r="U204" s="259"/>
      <c r="V204" s="259"/>
      <c r="W204" s="236"/>
      <c r="X204" s="236"/>
      <c r="Y204" s="236"/>
      <c r="Z204" s="11"/>
      <c r="AB204" s="326" t="s">
        <v>81</v>
      </c>
      <c r="AC204" s="259" t="s">
        <v>82</v>
      </c>
      <c r="AD204" s="259"/>
      <c r="AE204" s="259"/>
      <c r="AF204" s="236"/>
      <c r="AG204" s="236"/>
      <c r="AH204" s="236"/>
      <c r="AI204" s="11"/>
    </row>
    <row r="205" customFormat="false" ht="19.5" hidden="false" customHeight="true" outlineLevel="0" collapsed="false">
      <c r="A205" s="326"/>
      <c r="B205" s="260" t="str">
        <f aca="false">K30</f>
        <v>5000</v>
      </c>
      <c r="C205" s="260"/>
      <c r="D205" s="260"/>
      <c r="E205" s="236"/>
      <c r="F205" s="236"/>
      <c r="G205" s="236"/>
      <c r="H205" s="11"/>
      <c r="J205" s="326"/>
      <c r="K205" s="328" t="str">
        <f aca="false">K30</f>
        <v>5000</v>
      </c>
      <c r="L205" s="328"/>
      <c r="M205" s="328"/>
      <c r="N205" s="236"/>
      <c r="O205" s="236"/>
      <c r="P205" s="236"/>
      <c r="Q205" s="11"/>
      <c r="S205" s="326"/>
      <c r="T205" s="260" t="str">
        <f aca="false">K30</f>
        <v>5000</v>
      </c>
      <c r="U205" s="260"/>
      <c r="V205" s="260"/>
      <c r="W205" s="236"/>
      <c r="X205" s="236"/>
      <c r="Y205" s="236"/>
      <c r="Z205" s="11"/>
      <c r="AB205" s="326"/>
      <c r="AC205" s="260" t="str">
        <f aca="false">K30</f>
        <v>5000</v>
      </c>
      <c r="AD205" s="260"/>
      <c r="AE205" s="260"/>
      <c r="AF205" s="236"/>
      <c r="AG205" s="236"/>
      <c r="AH205" s="236"/>
      <c r="AI205" s="11"/>
    </row>
    <row r="206" customFormat="false" ht="17.35" hidden="false" customHeight="false" outlineLevel="0" collapsed="false">
      <c r="A206" s="261" t="str">
        <f aca="false">K29</f>
        <v>33</v>
      </c>
      <c r="B206" s="75" t="n">
        <f aca="false">B105</f>
        <v>1639.88541555755</v>
      </c>
      <c r="C206" s="75"/>
      <c r="D206" s="75"/>
      <c r="E206" s="236"/>
      <c r="F206" s="236"/>
      <c r="G206" s="236"/>
      <c r="H206" s="11"/>
      <c r="J206" s="261" t="str">
        <f aca="false">K29</f>
        <v>33</v>
      </c>
      <c r="K206" s="75" t="n">
        <f aca="false">K105</f>
        <v>1569.706327631</v>
      </c>
      <c r="L206" s="75"/>
      <c r="M206" s="75"/>
      <c r="N206" s="236"/>
      <c r="O206" s="236"/>
      <c r="P206" s="236"/>
      <c r="Q206" s="11"/>
      <c r="S206" s="261" t="str">
        <f aca="false">K29</f>
        <v>33</v>
      </c>
      <c r="T206" s="75" t="n">
        <f aca="false">T105</f>
        <v>1674.61110912406</v>
      </c>
      <c r="U206" s="75"/>
      <c r="V206" s="75"/>
      <c r="W206" s="236"/>
      <c r="X206" s="236"/>
      <c r="Y206" s="236"/>
      <c r="Z206" s="11"/>
      <c r="AB206" s="261" t="str">
        <f aca="false">K29</f>
        <v>33</v>
      </c>
      <c r="AC206" s="75" t="n">
        <f aca="false">AC105</f>
        <v>1674.61110912406</v>
      </c>
      <c r="AD206" s="75"/>
      <c r="AE206" s="75"/>
      <c r="AF206" s="236"/>
      <c r="AG206" s="236"/>
      <c r="AH206" s="236"/>
      <c r="AI206" s="11"/>
    </row>
    <row r="207" customFormat="false" ht="17.35" hidden="false" customHeight="false" outlineLevel="0" collapsed="false">
      <c r="A207" s="221"/>
      <c r="B207" s="12"/>
      <c r="C207" s="12"/>
      <c r="D207" s="12"/>
      <c r="E207" s="236"/>
      <c r="F207" s="236"/>
      <c r="G207" s="236"/>
      <c r="H207" s="11"/>
      <c r="J207" s="221"/>
      <c r="K207" s="12"/>
      <c r="L207" s="12"/>
      <c r="M207" s="12"/>
      <c r="N207" s="236"/>
      <c r="O207" s="236"/>
      <c r="P207" s="236"/>
      <c r="Q207" s="11"/>
      <c r="S207" s="221"/>
      <c r="T207" s="12"/>
      <c r="U207" s="12"/>
      <c r="V207" s="12"/>
      <c r="W207" s="236"/>
      <c r="X207" s="236"/>
      <c r="Y207" s="236"/>
      <c r="Z207" s="11"/>
      <c r="AB207" s="221"/>
      <c r="AC207" s="12"/>
      <c r="AD207" s="12"/>
      <c r="AE207" s="12"/>
      <c r="AF207" s="236"/>
      <c r="AG207" s="236"/>
      <c r="AH207" s="236"/>
      <c r="AI207" s="11"/>
    </row>
    <row r="208" customFormat="false" ht="17.35" hidden="false" customHeight="false" outlineLevel="0" collapsed="false">
      <c r="A208" s="221"/>
      <c r="B208" s="12"/>
      <c r="C208" s="12"/>
      <c r="D208" s="12"/>
      <c r="E208" s="236"/>
      <c r="F208" s="236"/>
      <c r="G208" s="236"/>
      <c r="H208" s="11"/>
      <c r="J208" s="221"/>
      <c r="K208" s="12"/>
      <c r="L208" s="12"/>
      <c r="M208" s="12"/>
      <c r="N208" s="236"/>
      <c r="O208" s="236"/>
      <c r="P208" s="236"/>
      <c r="Q208" s="11"/>
      <c r="S208" s="221"/>
      <c r="T208" s="12"/>
      <c r="U208" s="12"/>
      <c r="V208" s="12"/>
      <c r="W208" s="236"/>
      <c r="X208" s="236"/>
      <c r="Y208" s="236"/>
      <c r="Z208" s="11"/>
      <c r="AB208" s="221"/>
      <c r="AC208" s="12"/>
      <c r="AD208" s="12"/>
      <c r="AE208" s="12"/>
      <c r="AF208" s="236"/>
      <c r="AG208" s="236"/>
      <c r="AH208" s="236"/>
      <c r="AI208" s="11"/>
    </row>
    <row r="209" customFormat="false" ht="17.35" hidden="false" customHeight="false" outlineLevel="0" collapsed="false">
      <c r="A209" s="221"/>
      <c r="B209" s="12"/>
      <c r="C209" s="12"/>
      <c r="D209" s="12"/>
      <c r="E209" s="236"/>
      <c r="F209" s="236"/>
      <c r="G209" s="236"/>
      <c r="H209" s="11"/>
      <c r="J209" s="221"/>
      <c r="K209" s="12"/>
      <c r="L209" s="12"/>
      <c r="M209" s="12"/>
      <c r="N209" s="236"/>
      <c r="O209" s="236"/>
      <c r="P209" s="236"/>
      <c r="Q209" s="11"/>
      <c r="S209" s="221"/>
      <c r="T209" s="12"/>
      <c r="U209" s="12"/>
      <c r="V209" s="12"/>
      <c r="W209" s="236"/>
      <c r="X209" s="236"/>
      <c r="Y209" s="236"/>
      <c r="Z209" s="11"/>
      <c r="AB209" s="221"/>
      <c r="AC209" s="12"/>
      <c r="AD209" s="12"/>
      <c r="AE209" s="12"/>
      <c r="AF209" s="236"/>
      <c r="AG209" s="236"/>
      <c r="AH209" s="236"/>
      <c r="AI209" s="11"/>
    </row>
    <row r="210" customFormat="false" ht="17.35" hidden="false" customHeight="false" outlineLevel="0" collapsed="false">
      <c r="A210" s="221"/>
      <c r="B210" s="12"/>
      <c r="C210" s="12"/>
      <c r="D210" s="12"/>
      <c r="E210" s="236"/>
      <c r="F210" s="236"/>
      <c r="G210" s="236"/>
      <c r="H210" s="11"/>
      <c r="J210" s="221"/>
      <c r="K210" s="12"/>
      <c r="L210" s="12"/>
      <c r="M210" s="12"/>
      <c r="N210" s="236"/>
      <c r="O210" s="236"/>
      <c r="P210" s="236"/>
      <c r="Q210" s="11"/>
      <c r="S210" s="221"/>
      <c r="T210" s="12"/>
      <c r="U210" s="12"/>
      <c r="V210" s="12"/>
      <c r="W210" s="236"/>
      <c r="X210" s="236"/>
      <c r="Y210" s="236"/>
      <c r="Z210" s="11"/>
      <c r="AB210" s="221"/>
      <c r="AC210" s="12"/>
      <c r="AD210" s="12"/>
      <c r="AE210" s="12"/>
      <c r="AF210" s="236"/>
      <c r="AG210" s="236"/>
      <c r="AH210" s="236"/>
      <c r="AI210" s="11"/>
    </row>
    <row r="211" customFormat="false" ht="17.35" hidden="false" customHeight="false" outlineLevel="0" collapsed="false">
      <c r="A211" s="249"/>
      <c r="B211" s="250"/>
      <c r="C211" s="250"/>
      <c r="D211" s="250"/>
      <c r="E211" s="250"/>
      <c r="F211" s="250"/>
      <c r="G211" s="250"/>
      <c r="H211" s="84"/>
      <c r="J211" s="249"/>
      <c r="K211" s="250"/>
      <c r="L211" s="250"/>
      <c r="M211" s="250"/>
      <c r="N211" s="250"/>
      <c r="O211" s="250"/>
      <c r="P211" s="250"/>
      <c r="Q211" s="84"/>
      <c r="S211" s="249"/>
      <c r="T211" s="250"/>
      <c r="U211" s="250"/>
      <c r="V211" s="250"/>
      <c r="W211" s="250"/>
      <c r="X211" s="250"/>
      <c r="Y211" s="250"/>
      <c r="Z211" s="84"/>
      <c r="AB211" s="249"/>
      <c r="AC211" s="250"/>
      <c r="AD211" s="250"/>
      <c r="AE211" s="250"/>
      <c r="AF211" s="250"/>
      <c r="AG211" s="250"/>
      <c r="AH211" s="250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" colorId="64" zoomScale="75" zoomScaleNormal="75" zoomScalePageLayoutView="100" workbookViewId="0">
      <selection pane="topLeft" activeCell="Z103" activeCellId="0" sqref="Z103"/>
    </sheetView>
  </sheetViews>
  <sheetFormatPr defaultColWidth="10.878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139" t="n">
        <v>46854.17</v>
      </c>
      <c r="C3" s="139" t="n">
        <v>0</v>
      </c>
      <c r="D3" s="139" t="n">
        <v>833.33</v>
      </c>
      <c r="E3" s="140" t="n">
        <v>0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7" t="n">
        <f aca="false">B7+C7+D7+E3</f>
        <v>47687.5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(E9+E10)*20%</f>
        <v>9647.5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8" t="n">
        <f aca="false">(E9+E10+E13+E14+E11)-E12</f>
        <v>58525</v>
      </c>
      <c r="F15" s="135"/>
      <c r="G15" s="149" t="n">
        <f aca="false">E15</f>
        <v>58525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/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7.35" hidden="false" customHeight="fals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IF(A32=Y103,1,IF(A32=Y104,1,IF(A32=Y105,3,IF(A32=Y106,6,IF(A32=Y107,9,IF(A32=Y108,12,IF(A32=Y109,3,IF(A32=Y110,6,IF(A32=Y111,9,0)))))))))</f>
        <v>0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IF(A32=Y103,H29-H37,IF(A32=Y104,H29-H37,IF(A32=Y105,H29-1,IF(A32=Y106,H29-1,IF(A32=Y107,H29-1,IF(A32=Y108,H29-1,IF(A32=Y109,H29-H37,IF(A32=Y110,H29-H37,IF(A32=Y111,H29-H37,0)))))))))</f>
        <v>0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12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n">
        <f aca="false">IF(A32=Z103,A41,IF(A32=Z104,A41,IF(A32=Z105,(A41*3),IF(A32=Z106,(A41*6),IF(A32=Z107,(A41*9),IF(A32=Z108,(A41*12),IF(A32=Z109,A41,IF(A32=Z110,A41,IF(A32=Z111,A41,0)))))))))</f>
        <v>0</v>
      </c>
      <c r="E32" s="159"/>
      <c r="F32" s="135"/>
      <c r="G32" s="160" t="s">
        <v>177</v>
      </c>
      <c r="H32" s="158" t="n">
        <f aca="false">A41</f>
        <v>0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18.75" hidden="false" customHeight="tru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n">
        <f aca="false">D41</f>
        <v>6000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12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59" t="n">
        <f aca="false">B32+D32</f>
        <v>500</v>
      </c>
      <c r="B35" s="37" t="s">
        <v>44</v>
      </c>
      <c r="C35" s="37"/>
      <c r="D35" s="37" t="s">
        <v>45</v>
      </c>
      <c r="E35" s="37"/>
      <c r="F35" s="135"/>
      <c r="G35" s="162"/>
      <c r="H35" s="163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38"/>
      <c r="B36" s="145"/>
      <c r="C36" s="145"/>
      <c r="D36" s="145"/>
      <c r="E36" s="146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64" t="n">
        <f aca="false">(B35/12)*D35</f>
        <v>5000</v>
      </c>
      <c r="B38" s="37" t="s">
        <v>26</v>
      </c>
      <c r="C38" s="37"/>
      <c r="D38" s="42" t="s">
        <v>55</v>
      </c>
      <c r="E38" s="42"/>
      <c r="F38" s="135"/>
      <c r="G38" s="135"/>
      <c r="H38" s="135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57"/>
      <c r="B39" s="45"/>
      <c r="C39" s="45"/>
      <c r="D39" s="145"/>
      <c r="E39" s="146"/>
      <c r="F39" s="135"/>
      <c r="G39" s="135"/>
      <c r="H39" s="165"/>
      <c r="I39" s="165"/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16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6" t="n">
        <v>6000</v>
      </c>
      <c r="E41" s="166"/>
      <c r="F41" s="135"/>
      <c r="G41" s="135"/>
      <c r="H41" s="167"/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501</v>
      </c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42" t="s">
        <v>44</v>
      </c>
      <c r="B44" s="166" t="n">
        <v>0</v>
      </c>
      <c r="C44" s="166"/>
      <c r="D44" s="166" t="n">
        <v>0</v>
      </c>
      <c r="E44" s="166"/>
      <c r="F44" s="135"/>
      <c r="G44" s="135" t="s">
        <v>185</v>
      </c>
      <c r="H44" s="165" t="n">
        <f aca="false">H32</f>
        <v>0</v>
      </c>
      <c r="I44" s="62" t="n">
        <f aca="false">((A41*(B35-1))+D32)/B35</f>
        <v>0</v>
      </c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501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501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70" t="n">
        <v>0</v>
      </c>
      <c r="B47" s="171" t="n">
        <v>0</v>
      </c>
      <c r="C47" s="171"/>
      <c r="D47" s="166" t="n">
        <v>0</v>
      </c>
      <c r="E47" s="166"/>
      <c r="F47" s="135"/>
      <c r="G47" s="135"/>
      <c r="H47" s="165"/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5"/>
      <c r="G48" s="135"/>
      <c r="H48" s="165"/>
      <c r="I48" s="16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5"/>
      <c r="G49" s="135"/>
      <c r="H49" s="165"/>
      <c r="I49" s="16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B50" s="45"/>
      <c r="C50" s="45"/>
      <c r="D50" s="45"/>
      <c r="E50" s="61"/>
      <c r="F50" s="135"/>
      <c r="G50" s="135"/>
      <c r="H50" s="16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5"/>
      <c r="G51" s="135"/>
      <c r="H51" s="165"/>
      <c r="I51" s="16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5"/>
      <c r="G52" s="135"/>
      <c r="H52" s="165"/>
      <c r="I52" s="16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5"/>
      <c r="G53" s="135"/>
      <c r="H53" s="165"/>
      <c r="I53" s="16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2" t="s">
        <v>73</v>
      </c>
      <c r="B54" s="145"/>
      <c r="C54" s="145"/>
      <c r="D54" s="173"/>
      <c r="E54" s="174"/>
      <c r="F54" s="135"/>
      <c r="G54" s="135"/>
      <c r="H54" s="165"/>
      <c r="I54" s="16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38"/>
      <c r="B55" s="175"/>
      <c r="C55" s="175"/>
      <c r="D55" s="145"/>
      <c r="E55" s="146"/>
      <c r="F55" s="135"/>
      <c r="G55" s="135"/>
      <c r="H55" s="176"/>
      <c r="I55" s="16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5"/>
      <c r="E56" s="146"/>
      <c r="F56" s="135"/>
      <c r="G56" s="135"/>
      <c r="H56" s="135"/>
      <c r="I56" s="16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5"/>
      <c r="E57" s="146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5"/>
      <c r="E58" s="146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77"/>
      <c r="B60" s="178"/>
      <c r="C60" s="178"/>
      <c r="D60" s="178"/>
      <c r="E60" s="179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45"/>
      <c r="B61" s="145"/>
      <c r="C61" s="145"/>
      <c r="D61" s="145"/>
      <c r="E61" s="145"/>
      <c r="F61" s="135"/>
      <c r="G61" s="145"/>
      <c r="H61" s="145"/>
      <c r="I61" s="145"/>
      <c r="J61" s="145"/>
      <c r="K61" s="145"/>
      <c r="L61" s="135"/>
      <c r="M61" s="145"/>
      <c r="N61" s="145"/>
      <c r="O61" s="145"/>
      <c r="P61" s="145"/>
      <c r="Q61" s="145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0"/>
      <c r="B62" s="181"/>
      <c r="C62" s="181"/>
      <c r="D62" s="181"/>
      <c r="E62" s="182"/>
      <c r="F62" s="135"/>
      <c r="G62" s="180"/>
      <c r="H62" s="181"/>
      <c r="I62" s="181"/>
      <c r="J62" s="181"/>
      <c r="K62" s="182"/>
      <c r="L62" s="135"/>
      <c r="M62" s="180"/>
      <c r="N62" s="181"/>
      <c r="O62" s="181"/>
      <c r="P62" s="181"/>
      <c r="Q62" s="182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83</v>
      </c>
      <c r="B63" s="145" t="n">
        <f aca="false">IF(B105=Z103,1,IF(B105=Z104,1,IF(B105=Z105,3,IF(B105=Z106,6,IF(B105=Z107,9,IF(B105=Z108,12,IF(B105=Z109,3,IF(B105=Z110,6,IF(B105=Z111,9,0)))))))))</f>
        <v>9</v>
      </c>
      <c r="C63" s="145"/>
      <c r="D63" s="145"/>
      <c r="E63" s="146"/>
      <c r="F63" s="135"/>
      <c r="G63" s="138" t="s">
        <v>83</v>
      </c>
      <c r="H63" s="145" t="n">
        <f aca="false">IF(H105=Y103,1,IF(H105=Y104,1,IF(H105=Y105,3,IF(H105=Y106,6,IF(H105=Y107,9,IF(H105=Y108,12,IF(H105=Y109,3,IF(H105=Y110,6,IF(H105=Y111,9,0)))))))))</f>
        <v>0</v>
      </c>
      <c r="I63" s="145"/>
      <c r="J63" s="145"/>
      <c r="K63" s="146"/>
      <c r="L63" s="135"/>
      <c r="M63" s="138" t="s">
        <v>83</v>
      </c>
      <c r="N63" s="145" t="n">
        <f aca="false">IF(N105=Y103,1,IF(N105=Y104,1,IF(N105=Y105,3,IF(N105=Y106,6,IF(N105=Y107,9,IF(N105=Y108,12,IF(N105=Y109,3,IF(N105=Y110,6,IF(N105=Y111,9,0)))))))))</f>
        <v>0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38" t="s">
        <v>84</v>
      </c>
      <c r="B64" s="145" t="n">
        <f aca="false">IF(B105=Z103,H29-B63,IF(B105=Z104,H29-B63,IF(B105=Z105,H29-1,IF(B105=Z106,H29-1,IF(B105=Z107,H29-1,IF(B105=Z108,H29-1,IF(B105=Z109,H29-B63,IF(B105=Z110,H29-B63,IF(B105=Z111,H29-B63,0)))))))))</f>
        <v>3</v>
      </c>
      <c r="C64" s="145"/>
      <c r="D64" s="145"/>
      <c r="E64" s="146"/>
      <c r="F64" s="135"/>
      <c r="G64" s="138" t="s">
        <v>84</v>
      </c>
      <c r="H64" s="145" t="n">
        <f aca="false">IF(H105=Y103,H29-H63,IF(H105=Y104,H29-H63,IF(H105=Y105,H29-1,IF(H105=Y106,H29-1,IF(H105=Y107,H29-1,IF(H105=Y108,H29-1,IF(H105=Y109,H29-H63,IF(H105=Y110,H29-H63,IF(H105=Y111,H29-H63,0)))))))))</f>
        <v>0</v>
      </c>
      <c r="I64" s="145"/>
      <c r="J64" s="145"/>
      <c r="K64" s="146"/>
      <c r="L64" s="135"/>
      <c r="M64" s="138" t="s">
        <v>84</v>
      </c>
      <c r="N64" s="145" t="n">
        <f aca="false">IF(N105=Y103,H29-N63,IF(N105=Y104,H29-N63,IF(N105=Y105,H29-1,IF(N105=Y106,H29-1,IF(N105=Y107,H29-1,IF(N105=Y108,H29-1,IF(N105=Y109,H29-N63,IF(N105=Y110,H29-N63,IF(N105=Y111,H29-N63,0)))))))))</f>
        <v>0</v>
      </c>
      <c r="O64" s="145"/>
      <c r="P64" s="145"/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38"/>
      <c r="C65" s="145"/>
      <c r="D65" s="145"/>
      <c r="E65" s="146"/>
      <c r="F65" s="135"/>
      <c r="G65" s="138"/>
      <c r="H65" s="145"/>
      <c r="I65" s="145"/>
      <c r="J65" s="145"/>
      <c r="K65" s="146"/>
      <c r="L65" s="135"/>
      <c r="M65" s="138"/>
      <c r="N65" s="145"/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/>
      <c r="B66" s="145"/>
      <c r="C66" s="145"/>
      <c r="D66" s="145"/>
      <c r="E66" s="146"/>
      <c r="F66" s="135"/>
      <c r="G66" s="138"/>
      <c r="H66" s="145"/>
      <c r="I66" s="145"/>
      <c r="J66" s="145"/>
      <c r="K66" s="146"/>
      <c r="L66" s="135"/>
      <c r="M66" s="138"/>
      <c r="N66" s="145"/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38" t="s">
        <v>21</v>
      </c>
      <c r="B67" s="144" t="n">
        <f aca="false">G18</f>
        <v>57885</v>
      </c>
      <c r="C67" s="145"/>
      <c r="D67" s="145"/>
      <c r="E67" s="146"/>
      <c r="F67" s="135"/>
      <c r="G67" s="138" t="s">
        <v>21</v>
      </c>
      <c r="H67" s="144" t="n">
        <f aca="false">G18</f>
        <v>57885</v>
      </c>
      <c r="I67" s="145"/>
      <c r="J67" s="145"/>
      <c r="K67" s="146"/>
      <c r="L67" s="135"/>
      <c r="M67" s="138" t="s">
        <v>21</v>
      </c>
      <c r="N67" s="144" t="n">
        <f aca="false">G18</f>
        <v>57885</v>
      </c>
      <c r="O67" s="145"/>
      <c r="P67" s="145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85</v>
      </c>
      <c r="B68" s="184" t="n">
        <v>0.07</v>
      </c>
      <c r="C68" s="145"/>
      <c r="D68" s="145"/>
      <c r="E68" s="146"/>
      <c r="F68" s="135"/>
      <c r="G68" s="183" t="s">
        <v>85</v>
      </c>
      <c r="H68" s="184" t="n">
        <v>0.07</v>
      </c>
      <c r="I68" s="145"/>
      <c r="J68" s="145"/>
      <c r="K68" s="146"/>
      <c r="L68" s="135"/>
      <c r="M68" s="183" t="s">
        <v>85</v>
      </c>
      <c r="N68" s="184" t="n">
        <v>0.07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8" t="s">
        <v>86</v>
      </c>
      <c r="B69" s="142" t="n">
        <f aca="false">B68+(B68*0.25*(H29/12-1))</f>
        <v>0.07</v>
      </c>
      <c r="C69" s="145"/>
      <c r="D69" s="145"/>
      <c r="E69" s="146"/>
      <c r="F69" s="135"/>
      <c r="G69" s="138" t="s">
        <v>86</v>
      </c>
      <c r="H69" s="142" t="n">
        <f aca="false">H68+(H68*0.25*(H29/12-1))</f>
        <v>0.07</v>
      </c>
      <c r="I69" s="145"/>
      <c r="J69" s="145"/>
      <c r="K69" s="146"/>
      <c r="L69" s="135"/>
      <c r="M69" s="138" t="s">
        <v>86</v>
      </c>
      <c r="N69" s="142" t="n">
        <f aca="false">N68+(N68*0.25*(H29/12-1))</f>
        <v>0.07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87</v>
      </c>
      <c r="B70" s="185" t="n">
        <f aca="false">B67*B69</f>
        <v>4051.95</v>
      </c>
      <c r="C70" s="145"/>
      <c r="D70" s="144" t="n">
        <f aca="false">B70-A151</f>
        <v>4051.95</v>
      </c>
      <c r="E70" s="146" t="n">
        <f aca="false">D70/12</f>
        <v>337.6625</v>
      </c>
      <c r="F70" s="135"/>
      <c r="G70" s="177" t="s">
        <v>87</v>
      </c>
      <c r="H70" s="185" t="n">
        <f aca="false">H67*H69</f>
        <v>4051.95</v>
      </c>
      <c r="I70" s="145"/>
      <c r="J70" s="144" t="n">
        <f aca="false">H70-G151</f>
        <v>4051.95</v>
      </c>
      <c r="K70" s="146"/>
      <c r="L70" s="135"/>
      <c r="M70" s="177" t="s">
        <v>87</v>
      </c>
      <c r="N70" s="185" t="n">
        <f aca="false">N67*N69</f>
        <v>4051.95</v>
      </c>
      <c r="O70" s="145"/>
      <c r="P70" s="144" t="n">
        <f aca="false">N70-M151</f>
        <v>4051.95</v>
      </c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88</v>
      </c>
      <c r="B71" s="184" t="n">
        <v>0.01</v>
      </c>
      <c r="C71" s="145"/>
      <c r="D71" s="145"/>
      <c r="E71" s="146"/>
      <c r="F71" s="135"/>
      <c r="G71" s="183" t="s">
        <v>88</v>
      </c>
      <c r="H71" s="184" t="n">
        <v>0.005</v>
      </c>
      <c r="I71" s="145"/>
      <c r="J71" s="145"/>
      <c r="K71" s="146"/>
      <c r="L71" s="135"/>
      <c r="M71" s="183" t="s">
        <v>88</v>
      </c>
      <c r="N71" s="184" t="n">
        <v>0.005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8" t="s">
        <v>89</v>
      </c>
      <c r="B72" s="142" t="n">
        <f aca="false">B71+(B71*0.5*(H29/12-1))</f>
        <v>0.01</v>
      </c>
      <c r="C72" s="145"/>
      <c r="D72" s="145"/>
      <c r="E72" s="146"/>
      <c r="F72" s="135"/>
      <c r="G72" s="138" t="s">
        <v>89</v>
      </c>
      <c r="H72" s="142" t="n">
        <f aca="false">H71+(H71*0.5*(H29/12-1))</f>
        <v>0.005</v>
      </c>
      <c r="I72" s="145"/>
      <c r="J72" s="145"/>
      <c r="K72" s="146"/>
      <c r="L72" s="135"/>
      <c r="M72" s="138" t="s">
        <v>89</v>
      </c>
      <c r="N72" s="142" t="n">
        <f aca="false">N71+(N71*0.5*(H29/12-1))</f>
        <v>0.005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90</v>
      </c>
      <c r="B73" s="185" t="n">
        <f aca="false">B67*B72</f>
        <v>578.85</v>
      </c>
      <c r="C73" s="145"/>
      <c r="D73" s="144"/>
      <c r="E73" s="146"/>
      <c r="F73" s="135"/>
      <c r="G73" s="177" t="s">
        <v>90</v>
      </c>
      <c r="H73" s="185" t="n">
        <f aca="false">H67*H72</f>
        <v>289.425</v>
      </c>
      <c r="I73" s="145"/>
      <c r="J73" s="144"/>
      <c r="K73" s="146"/>
      <c r="L73" s="135"/>
      <c r="M73" s="177" t="s">
        <v>90</v>
      </c>
      <c r="N73" s="185" t="n">
        <f aca="false">N67*N72</f>
        <v>289.425</v>
      </c>
      <c r="O73" s="145"/>
      <c r="P73" s="144"/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91</v>
      </c>
      <c r="B74" s="184" t="n">
        <v>0.0075</v>
      </c>
      <c r="C74" s="145"/>
      <c r="D74" s="145"/>
      <c r="E74" s="146"/>
      <c r="F74" s="135"/>
      <c r="G74" s="183" t="s">
        <v>91</v>
      </c>
      <c r="H74" s="184" t="n">
        <v>0.0075</v>
      </c>
      <c r="I74" s="145"/>
      <c r="J74" s="145"/>
      <c r="K74" s="146"/>
      <c r="L74" s="135"/>
      <c r="M74" s="183" t="s">
        <v>91</v>
      </c>
      <c r="N74" s="184" t="n">
        <v>0.0075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92</v>
      </c>
      <c r="B75" s="186" t="n">
        <v>0.12</v>
      </c>
      <c r="C75" s="145"/>
      <c r="D75" s="145"/>
      <c r="E75" s="146"/>
      <c r="F75" s="135"/>
      <c r="G75" s="136" t="s">
        <v>92</v>
      </c>
      <c r="H75" s="186" t="n">
        <v>0.12</v>
      </c>
      <c r="I75" s="145"/>
      <c r="J75" s="145"/>
      <c r="K75" s="146"/>
      <c r="L75" s="135"/>
      <c r="M75" s="136" t="s">
        <v>92</v>
      </c>
      <c r="N75" s="186" t="n">
        <v>0.12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93</v>
      </c>
      <c r="B76" s="187" t="n">
        <f aca="false">B74*(1+B75)</f>
        <v>0.0084</v>
      </c>
      <c r="C76" s="145"/>
      <c r="D76" s="145"/>
      <c r="E76" s="146"/>
      <c r="F76" s="135"/>
      <c r="G76" s="177" t="s">
        <v>93</v>
      </c>
      <c r="H76" s="187" t="n">
        <f aca="false">H74*(1+H75)</f>
        <v>0.0084</v>
      </c>
      <c r="I76" s="145"/>
      <c r="J76" s="145"/>
      <c r="K76" s="146"/>
      <c r="L76" s="135"/>
      <c r="M76" s="177" t="s">
        <v>93</v>
      </c>
      <c r="N76" s="187" t="n">
        <f aca="false">N74*(1+N75)</f>
        <v>0.0084</v>
      </c>
      <c r="O76" s="145"/>
      <c r="P76" s="145"/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94</v>
      </c>
      <c r="B77" s="188" t="n">
        <v>200</v>
      </c>
      <c r="C77" s="145"/>
      <c r="D77" s="145"/>
      <c r="E77" s="146"/>
      <c r="F77" s="135"/>
      <c r="G77" s="183" t="s">
        <v>94</v>
      </c>
      <c r="H77" s="188" t="n">
        <v>160</v>
      </c>
      <c r="I77" s="145"/>
      <c r="J77" s="145"/>
      <c r="K77" s="146"/>
      <c r="L77" s="135"/>
      <c r="M77" s="183" t="s">
        <v>94</v>
      </c>
      <c r="N77" s="188" t="n">
        <v>160</v>
      </c>
      <c r="O77" s="145"/>
      <c r="P77" s="145"/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6" t="s">
        <v>95</v>
      </c>
      <c r="B78" s="189" t="n">
        <v>5</v>
      </c>
      <c r="C78" s="145"/>
      <c r="D78" s="145"/>
      <c r="E78" s="146"/>
      <c r="F78" s="135"/>
      <c r="G78" s="136" t="s">
        <v>95</v>
      </c>
      <c r="H78" s="189" t="n">
        <v>4.5</v>
      </c>
      <c r="I78" s="145"/>
      <c r="J78" s="145"/>
      <c r="K78" s="146"/>
      <c r="L78" s="135"/>
      <c r="M78" s="136" t="s">
        <v>95</v>
      </c>
      <c r="N78" s="189" t="n">
        <v>4.5</v>
      </c>
      <c r="O78" s="145"/>
      <c r="P78" s="145"/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77" t="s">
        <v>96</v>
      </c>
      <c r="B79" s="185" t="n">
        <f aca="false">B78*H29</f>
        <v>60</v>
      </c>
      <c r="C79" s="145"/>
      <c r="D79" s="144" t="n">
        <f aca="false">B79+B77</f>
        <v>260</v>
      </c>
      <c r="E79" s="190" t="n">
        <f aca="false">D79+D85+D86</f>
        <v>660</v>
      </c>
      <c r="F79" s="135"/>
      <c r="G79" s="177" t="s">
        <v>96</v>
      </c>
      <c r="H79" s="185" t="n">
        <f aca="false">H78*H29</f>
        <v>54</v>
      </c>
      <c r="I79" s="145"/>
      <c r="J79" s="144" t="n">
        <f aca="false">H79+H77</f>
        <v>214</v>
      </c>
      <c r="K79" s="146"/>
      <c r="L79" s="135"/>
      <c r="M79" s="177" t="s">
        <v>96</v>
      </c>
      <c r="N79" s="185" t="n">
        <f aca="false">N78*H29</f>
        <v>54</v>
      </c>
      <c r="O79" s="145"/>
      <c r="P79" s="144" t="n">
        <f aca="false">N79+N77</f>
        <v>214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83" t="s">
        <v>97</v>
      </c>
      <c r="B80" s="188" t="n">
        <v>165</v>
      </c>
      <c r="C80" s="145"/>
      <c r="D80" s="145"/>
      <c r="E80" s="190" t="n">
        <f aca="false">E79+D82</f>
        <v>703.333333333333</v>
      </c>
      <c r="F80" s="135"/>
      <c r="G80" s="183" t="s">
        <v>97</v>
      </c>
      <c r="H80" s="188" t="n">
        <v>150</v>
      </c>
      <c r="I80" s="145"/>
      <c r="J80" s="145"/>
      <c r="K80" s="146"/>
      <c r="L80" s="135"/>
      <c r="M80" s="191" t="s">
        <v>97</v>
      </c>
      <c r="N80" s="192" t="n">
        <v>0</v>
      </c>
      <c r="O80" s="145"/>
      <c r="P80" s="145"/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36" t="s">
        <v>98</v>
      </c>
      <c r="B81" s="189" t="n">
        <v>355</v>
      </c>
      <c r="C81" s="145"/>
      <c r="D81" s="145"/>
      <c r="E81" s="146" t="n">
        <f aca="false">E80/12</f>
        <v>58.6111111111111</v>
      </c>
      <c r="F81" s="135"/>
      <c r="G81" s="136" t="s">
        <v>98</v>
      </c>
      <c r="H81" s="189" t="n">
        <f aca="false">IF(G18&gt;40000, 325, 0)</f>
        <v>325</v>
      </c>
      <c r="I81" s="145"/>
      <c r="J81" s="145"/>
      <c r="K81" s="146"/>
      <c r="L81" s="135"/>
      <c r="M81" s="193" t="s">
        <v>98</v>
      </c>
      <c r="N81" s="194" t="n">
        <v>0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77" t="s">
        <v>99</v>
      </c>
      <c r="B82" s="185" t="n">
        <f aca="false">((B80+B81)/12)*(H29-11)</f>
        <v>43.3333333333333</v>
      </c>
      <c r="C82" s="145"/>
      <c r="D82" s="144" t="n">
        <f aca="false">IF(A50="YES", 0, B82)</f>
        <v>43.3333333333333</v>
      </c>
      <c r="E82" s="146"/>
      <c r="F82" s="135"/>
      <c r="G82" s="177" t="s">
        <v>99</v>
      </c>
      <c r="H82" s="185" t="n">
        <f aca="false">((H80+H81)/12)*(H29-11)</f>
        <v>39.5833333333333</v>
      </c>
      <c r="I82" s="145"/>
      <c r="J82" s="144" t="n">
        <f aca="false">IF(A50="YES", 0, H82)</f>
        <v>39.5833333333333</v>
      </c>
      <c r="K82" s="146"/>
      <c r="L82" s="135"/>
      <c r="M82" s="195" t="s">
        <v>99</v>
      </c>
      <c r="N82" s="196" t="n">
        <f aca="false">((N80+N81)/12)*(H29-11)</f>
        <v>0</v>
      </c>
      <c r="O82" s="145"/>
      <c r="P82" s="144" t="n">
        <f aca="false">IF(A50="YES", 0, N82)</f>
        <v>0</v>
      </c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183" t="s">
        <v>100</v>
      </c>
      <c r="B83" s="188" t="n">
        <v>0</v>
      </c>
      <c r="C83" s="145"/>
      <c r="D83" s="144" t="n">
        <f aca="false">B83</f>
        <v>0</v>
      </c>
      <c r="E83" s="146" t="n">
        <f aca="false">D83/12</f>
        <v>0</v>
      </c>
      <c r="F83" s="135"/>
      <c r="G83" s="183" t="s">
        <v>100</v>
      </c>
      <c r="H83" s="188" t="n">
        <f aca="false">H108</f>
        <v>1200</v>
      </c>
      <c r="I83" s="145"/>
      <c r="J83" s="144" t="n">
        <f aca="false">H83</f>
        <v>1200</v>
      </c>
      <c r="K83" s="146"/>
      <c r="L83" s="135"/>
      <c r="M83" s="183" t="s">
        <v>100</v>
      </c>
      <c r="N83" s="188" t="n">
        <f aca="false">N108</f>
        <v>1200</v>
      </c>
      <c r="O83" s="145"/>
      <c r="P83" s="144" t="n">
        <f aca="false">N83</f>
        <v>1200</v>
      </c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 t="s">
        <v>101</v>
      </c>
      <c r="B84" s="143" t="n">
        <v>0</v>
      </c>
      <c r="C84" s="145"/>
      <c r="D84" s="144" t="n">
        <f aca="false">B84</f>
        <v>0</v>
      </c>
      <c r="E84" s="146"/>
      <c r="F84" s="135"/>
      <c r="G84" s="138" t="s">
        <v>102</v>
      </c>
      <c r="H84" s="143" t="n">
        <f aca="false">J108</f>
        <v>1500</v>
      </c>
      <c r="I84" s="145"/>
      <c r="J84" s="144" t="n">
        <f aca="false">H84</f>
        <v>1500</v>
      </c>
      <c r="K84" s="146"/>
      <c r="L84" s="135"/>
      <c r="M84" s="138" t="s">
        <v>102</v>
      </c>
      <c r="N84" s="143" t="n">
        <f aca="false">P108</f>
        <v>1500</v>
      </c>
      <c r="O84" s="145"/>
      <c r="P84" s="144" t="n">
        <f aca="false">N84</f>
        <v>1500</v>
      </c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36" t="s">
        <v>103</v>
      </c>
      <c r="B85" s="189" t="n">
        <v>200</v>
      </c>
      <c r="C85" s="145"/>
      <c r="D85" s="144" t="n">
        <f aca="false">B85</f>
        <v>200</v>
      </c>
      <c r="E85" s="146"/>
      <c r="F85" s="135"/>
      <c r="G85" s="136" t="s">
        <v>103</v>
      </c>
      <c r="H85" s="189" t="n">
        <v>100</v>
      </c>
      <c r="I85" s="145"/>
      <c r="J85" s="144" t="n">
        <f aca="false">H85</f>
        <v>100</v>
      </c>
      <c r="K85" s="146"/>
      <c r="L85" s="135"/>
      <c r="M85" s="136" t="s">
        <v>103</v>
      </c>
      <c r="N85" s="189" t="n">
        <v>100</v>
      </c>
      <c r="O85" s="145"/>
      <c r="P85" s="144" t="n">
        <f aca="false">N85</f>
        <v>100</v>
      </c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97" t="s">
        <v>104</v>
      </c>
      <c r="B86" s="198" t="n">
        <v>200</v>
      </c>
      <c r="C86" s="145"/>
      <c r="D86" s="144" t="n">
        <f aca="false">B86</f>
        <v>200</v>
      </c>
      <c r="E86" s="146"/>
      <c r="F86" s="135"/>
      <c r="G86" s="197" t="s">
        <v>104</v>
      </c>
      <c r="H86" s="198" t="n">
        <v>100</v>
      </c>
      <c r="I86" s="145"/>
      <c r="J86" s="144" t="n">
        <f aca="false">H86</f>
        <v>100</v>
      </c>
      <c r="K86" s="146"/>
      <c r="L86" s="135"/>
      <c r="M86" s="197" t="s">
        <v>104</v>
      </c>
      <c r="N86" s="198" t="n">
        <v>100</v>
      </c>
      <c r="O86" s="145"/>
      <c r="P86" s="144" t="n">
        <f aca="false">N86</f>
        <v>100</v>
      </c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99" t="s">
        <v>105</v>
      </c>
      <c r="B87" s="200" t="n">
        <f aca="false">SUM(D70:D86)</f>
        <v>4755.28333333333</v>
      </c>
      <c r="C87" s="145"/>
      <c r="D87" s="145"/>
      <c r="E87" s="146"/>
      <c r="F87" s="135"/>
      <c r="G87" s="199" t="s">
        <v>105</v>
      </c>
      <c r="H87" s="200" t="n">
        <f aca="false">SUM(J70:J86)</f>
        <v>7205.53333333333</v>
      </c>
      <c r="I87" s="145"/>
      <c r="J87" s="145"/>
      <c r="K87" s="146"/>
      <c r="L87" s="135"/>
      <c r="M87" s="199" t="s">
        <v>105</v>
      </c>
      <c r="N87" s="200" t="n">
        <f aca="false">SUM(P70:P86)</f>
        <v>7165.95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 t="s">
        <v>106</v>
      </c>
      <c r="B88" s="143" t="n">
        <f aca="false">B87/H29</f>
        <v>396.273611111111</v>
      </c>
      <c r="C88" s="145"/>
      <c r="D88" s="145"/>
      <c r="E88" s="146"/>
      <c r="F88" s="135"/>
      <c r="G88" s="138" t="s">
        <v>106</v>
      </c>
      <c r="H88" s="143" t="n">
        <f aca="false">H87/H29</f>
        <v>600.461111111111</v>
      </c>
      <c r="I88" s="145"/>
      <c r="J88" s="145"/>
      <c r="K88" s="146"/>
      <c r="L88" s="135"/>
      <c r="M88" s="138" t="s">
        <v>106</v>
      </c>
      <c r="N88" s="143" t="n">
        <f aca="false">N87/H29</f>
        <v>597.1625</v>
      </c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201" t="s">
        <v>107</v>
      </c>
      <c r="B89" s="202" t="n">
        <f aca="false">H46</f>
        <v>501</v>
      </c>
      <c r="C89" s="145"/>
      <c r="D89" s="145"/>
      <c r="E89" s="146"/>
      <c r="F89" s="135"/>
      <c r="G89" s="201" t="s">
        <v>107</v>
      </c>
      <c r="H89" s="202" t="n">
        <f aca="false">H46</f>
        <v>501</v>
      </c>
      <c r="I89" s="145"/>
      <c r="J89" s="145"/>
      <c r="K89" s="146"/>
      <c r="L89" s="135"/>
      <c r="M89" s="201" t="s">
        <v>107</v>
      </c>
      <c r="N89" s="202" t="n">
        <f aca="false">H46</f>
        <v>501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138"/>
      <c r="B90" s="144"/>
      <c r="C90" s="145"/>
      <c r="D90" s="145"/>
      <c r="E90" s="146"/>
      <c r="F90" s="135"/>
      <c r="G90" s="138"/>
      <c r="H90" s="144"/>
      <c r="I90" s="145"/>
      <c r="J90" s="145"/>
      <c r="K90" s="146"/>
      <c r="L90" s="135"/>
      <c r="M90" s="138"/>
      <c r="N90" s="144"/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180" t="s">
        <v>108</v>
      </c>
      <c r="B91" s="203" t="n">
        <f aca="false">((B89*H29)+B87)</f>
        <v>10767.2833333333</v>
      </c>
      <c r="C91" s="145"/>
      <c r="D91" s="145"/>
      <c r="E91" s="146"/>
      <c r="F91" s="135"/>
      <c r="G91" s="180" t="s">
        <v>108</v>
      </c>
      <c r="H91" s="203" t="n">
        <f aca="false">((H89*H29)+H87)*1.2</f>
        <v>15861.04</v>
      </c>
      <c r="I91" s="145"/>
      <c r="J91" s="145"/>
      <c r="K91" s="146"/>
      <c r="L91" s="135"/>
      <c r="M91" s="180" t="s">
        <v>108</v>
      </c>
      <c r="N91" s="203" t="n">
        <f aca="false">((N89*H29)+N87)</f>
        <v>13177.95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38" t="s">
        <v>109</v>
      </c>
      <c r="B92" s="143" t="n">
        <f aca="false">(((B89*H29)+B87)/(1-B76))*B76</f>
        <v>91.211355385236</v>
      </c>
      <c r="C92" s="145"/>
      <c r="D92" s="145"/>
      <c r="E92" s="204"/>
      <c r="F92" s="135"/>
      <c r="G92" s="138" t="s">
        <v>109</v>
      </c>
      <c r="H92" s="143" t="n">
        <f aca="false">(((H89*H29)+H87)/(1-H76))*H76</f>
        <v>111.967809600645</v>
      </c>
      <c r="I92" s="145"/>
      <c r="J92" s="145"/>
      <c r="K92" s="146"/>
      <c r="L92" s="135"/>
      <c r="M92" s="138" t="s">
        <v>109</v>
      </c>
      <c r="N92" s="143" t="n">
        <f aca="false">(N91/(1-N76))*N76</f>
        <v>111.632492940702</v>
      </c>
      <c r="O92" s="145"/>
      <c r="P92" s="145"/>
      <c r="Q92" s="146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77" t="s">
        <v>110</v>
      </c>
      <c r="B93" s="185" t="n">
        <f aca="false">IF(B116="YES",((B91+B92)-E120),(B91+B92))</f>
        <v>6858.49468871857</v>
      </c>
      <c r="C93" s="145"/>
      <c r="D93" s="145"/>
      <c r="E93" s="146"/>
      <c r="F93" s="135"/>
      <c r="G93" s="177" t="s">
        <v>110</v>
      </c>
      <c r="H93" s="185" t="n">
        <f aca="false">IF(H116="YES",((H91+H92)-K120),(H91+H92))</f>
        <v>17973.0078096006</v>
      </c>
      <c r="I93" s="145"/>
      <c r="J93" s="145"/>
      <c r="K93" s="146"/>
      <c r="L93" s="135"/>
      <c r="M93" s="177" t="s">
        <v>110</v>
      </c>
      <c r="N93" s="185" t="n">
        <f aca="false">IF(N116="YES",((N91+N92)-K120),(N91+N92))</f>
        <v>15289.5824929407</v>
      </c>
      <c r="O93" s="145"/>
      <c r="P93" s="145"/>
      <c r="Q93" s="146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18.75" hidden="false" customHeight="true" outlineLevel="0" collapsed="false">
      <c r="A94" s="138"/>
      <c r="B94" s="144"/>
      <c r="C94" s="145"/>
      <c r="D94" s="145"/>
      <c r="E94" s="146"/>
      <c r="F94" s="135"/>
      <c r="G94" s="138"/>
      <c r="H94" s="144"/>
      <c r="I94" s="145"/>
      <c r="J94" s="145"/>
      <c r="K94" s="146"/>
      <c r="L94" s="135"/>
      <c r="M94" s="138"/>
      <c r="N94" s="144"/>
      <c r="O94" s="145"/>
      <c r="P94" s="145"/>
      <c r="Q94" s="146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99" t="s">
        <v>65</v>
      </c>
      <c r="B95" s="200" t="n">
        <f aca="false">IF(B105=Z104,(((H44*B35)+(H44*B35)*(B111/100))/(B64)),(((H44*B35)+(H44*B35)*(B111/100))/(B63+B64)))</f>
        <v>0</v>
      </c>
      <c r="C95" s="145"/>
      <c r="D95" s="145"/>
      <c r="E95" s="146"/>
      <c r="F95" s="135"/>
      <c r="G95" s="199" t="s">
        <v>65</v>
      </c>
      <c r="H95" s="200" t="e">
        <f aca="false">(((H44*B35)+((H44*B35)*H111))/(H63+H64))*1.2</f>
        <v>#DIV/0!</v>
      </c>
      <c r="I95" s="145"/>
      <c r="J95" s="145"/>
      <c r="K95" s="146"/>
      <c r="L95" s="135"/>
      <c r="M95" s="199" t="s">
        <v>65</v>
      </c>
      <c r="N95" s="200" t="e">
        <f aca="false">((H44*B35)+((H44*B35)*N111))/(N63+N64)</f>
        <v>#DIV/0!</v>
      </c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05" t="s">
        <v>111</v>
      </c>
      <c r="B96" s="206" t="n">
        <f aca="false">IF(B105=Z104, (B93-D111)/(B64), B93/(B63+B64))</f>
        <v>571.541224059881</v>
      </c>
      <c r="C96" s="145"/>
      <c r="D96" s="145"/>
      <c r="E96" s="146"/>
      <c r="F96" s="135"/>
      <c r="G96" s="205" t="s">
        <v>111</v>
      </c>
      <c r="H96" s="206" t="e">
        <f aca="false">IF(H105=Y104, (H93-J111)/(H64), H93/(H63+H64))</f>
        <v>#DIV/0!</v>
      </c>
      <c r="I96" s="145"/>
      <c r="J96" s="145"/>
      <c r="K96" s="146"/>
      <c r="L96" s="135"/>
      <c r="M96" s="205" t="s">
        <v>111</v>
      </c>
      <c r="N96" s="206" t="e">
        <f aca="false">IF(N105=Y104, (N93-P111)/(N64), N93/(N63+N64))</f>
        <v>#DIV/0!</v>
      </c>
      <c r="O96" s="145"/>
      <c r="P96" s="145"/>
      <c r="Q96" s="146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207" t="s">
        <v>112</v>
      </c>
      <c r="B97" s="208" t="n">
        <f aca="false">IF(A111="YES", B96+B95, B96)</f>
        <v>571.541224059881</v>
      </c>
      <c r="C97" s="145"/>
      <c r="D97" s="209"/>
      <c r="E97" s="146"/>
      <c r="F97" s="135"/>
      <c r="G97" s="207" t="s">
        <v>112</v>
      </c>
      <c r="H97" s="208" t="e">
        <f aca="false">IF(G111="YES", H96+H95, H96)</f>
        <v>#DIV/0!</v>
      </c>
      <c r="I97" s="145"/>
      <c r="J97" s="145"/>
      <c r="K97" s="146"/>
      <c r="L97" s="135"/>
      <c r="M97" s="207" t="s">
        <v>112</v>
      </c>
      <c r="N97" s="208" t="e">
        <f aca="false">IF(M111="YES", N96+N95, N96)</f>
        <v>#DIV/0!</v>
      </c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/>
      <c r="Z97" s="135"/>
    </row>
    <row r="98" customFormat="false" ht="18.75" hidden="false" customHeight="true" outlineLevel="0" collapsed="false">
      <c r="A98" s="177"/>
      <c r="B98" s="178"/>
      <c r="C98" s="178"/>
      <c r="D98" s="178"/>
      <c r="E98" s="179"/>
      <c r="F98" s="135"/>
      <c r="G98" s="177"/>
      <c r="H98" s="178"/>
      <c r="I98" s="178"/>
      <c r="J98" s="178"/>
      <c r="K98" s="179"/>
      <c r="L98" s="135"/>
      <c r="M98" s="177"/>
      <c r="N98" s="178"/>
      <c r="O98" s="178"/>
      <c r="P98" s="178"/>
      <c r="Q98" s="179"/>
      <c r="R98" s="135"/>
      <c r="S98" s="135"/>
      <c r="T98" s="135"/>
      <c r="U98" s="135"/>
      <c r="V98" s="135"/>
      <c r="W98" s="135"/>
      <c r="X98" s="135"/>
      <c r="Y98" s="135"/>
      <c r="Z98" s="135"/>
    </row>
    <row r="99" customFormat="false" ht="18.75" hidden="false" customHeight="true" outlineLevel="0" collapsed="false">
      <c r="A99" s="145"/>
      <c r="B99" s="145"/>
      <c r="C99" s="145"/>
      <c r="D99" s="145"/>
      <c r="E99" s="145"/>
      <c r="F99" s="135"/>
      <c r="G99" s="145"/>
      <c r="H99" s="145"/>
      <c r="I99" s="145"/>
      <c r="J99" s="145"/>
      <c r="K99" s="145"/>
      <c r="L99" s="135"/>
      <c r="M99" s="145"/>
      <c r="N99" s="145"/>
      <c r="O99" s="145"/>
      <c r="P99" s="145"/>
      <c r="Q99" s="145"/>
      <c r="R99" s="135"/>
      <c r="S99" s="135"/>
      <c r="T99" s="135"/>
      <c r="U99" s="135"/>
      <c r="V99" s="135"/>
      <c r="W99" s="135"/>
      <c r="X99" s="135"/>
      <c r="Y99" s="135"/>
      <c r="Z99" s="135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5"/>
      <c r="G100" s="27" t="s">
        <v>114</v>
      </c>
      <c r="H100" s="27"/>
      <c r="I100" s="27"/>
      <c r="J100" s="27"/>
      <c r="K100" s="27"/>
      <c r="L100" s="135"/>
      <c r="M100" s="27" t="s">
        <v>115</v>
      </c>
      <c r="N100" s="27"/>
      <c r="O100" s="27"/>
      <c r="P100" s="27"/>
      <c r="Q100" s="27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customFormat="false" ht="18.75" hidden="false" customHeight="true" outlineLevel="0" collapsed="false">
      <c r="A101" s="138"/>
      <c r="B101" s="145"/>
      <c r="C101" s="145"/>
      <c r="D101" s="145"/>
      <c r="E101" s="146"/>
      <c r="F101" s="135"/>
      <c r="G101" s="138"/>
      <c r="H101" s="145"/>
      <c r="I101" s="145"/>
      <c r="J101" s="145"/>
      <c r="K101" s="146"/>
      <c r="L101" s="135"/>
      <c r="M101" s="138"/>
      <c r="N101" s="145"/>
      <c r="O101" s="145"/>
      <c r="P101" s="145"/>
      <c r="Q101" s="146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5"/>
      <c r="G102" s="29" t="s">
        <v>116</v>
      </c>
      <c r="H102" s="29"/>
      <c r="I102" s="29"/>
      <c r="J102" s="29"/>
      <c r="K102" s="29"/>
      <c r="L102" s="135"/>
      <c r="M102" s="29" t="s">
        <v>116</v>
      </c>
      <c r="N102" s="29"/>
      <c r="O102" s="29"/>
      <c r="P102" s="29"/>
      <c r="Q102" s="29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/>
      <c r="Z103" s="135" t="s">
        <v>117</v>
      </c>
    </row>
    <row r="104" customFormat="false" ht="18.75" hidden="false" customHeight="true" outlineLevel="0" collapsed="false">
      <c r="A104" s="138" t="s">
        <v>118</v>
      </c>
      <c r="B104" s="145" t="s">
        <v>30</v>
      </c>
      <c r="C104" s="145"/>
      <c r="D104" s="145" t="s">
        <v>119</v>
      </c>
      <c r="E104" s="146"/>
      <c r="F104" s="135"/>
      <c r="G104" s="138" t="s">
        <v>118</v>
      </c>
      <c r="H104" s="145" t="s">
        <v>30</v>
      </c>
      <c r="I104" s="145"/>
      <c r="J104" s="145" t="s">
        <v>119</v>
      </c>
      <c r="K104" s="146"/>
      <c r="L104" s="135"/>
      <c r="M104" s="138" t="s">
        <v>118</v>
      </c>
      <c r="N104" s="145" t="s">
        <v>30</v>
      </c>
      <c r="O104" s="145"/>
      <c r="P104" s="145" t="s">
        <v>119</v>
      </c>
      <c r="Q104" s="146"/>
      <c r="R104" s="135"/>
      <c r="S104" s="135"/>
      <c r="T104" s="135"/>
      <c r="U104" s="135"/>
      <c r="V104" s="135"/>
      <c r="W104" s="135"/>
      <c r="X104" s="135"/>
      <c r="Y104" s="135"/>
      <c r="Z104" s="135" t="s">
        <v>120</v>
      </c>
    </row>
    <row r="105" customFormat="false" ht="18.75" hidden="false" customHeight="true" outlineLevel="0" collapsed="false">
      <c r="A105" s="154"/>
      <c r="B105" s="109" t="s">
        <v>190</v>
      </c>
      <c r="C105" s="109"/>
      <c r="D105" s="110" t="n">
        <v>1000</v>
      </c>
      <c r="E105" s="110"/>
      <c r="F105" s="135"/>
      <c r="G105" s="154" t="s">
        <v>121</v>
      </c>
      <c r="H105" s="109" t="s">
        <v>122</v>
      </c>
      <c r="I105" s="109"/>
      <c r="J105" s="110" t="n">
        <v>5000</v>
      </c>
      <c r="K105" s="110"/>
      <c r="L105" s="135"/>
      <c r="M105" s="154" t="s">
        <v>121</v>
      </c>
      <c r="N105" s="109" t="s">
        <v>123</v>
      </c>
      <c r="O105" s="109"/>
      <c r="P105" s="110" t="n">
        <v>0</v>
      </c>
      <c r="Q105" s="110"/>
      <c r="R105" s="135"/>
      <c r="S105" s="135"/>
      <c r="T105" s="135"/>
      <c r="U105" s="135"/>
      <c r="V105" s="135"/>
      <c r="W105" s="135"/>
      <c r="X105" s="135"/>
      <c r="Y105" s="135"/>
      <c r="Z105" s="135" t="s">
        <v>124</v>
      </c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 t="s">
        <v>125</v>
      </c>
    </row>
    <row r="107" customFormat="false" ht="18.75" hidden="false" customHeight="true" outlineLevel="0" collapsed="false">
      <c r="A107" s="138" t="s">
        <v>126</v>
      </c>
      <c r="B107" s="145" t="s">
        <v>127</v>
      </c>
      <c r="C107" s="145"/>
      <c r="D107" s="145" t="s">
        <v>128</v>
      </c>
      <c r="E107" s="146"/>
      <c r="F107" s="135"/>
      <c r="G107" s="138" t="s">
        <v>126</v>
      </c>
      <c r="H107" s="145" t="s">
        <v>127</v>
      </c>
      <c r="I107" s="145"/>
      <c r="J107" s="145" t="s">
        <v>128</v>
      </c>
      <c r="K107" s="146"/>
      <c r="L107" s="135"/>
      <c r="M107" s="138" t="s">
        <v>126</v>
      </c>
      <c r="N107" s="145" t="s">
        <v>127</v>
      </c>
      <c r="O107" s="145"/>
      <c r="P107" s="145" t="s">
        <v>128</v>
      </c>
      <c r="Q107" s="146"/>
      <c r="R107" s="135"/>
      <c r="S107" s="135"/>
      <c r="T107" s="135"/>
      <c r="U107" s="135"/>
      <c r="V107" s="135"/>
      <c r="W107" s="135"/>
      <c r="X107" s="135"/>
      <c r="Y107" s="135"/>
      <c r="Z107" s="135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5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5"/>
      <c r="M108" s="111" t="n">
        <v>199.99</v>
      </c>
      <c r="N108" s="112" t="n">
        <v>1200</v>
      </c>
      <c r="O108" s="112"/>
      <c r="P108" s="112" t="n">
        <v>1500</v>
      </c>
      <c r="Q108" s="112"/>
      <c r="R108" s="135"/>
      <c r="S108" s="135"/>
      <c r="T108" s="135"/>
      <c r="U108" s="135"/>
      <c r="V108" s="135"/>
      <c r="W108" s="135"/>
      <c r="X108" s="135"/>
      <c r="Y108" s="135"/>
      <c r="Z108" s="135" t="s">
        <v>123</v>
      </c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 t="s">
        <v>122</v>
      </c>
    </row>
    <row r="110" customFormat="false" ht="18.75" hidden="false" customHeight="true" outlineLevel="0" collapsed="false">
      <c r="A110" s="154" t="s">
        <v>130</v>
      </c>
      <c r="B110" s="135" t="s">
        <v>131</v>
      </c>
      <c r="C110" s="145"/>
      <c r="D110" s="145" t="s">
        <v>132</v>
      </c>
      <c r="E110" s="146"/>
      <c r="F110" s="135"/>
      <c r="G110" s="154" t="s">
        <v>130</v>
      </c>
      <c r="H110" s="135" t="s">
        <v>131</v>
      </c>
      <c r="I110" s="145"/>
      <c r="J110" s="145" t="s">
        <v>132</v>
      </c>
      <c r="K110" s="146"/>
      <c r="L110" s="135"/>
      <c r="M110" s="154" t="s">
        <v>130</v>
      </c>
      <c r="N110" s="135" t="s">
        <v>131</v>
      </c>
      <c r="O110" s="145"/>
      <c r="P110" s="145" t="s">
        <v>132</v>
      </c>
      <c r="Q110" s="146"/>
      <c r="R110" s="135"/>
      <c r="S110" s="135"/>
      <c r="T110" s="135"/>
      <c r="U110" s="135"/>
      <c r="V110" s="135"/>
      <c r="W110" s="135"/>
      <c r="X110" s="135"/>
      <c r="Y110" s="135"/>
      <c r="Z110" s="135" t="s">
        <v>133</v>
      </c>
    </row>
    <row r="111" customFormat="false" ht="18.75" hidden="false" customHeight="true" outlineLevel="0" collapsed="false">
      <c r="A111" s="156" t="s">
        <v>26</v>
      </c>
      <c r="B111" s="109" t="n">
        <v>0</v>
      </c>
      <c r="C111" s="109"/>
      <c r="D111" s="112" t="s">
        <v>191</v>
      </c>
      <c r="E111" s="112"/>
      <c r="F111" s="135"/>
      <c r="G111" s="156" t="s">
        <v>25</v>
      </c>
      <c r="H111" s="113" t="n">
        <v>0.2</v>
      </c>
      <c r="I111" s="113"/>
      <c r="J111" s="112" t="n">
        <v>5000</v>
      </c>
      <c r="K111" s="112"/>
      <c r="L111" s="135"/>
      <c r="M111" s="156" t="s">
        <v>25</v>
      </c>
      <c r="N111" s="113" t="n">
        <v>0.2</v>
      </c>
      <c r="O111" s="113"/>
      <c r="P111" s="112" t="n">
        <v>5000</v>
      </c>
      <c r="Q111" s="112"/>
      <c r="R111" s="135"/>
      <c r="S111" s="135"/>
      <c r="T111" s="135"/>
      <c r="U111" s="135"/>
      <c r="V111" s="135"/>
      <c r="W111" s="135"/>
      <c r="X111" s="135"/>
      <c r="Y111" s="135"/>
      <c r="Z111" s="135" t="s">
        <v>134</v>
      </c>
    </row>
    <row r="112" customFormat="false" ht="18.75" hidden="false" customHeight="true" outlineLevel="0" collapsed="false">
      <c r="A112" s="138"/>
      <c r="B112" s="145"/>
      <c r="C112" s="145"/>
      <c r="D112" s="145" t="s">
        <v>75</v>
      </c>
      <c r="E112" s="146"/>
      <c r="F112" s="135"/>
      <c r="G112" s="138"/>
      <c r="H112" s="145"/>
      <c r="I112" s="145"/>
      <c r="J112" s="145"/>
      <c r="K112" s="146"/>
      <c r="L112" s="135"/>
      <c r="M112" s="138"/>
      <c r="N112" s="145"/>
      <c r="O112" s="145"/>
      <c r="P112" s="145"/>
      <c r="Q112" s="146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/>
      <c r="B113" s="145"/>
      <c r="C113" s="145"/>
      <c r="D113" s="145"/>
      <c r="E113" s="146"/>
      <c r="F113" s="135"/>
      <c r="G113" s="138"/>
      <c r="H113" s="145"/>
      <c r="I113" s="145"/>
      <c r="J113" s="145"/>
      <c r="K113" s="146"/>
      <c r="L113" s="135"/>
      <c r="M113" s="138"/>
      <c r="N113" s="145" t="s">
        <v>135</v>
      </c>
      <c r="O113" s="156" t="s">
        <v>25</v>
      </c>
      <c r="P113" s="145"/>
      <c r="Q113" s="146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29" t="s">
        <v>136</v>
      </c>
      <c r="B114" s="29"/>
      <c r="C114" s="29"/>
      <c r="D114" s="29"/>
      <c r="E114" s="29"/>
      <c r="F114" s="135"/>
      <c r="G114" s="29" t="s">
        <v>136</v>
      </c>
      <c r="H114" s="29"/>
      <c r="I114" s="29"/>
      <c r="J114" s="29"/>
      <c r="K114" s="29"/>
      <c r="L114" s="135"/>
      <c r="M114" s="29" t="s">
        <v>136</v>
      </c>
      <c r="N114" s="29"/>
      <c r="O114" s="29"/>
      <c r="P114" s="29"/>
      <c r="Q114" s="29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/>
      <c r="B115" s="145"/>
      <c r="C115" s="145"/>
      <c r="D115" s="145"/>
      <c r="E115" s="146"/>
      <c r="F115" s="135"/>
      <c r="G115" s="138"/>
      <c r="H115" s="145"/>
      <c r="I115" s="145"/>
      <c r="J115" s="145"/>
      <c r="K115" s="146"/>
      <c r="L115" s="135"/>
      <c r="M115" s="138"/>
      <c r="N115" s="145"/>
      <c r="O115" s="145"/>
      <c r="P115" s="145"/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 t="s">
        <v>137</v>
      </c>
      <c r="B116" s="156" t="s">
        <v>25</v>
      </c>
      <c r="C116" s="145"/>
      <c r="D116" s="145"/>
      <c r="E116" s="146"/>
      <c r="F116" s="135"/>
      <c r="G116" s="138" t="s">
        <v>137</v>
      </c>
      <c r="H116" s="156" t="s">
        <v>25</v>
      </c>
      <c r="I116" s="145"/>
      <c r="J116" s="145"/>
      <c r="K116" s="146"/>
      <c r="L116" s="135"/>
      <c r="M116" s="138" t="s">
        <v>137</v>
      </c>
      <c r="N116" s="156" t="s">
        <v>25</v>
      </c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38"/>
      <c r="B117" s="145"/>
      <c r="C117" s="145"/>
      <c r="D117" s="145"/>
      <c r="E117" s="146"/>
      <c r="F117" s="135"/>
      <c r="G117" s="138"/>
      <c r="H117" s="145"/>
      <c r="I117" s="145"/>
      <c r="J117" s="145"/>
      <c r="K117" s="146"/>
      <c r="L117" s="135"/>
      <c r="M117" s="138"/>
      <c r="N117" s="145"/>
      <c r="O117" s="145"/>
      <c r="P117" s="145"/>
      <c r="Q117" s="146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138</v>
      </c>
      <c r="B118" s="145"/>
      <c r="C118" s="145"/>
      <c r="D118" s="111" t="n">
        <v>10000</v>
      </c>
      <c r="E118" s="112" t="n">
        <v>6000</v>
      </c>
      <c r="F118" s="135"/>
      <c r="G118" s="138" t="s">
        <v>138</v>
      </c>
      <c r="H118" s="145"/>
      <c r="I118" s="145"/>
      <c r="J118" s="111" t="n">
        <v>10000</v>
      </c>
      <c r="K118" s="112" t="n">
        <v>5000</v>
      </c>
      <c r="L118" s="135"/>
      <c r="M118" s="138" t="s">
        <v>138</v>
      </c>
      <c r="N118" s="145"/>
      <c r="O118" s="145"/>
      <c r="P118" s="111" t="n">
        <v>10000</v>
      </c>
      <c r="Q118" s="112" t="n">
        <v>5000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138" t="s">
        <v>139</v>
      </c>
      <c r="B119" s="145"/>
      <c r="C119" s="145"/>
      <c r="D119" s="210" t="n">
        <f aca="false">E119</f>
        <v>2000</v>
      </c>
      <c r="E119" s="112" t="n">
        <v>2000</v>
      </c>
      <c r="F119" s="135"/>
      <c r="G119" s="138" t="s">
        <v>139</v>
      </c>
      <c r="H119" s="145"/>
      <c r="I119" s="145"/>
      <c r="J119" s="210" t="n">
        <f aca="false">K119</f>
        <v>7000</v>
      </c>
      <c r="K119" s="112" t="n">
        <v>7000</v>
      </c>
      <c r="L119" s="135"/>
      <c r="M119" s="138" t="s">
        <v>139</v>
      </c>
      <c r="N119" s="145"/>
      <c r="O119" s="145"/>
      <c r="P119" s="210" t="n">
        <f aca="false">Q119</f>
        <v>7000</v>
      </c>
      <c r="Q119" s="112" t="n">
        <v>7000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 t="s">
        <v>140</v>
      </c>
      <c r="B120" s="145"/>
      <c r="C120" s="145"/>
      <c r="D120" s="210" t="n">
        <f aca="false">D118-D119</f>
        <v>8000</v>
      </c>
      <c r="E120" s="115" t="n">
        <f aca="false">E118-E119</f>
        <v>4000</v>
      </c>
      <c r="F120" s="135"/>
      <c r="G120" s="138" t="s">
        <v>140</v>
      </c>
      <c r="H120" s="145"/>
      <c r="I120" s="145"/>
      <c r="J120" s="210" t="n">
        <f aca="false">J118-J119</f>
        <v>3000</v>
      </c>
      <c r="K120" s="115" t="n">
        <f aca="false">K118-K119</f>
        <v>-2000</v>
      </c>
      <c r="L120" s="135"/>
      <c r="M120" s="138" t="s">
        <v>140</v>
      </c>
      <c r="N120" s="145"/>
      <c r="O120" s="145"/>
      <c r="P120" s="210" t="n">
        <f aca="false">P118-P119</f>
        <v>3000</v>
      </c>
      <c r="Q120" s="115" t="n">
        <f aca="false">Q118-Q119</f>
        <v>-2000</v>
      </c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 t="s">
        <v>141</v>
      </c>
      <c r="B121" s="145"/>
      <c r="C121" s="145"/>
      <c r="D121" s="210" t="n">
        <f aca="false">D120-E120</f>
        <v>4000</v>
      </c>
      <c r="E121" s="146"/>
      <c r="F121" s="135"/>
      <c r="G121" s="138" t="s">
        <v>141</v>
      </c>
      <c r="H121" s="145"/>
      <c r="I121" s="145"/>
      <c r="J121" s="210" t="n">
        <f aca="false">J120-K120</f>
        <v>5000</v>
      </c>
      <c r="K121" s="146"/>
      <c r="L121" s="135"/>
      <c r="M121" s="138" t="s">
        <v>141</v>
      </c>
      <c r="N121" s="145"/>
      <c r="O121" s="145"/>
      <c r="P121" s="210" t="n">
        <f aca="false">P120-Q120</f>
        <v>5000</v>
      </c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138"/>
      <c r="B122" s="145"/>
      <c r="C122" s="145"/>
      <c r="D122" s="145"/>
      <c r="E122" s="146"/>
      <c r="F122" s="135"/>
      <c r="G122" s="138"/>
      <c r="H122" s="145"/>
      <c r="I122" s="145"/>
      <c r="J122" s="145"/>
      <c r="K122" s="146"/>
      <c r="L122" s="135"/>
      <c r="M122" s="138"/>
      <c r="N122" s="145"/>
      <c r="O122" s="145"/>
      <c r="P122" s="145"/>
      <c r="Q122" s="146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80" t="s">
        <v>142</v>
      </c>
      <c r="B123" s="181"/>
      <c r="C123" s="181"/>
      <c r="D123" s="181"/>
      <c r="E123" s="203" t="n">
        <f aca="false">D105</f>
        <v>1000</v>
      </c>
      <c r="F123" s="135"/>
      <c r="G123" s="180" t="s">
        <v>142</v>
      </c>
      <c r="H123" s="181"/>
      <c r="I123" s="181"/>
      <c r="J123" s="181"/>
      <c r="K123" s="203" t="n">
        <f aca="false">J105</f>
        <v>5000</v>
      </c>
      <c r="L123" s="135"/>
      <c r="M123" s="180" t="s">
        <v>142</v>
      </c>
      <c r="N123" s="181"/>
      <c r="O123" s="181"/>
      <c r="P123" s="181"/>
      <c r="Q123" s="203" t="n">
        <f aca="false">P105</f>
        <v>0</v>
      </c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52</v>
      </c>
      <c r="B124" s="145"/>
      <c r="C124" s="145"/>
      <c r="D124" s="145"/>
      <c r="E124" s="143" t="n">
        <f aca="false">A108</f>
        <v>199.99</v>
      </c>
      <c r="F124" s="135"/>
      <c r="G124" s="138" t="s">
        <v>52</v>
      </c>
      <c r="H124" s="145"/>
      <c r="I124" s="145"/>
      <c r="J124" s="145"/>
      <c r="K124" s="143" t="n">
        <f aca="false">G108</f>
        <v>239.988</v>
      </c>
      <c r="L124" s="135"/>
      <c r="M124" s="138" t="s">
        <v>52</v>
      </c>
      <c r="N124" s="145"/>
      <c r="O124" s="145"/>
      <c r="P124" s="145"/>
      <c r="Q124" s="143" t="n">
        <f aca="false">M108</f>
        <v>199.99</v>
      </c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211" t="s">
        <v>143</v>
      </c>
      <c r="B125" s="178"/>
      <c r="C125" s="178"/>
      <c r="D125" s="178"/>
      <c r="E125" s="185" t="n">
        <f aca="false">(E124+E123)-E120</f>
        <v>-2800.01</v>
      </c>
      <c r="F125" s="135"/>
      <c r="G125" s="211" t="s">
        <v>143</v>
      </c>
      <c r="H125" s="178"/>
      <c r="I125" s="178"/>
      <c r="J125" s="178"/>
      <c r="K125" s="185" t="n">
        <f aca="false">(K124+K123)-K120</f>
        <v>7239.988</v>
      </c>
      <c r="L125" s="135"/>
      <c r="M125" s="211" t="s">
        <v>143</v>
      </c>
      <c r="N125" s="178"/>
      <c r="O125" s="178"/>
      <c r="P125" s="178"/>
      <c r="Q125" s="185" t="n">
        <f aca="false">(Q124+Q123)-Q120</f>
        <v>2199.99</v>
      </c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138"/>
      <c r="B126" s="145"/>
      <c r="C126" s="145"/>
      <c r="D126" s="145"/>
      <c r="E126" s="146"/>
      <c r="F126" s="135"/>
      <c r="G126" s="138"/>
      <c r="H126" s="145"/>
      <c r="I126" s="145"/>
      <c r="J126" s="145"/>
      <c r="K126" s="146"/>
      <c r="L126" s="135"/>
      <c r="M126" s="138"/>
      <c r="N126" s="145"/>
      <c r="O126" s="145"/>
      <c r="P126" s="145"/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38"/>
      <c r="B127" s="145"/>
      <c r="C127" s="145"/>
      <c r="D127" s="145"/>
      <c r="E127" s="146"/>
      <c r="F127" s="135"/>
      <c r="G127" s="138"/>
      <c r="H127" s="145"/>
      <c r="I127" s="145"/>
      <c r="J127" s="145"/>
      <c r="K127" s="146"/>
      <c r="L127" s="135"/>
      <c r="M127" s="138"/>
      <c r="N127" s="145"/>
      <c r="O127" s="145"/>
      <c r="P127" s="145"/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29" t="s">
        <v>144</v>
      </c>
      <c r="B128" s="29"/>
      <c r="C128" s="29"/>
      <c r="D128" s="29"/>
      <c r="E128" s="29"/>
      <c r="F128" s="135"/>
      <c r="G128" s="29" t="s">
        <v>144</v>
      </c>
      <c r="H128" s="29"/>
      <c r="I128" s="29"/>
      <c r="J128" s="29"/>
      <c r="K128" s="29"/>
      <c r="L128" s="135"/>
      <c r="M128" s="29" t="s">
        <v>144</v>
      </c>
      <c r="N128" s="29"/>
      <c r="O128" s="29"/>
      <c r="P128" s="29"/>
      <c r="Q128" s="29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/>
      <c r="B129" s="145"/>
      <c r="C129" s="145"/>
      <c r="D129" s="145"/>
      <c r="E129" s="146"/>
      <c r="F129" s="135"/>
      <c r="G129" s="138"/>
      <c r="H129" s="145"/>
      <c r="I129" s="145"/>
      <c r="J129" s="145"/>
      <c r="K129" s="146"/>
      <c r="L129" s="135"/>
      <c r="M129" s="138"/>
      <c r="N129" s="145"/>
      <c r="O129" s="145"/>
      <c r="P129" s="145"/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138" t="s">
        <v>145</v>
      </c>
      <c r="B130" s="117" t="n">
        <v>0</v>
      </c>
      <c r="C130" s="117"/>
      <c r="D130" s="145"/>
      <c r="E130" s="146"/>
      <c r="F130" s="135"/>
      <c r="G130" s="138" t="s">
        <v>145</v>
      </c>
      <c r="H130" s="117" t="n">
        <v>0</v>
      </c>
      <c r="I130" s="117"/>
      <c r="J130" s="145"/>
      <c r="K130" s="146"/>
      <c r="L130" s="135"/>
      <c r="M130" s="138" t="s">
        <v>145</v>
      </c>
      <c r="N130" s="117" t="n">
        <v>0</v>
      </c>
      <c r="O130" s="117"/>
      <c r="P130" s="145"/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81</v>
      </c>
      <c r="B132" s="145" t="s">
        <v>82</v>
      </c>
      <c r="C132" s="145"/>
      <c r="D132" s="145" t="s">
        <v>84</v>
      </c>
      <c r="E132" s="146"/>
      <c r="F132" s="135"/>
      <c r="G132" s="138" t="s">
        <v>81</v>
      </c>
      <c r="H132" s="145" t="s">
        <v>82</v>
      </c>
      <c r="I132" s="145"/>
      <c r="J132" s="145" t="s">
        <v>84</v>
      </c>
      <c r="K132" s="146"/>
      <c r="L132" s="135"/>
      <c r="M132" s="138" t="s">
        <v>81</v>
      </c>
      <c r="N132" s="145" t="s">
        <v>82</v>
      </c>
      <c r="O132" s="145"/>
      <c r="P132" s="145" t="s">
        <v>84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6"/>
      <c r="F133" s="135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6"/>
      <c r="L133" s="135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212" t="s">
        <v>146</v>
      </c>
      <c r="B135" s="213" t="s">
        <v>147</v>
      </c>
      <c r="C135" s="213"/>
      <c r="D135" s="213" t="s">
        <v>112</v>
      </c>
      <c r="E135" s="146"/>
      <c r="F135" s="135"/>
      <c r="G135" s="212" t="s">
        <v>148</v>
      </c>
      <c r="H135" s="213" t="s">
        <v>149</v>
      </c>
      <c r="I135" s="213"/>
      <c r="J135" s="213" t="s">
        <v>150</v>
      </c>
      <c r="K135" s="146"/>
      <c r="L135" s="135"/>
      <c r="M135" s="212" t="s">
        <v>146</v>
      </c>
      <c r="N135" s="213" t="s">
        <v>147</v>
      </c>
      <c r="O135" s="213"/>
      <c r="P135" s="213" t="s">
        <v>112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2" t="n">
        <f aca="false">B96</f>
        <v>571.541224059881</v>
      </c>
      <c r="B136" s="214" t="n">
        <f aca="false">IF(A111="YES", B95*B63, 0)</f>
        <v>0</v>
      </c>
      <c r="C136" s="214"/>
      <c r="D136" s="214" t="n">
        <f aca="false">B97</f>
        <v>571.541224059881</v>
      </c>
      <c r="E136" s="146"/>
      <c r="F136" s="135"/>
      <c r="G136" s="122" t="e">
        <f aca="false">H96</f>
        <v>#DIV/0!</v>
      </c>
      <c r="H136" s="214" t="e">
        <f aca="false">IF(G111="YES", H95*H63, 0)</f>
        <v>#DIV/0!</v>
      </c>
      <c r="I136" s="214"/>
      <c r="J136" s="124" t="e">
        <f aca="false">H97</f>
        <v>#DIV/0!</v>
      </c>
      <c r="K136" s="146"/>
      <c r="L136" s="135"/>
      <c r="M136" s="122" t="e">
        <f aca="false">N96</f>
        <v>#DIV/0!</v>
      </c>
      <c r="N136" s="214" t="e">
        <f aca="false">IF(M111="YES", N95*N63, 0)</f>
        <v>#DIV/0!</v>
      </c>
      <c r="O136" s="214"/>
      <c r="P136" s="214" t="e">
        <f aca="false">N97</f>
        <v>#DIV/0!</v>
      </c>
      <c r="Q136" s="146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151</v>
      </c>
      <c r="B138" s="145" t="s">
        <v>152</v>
      </c>
      <c r="C138" s="145"/>
      <c r="D138" s="145" t="s">
        <v>153</v>
      </c>
      <c r="E138" s="146"/>
      <c r="F138" s="135"/>
      <c r="G138" s="138" t="s">
        <v>154</v>
      </c>
      <c r="H138" s="145" t="s">
        <v>155</v>
      </c>
      <c r="I138" s="145"/>
      <c r="J138" s="145" t="s">
        <v>156</v>
      </c>
      <c r="K138" s="146"/>
      <c r="L138" s="135"/>
      <c r="M138" s="138" t="s">
        <v>151</v>
      </c>
      <c r="N138" s="145" t="s">
        <v>152</v>
      </c>
      <c r="O138" s="145"/>
      <c r="P138" s="145" t="s">
        <v>153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5" t="n">
        <f aca="false">B96*B63</f>
        <v>5143.87101653893</v>
      </c>
      <c r="B139" s="215" t="n">
        <f aca="false">IF(A111="YES", B95*B63, 0)</f>
        <v>0</v>
      </c>
      <c r="C139" s="155"/>
      <c r="D139" s="128" t="n">
        <f aca="false">B97*B63</f>
        <v>5143.87101653893</v>
      </c>
      <c r="E139" s="146"/>
      <c r="F139" s="135"/>
      <c r="G139" s="125" t="e">
        <f aca="false">H96*H63</f>
        <v>#DIV/0!</v>
      </c>
      <c r="H139" s="215" t="e">
        <f aca="false">IF(G111="YES", H95*H63, 0)</f>
        <v>#DIV/0!</v>
      </c>
      <c r="I139" s="155"/>
      <c r="J139" s="215" t="e">
        <f aca="false">H97*H63</f>
        <v>#DIV/0!</v>
      </c>
      <c r="K139" s="146"/>
      <c r="L139" s="135"/>
      <c r="M139" s="125" t="e">
        <f aca="false">N96*N63</f>
        <v>#DIV/0!</v>
      </c>
      <c r="N139" s="215" t="e">
        <f aca="false">IF(M111="YES", N95*N63, 0)</f>
        <v>#DIV/0!</v>
      </c>
      <c r="O139" s="155"/>
      <c r="P139" s="128" t="e">
        <f aca="false">N97*N63</f>
        <v>#DIV/0!</v>
      </c>
      <c r="Q139" s="146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157</v>
      </c>
      <c r="B141" s="145" t="s">
        <v>158</v>
      </c>
      <c r="C141" s="145"/>
      <c r="D141" s="145" t="s">
        <v>159</v>
      </c>
      <c r="E141" s="146"/>
      <c r="F141" s="135"/>
      <c r="G141" s="138" t="s">
        <v>160</v>
      </c>
      <c r="H141" s="145" t="s">
        <v>161</v>
      </c>
      <c r="I141" s="145"/>
      <c r="J141" s="145" t="s">
        <v>162</v>
      </c>
      <c r="K141" s="146"/>
      <c r="L141" s="135"/>
      <c r="M141" s="138" t="s">
        <v>157</v>
      </c>
      <c r="N141" s="145" t="s">
        <v>158</v>
      </c>
      <c r="O141" s="145"/>
      <c r="P141" s="145" t="s">
        <v>159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E15*0.000006</f>
        <v>0.35115</v>
      </c>
      <c r="B142" s="215" t="n">
        <f aca="false">IF(A111="YES", E15*0.000002, 0)</f>
        <v>0</v>
      </c>
      <c r="C142" s="215"/>
      <c r="D142" s="215" t="n">
        <f aca="false">A142+B142</f>
        <v>0.35115</v>
      </c>
      <c r="E142" s="130"/>
      <c r="F142" s="135"/>
      <c r="G142" s="129" t="n">
        <f aca="false">E15*0.000006</f>
        <v>0.35115</v>
      </c>
      <c r="H142" s="215" t="n">
        <f aca="false">IF(G111="YES", E15*0.000002, 0)</f>
        <v>0.11705</v>
      </c>
      <c r="I142" s="215"/>
      <c r="J142" s="215" t="n">
        <f aca="false">G142+H142</f>
        <v>0.4682</v>
      </c>
      <c r="K142" s="130"/>
      <c r="L142" s="135"/>
      <c r="M142" s="129" t="n">
        <f aca="false">E15*0.000006</f>
        <v>0.35115</v>
      </c>
      <c r="N142" s="215" t="n">
        <f aca="false">IF(M111="YES", E15*0.000002, 0)</f>
        <v>0.11705</v>
      </c>
      <c r="O142" s="215"/>
      <c r="P142" s="215" t="n">
        <f aca="false">M142+N142</f>
        <v>0.4682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163</v>
      </c>
      <c r="B144" s="145" t="s">
        <v>164</v>
      </c>
      <c r="C144" s="145"/>
      <c r="D144" s="145" t="s">
        <v>165</v>
      </c>
      <c r="E144" s="146"/>
      <c r="F144" s="135"/>
      <c r="G144" s="138" t="s">
        <v>166</v>
      </c>
      <c r="H144" s="145" t="s">
        <v>164</v>
      </c>
      <c r="I144" s="145"/>
      <c r="J144" s="145" t="s">
        <v>165</v>
      </c>
      <c r="K144" s="146"/>
      <c r="L144" s="135"/>
      <c r="M144" s="138" t="s">
        <v>163</v>
      </c>
      <c r="N144" s="145" t="s">
        <v>164</v>
      </c>
      <c r="O144" s="145"/>
      <c r="P144" s="145" t="s">
        <v>165</v>
      </c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f aca="false">A108</f>
        <v>199.99</v>
      </c>
      <c r="B145" s="215" t="n">
        <f aca="false">B73/1.2</f>
        <v>482.375</v>
      </c>
      <c r="C145" s="215"/>
      <c r="D145" s="215" t="n">
        <f aca="false">B108*0.9</f>
        <v>0</v>
      </c>
      <c r="E145" s="130"/>
      <c r="F145" s="135"/>
      <c r="G145" s="129" t="n">
        <f aca="false">G108</f>
        <v>239.988</v>
      </c>
      <c r="H145" s="215" t="n">
        <f aca="false">H73/1.2</f>
        <v>241.1875</v>
      </c>
      <c r="I145" s="215"/>
      <c r="J145" s="215" t="n">
        <f aca="false">H108*0.9</f>
        <v>1080</v>
      </c>
      <c r="K145" s="130"/>
      <c r="L145" s="135"/>
      <c r="M145" s="129" t="n">
        <f aca="false">M108</f>
        <v>199.99</v>
      </c>
      <c r="N145" s="215" t="n">
        <f aca="false">N73/1.2</f>
        <v>241.1875</v>
      </c>
      <c r="O145" s="215"/>
      <c r="P145" s="215" t="n">
        <f aca="false">N108*0.9</f>
        <v>1080</v>
      </c>
      <c r="Q145" s="130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38"/>
      <c r="N146" s="14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 t="s">
        <v>167</v>
      </c>
      <c r="B147" s="145" t="s">
        <v>168</v>
      </c>
      <c r="C147" s="145"/>
      <c r="D147" s="145" t="s">
        <v>169</v>
      </c>
      <c r="E147" s="146"/>
      <c r="F147" s="135"/>
      <c r="G147" s="138" t="s">
        <v>167</v>
      </c>
      <c r="H147" s="145" t="s">
        <v>168</v>
      </c>
      <c r="I147" s="145"/>
      <c r="J147" s="145" t="s">
        <v>169</v>
      </c>
      <c r="K147" s="146"/>
      <c r="L147" s="135"/>
      <c r="M147" s="138" t="s">
        <v>167</v>
      </c>
      <c r="N147" s="145" t="s">
        <v>168</v>
      </c>
      <c r="O147" s="145"/>
      <c r="P147" s="145" t="s">
        <v>169</v>
      </c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5" t="n">
        <f aca="false">A108-100</f>
        <v>99.99</v>
      </c>
      <c r="C148" s="215"/>
      <c r="D148" s="215" t="n">
        <f aca="false">(B145+D145+A148+B148)-B151</f>
        <v>582.365</v>
      </c>
      <c r="E148" s="130"/>
      <c r="F148" s="135"/>
      <c r="G148" s="129" t="n">
        <f aca="false">IF(G111="YES", ((A41*H111)*0.1)*(G133), 0)</f>
        <v>0</v>
      </c>
      <c r="H148" s="215" t="n">
        <f aca="false">G108-100</f>
        <v>139.988</v>
      </c>
      <c r="I148" s="215"/>
      <c r="J148" s="215" t="n">
        <f aca="false">(H145+J145+G148+H148)-H151</f>
        <v>1461.1755</v>
      </c>
      <c r="K148" s="130"/>
      <c r="L148" s="135"/>
      <c r="M148" s="129" t="n">
        <f aca="false">IF(M111="YES", ((A41*N111)*0.1)*(M133), 0)</f>
        <v>0</v>
      </c>
      <c r="N148" s="215" t="n">
        <f aca="false">M108-100</f>
        <v>99.99</v>
      </c>
      <c r="O148" s="215"/>
      <c r="P148" s="215" t="n">
        <f aca="false">(N145+P145+M148+N148)-N151</f>
        <v>1421.1775</v>
      </c>
      <c r="Q148" s="130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45"/>
      <c r="C149" s="145"/>
      <c r="D149" s="145"/>
      <c r="E149" s="146"/>
      <c r="F149" s="135"/>
      <c r="G149" s="138"/>
      <c r="H149" s="145"/>
      <c r="I149" s="14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138" t="s">
        <v>170</v>
      </c>
      <c r="B150" s="145" t="s">
        <v>171</v>
      </c>
      <c r="C150" s="145"/>
      <c r="D150" s="145"/>
      <c r="E150" s="146"/>
      <c r="F150" s="135"/>
      <c r="G150" s="138" t="s">
        <v>170</v>
      </c>
      <c r="H150" s="145" t="s">
        <v>171</v>
      </c>
      <c r="I150" s="145"/>
      <c r="J150" s="145"/>
      <c r="K150" s="146"/>
      <c r="L150" s="135"/>
      <c r="M150" s="138" t="s">
        <v>170</v>
      </c>
      <c r="N150" s="145" t="s">
        <v>171</v>
      </c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129" t="n">
        <v>0</v>
      </c>
      <c r="B151" s="215" t="n">
        <f aca="false">(B145+D145+A148+B148)*(A151/B70)</f>
        <v>0</v>
      </c>
      <c r="C151" s="145"/>
      <c r="D151" s="145"/>
      <c r="E151" s="146"/>
      <c r="F151" s="135"/>
      <c r="G151" s="129" t="n">
        <f aca="false">IF((1200-H108) &lt;= 0, 0, (1200-H108))</f>
        <v>0</v>
      </c>
      <c r="H151" s="215" t="n">
        <f aca="false">(H145+J145+G148+H148)*(G151/H70)</f>
        <v>0</v>
      </c>
      <c r="I151" s="145"/>
      <c r="J151" s="145"/>
      <c r="K151" s="146"/>
      <c r="L151" s="135"/>
      <c r="M151" s="129" t="n">
        <f aca="false">IF((1200-N108) &lt;= 0, 0, (1200-N108))</f>
        <v>0</v>
      </c>
      <c r="N151" s="215" t="n">
        <f aca="false">(N145+P145+M148+N148)*(M151/N70)</f>
        <v>0</v>
      </c>
      <c r="O151" s="145"/>
      <c r="P151" s="145"/>
      <c r="Q151" s="146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138"/>
      <c r="B152" s="145"/>
      <c r="C152" s="145"/>
      <c r="D152" s="145"/>
      <c r="E152" s="146"/>
      <c r="F152" s="135"/>
      <c r="G152" s="138"/>
      <c r="H152" s="145"/>
      <c r="I152" s="145"/>
      <c r="J152" s="145"/>
      <c r="K152" s="146"/>
      <c r="L152" s="135"/>
      <c r="M152" s="129"/>
      <c r="N152" s="215"/>
      <c r="O152" s="14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131" t="s">
        <v>172</v>
      </c>
      <c r="N153" s="210" t="s">
        <v>173</v>
      </c>
      <c r="O153" s="145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172" t="s">
        <v>174</v>
      </c>
      <c r="B154" s="145"/>
      <c r="C154" s="145"/>
      <c r="D154" s="173"/>
      <c r="E154" s="174"/>
      <c r="F154" s="135"/>
      <c r="G154" s="172" t="s">
        <v>174</v>
      </c>
      <c r="H154" s="145"/>
      <c r="I154" s="145"/>
      <c r="J154" s="173"/>
      <c r="K154" s="174"/>
      <c r="L154" s="135"/>
      <c r="M154" s="132" t="n">
        <f aca="false">H40</f>
        <v>0</v>
      </c>
      <c r="N154" s="133" t="n">
        <v>0.99</v>
      </c>
      <c r="O154" s="13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75"/>
      <c r="C155" s="175"/>
      <c r="D155" s="145"/>
      <c r="E155" s="146"/>
      <c r="F155" s="135"/>
      <c r="G155" s="138"/>
      <c r="H155" s="175"/>
      <c r="I155" s="175"/>
      <c r="J155" s="145"/>
      <c r="K155" s="146"/>
      <c r="L155" s="135"/>
      <c r="M155" s="138"/>
      <c r="N155" s="145"/>
      <c r="O155" s="14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5"/>
      <c r="E156" s="146"/>
      <c r="F156" s="135"/>
      <c r="G156" s="71" t="s">
        <v>81</v>
      </c>
      <c r="H156" s="72" t="s">
        <v>82</v>
      </c>
      <c r="I156" s="72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5"/>
      <c r="E157" s="146"/>
      <c r="F157" s="135"/>
      <c r="G157" s="71"/>
      <c r="H157" s="73" t="str">
        <f aca="false">B57</f>
        <v>5000</v>
      </c>
      <c r="I157" s="73"/>
      <c r="J157" s="145"/>
      <c r="K157" s="146"/>
      <c r="L157" s="135"/>
      <c r="M157" s="172" t="s">
        <v>174</v>
      </c>
      <c r="N157" s="145"/>
      <c r="O157" s="145"/>
      <c r="P157" s="173"/>
      <c r="Q157" s="174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571.541224059881</v>
      </c>
      <c r="C158" s="75"/>
      <c r="D158" s="145"/>
      <c r="E158" s="146"/>
      <c r="F158" s="135"/>
      <c r="G158" s="74" t="str">
        <f aca="false">A58</f>
        <v>12</v>
      </c>
      <c r="H158" s="75" t="e">
        <f aca="false">H97</f>
        <v>#DIV/0!</v>
      </c>
      <c r="I158" s="75"/>
      <c r="J158" s="145"/>
      <c r="K158" s="146"/>
      <c r="L158" s="135"/>
      <c r="M158" s="138"/>
      <c r="N158" s="175"/>
      <c r="O158" s="17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8"/>
      <c r="B159" s="145"/>
      <c r="C159" s="145"/>
      <c r="D159" s="145"/>
      <c r="E159" s="146"/>
      <c r="F159" s="135"/>
      <c r="G159" s="138"/>
      <c r="H159" s="145"/>
      <c r="I159" s="145"/>
      <c r="J159" s="145"/>
      <c r="K159" s="146"/>
      <c r="L159" s="135"/>
      <c r="M159" s="71" t="s">
        <v>81</v>
      </c>
      <c r="N159" s="72" t="s">
        <v>82</v>
      </c>
      <c r="O159" s="72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8"/>
      <c r="B160" s="145"/>
      <c r="C160" s="145"/>
      <c r="D160" s="145"/>
      <c r="E160" s="146"/>
      <c r="F160" s="135"/>
      <c r="G160" s="138"/>
      <c r="H160" s="145"/>
      <c r="I160" s="145"/>
      <c r="J160" s="145"/>
      <c r="K160" s="146"/>
      <c r="L160" s="135"/>
      <c r="M160" s="71"/>
      <c r="N160" s="73" t="str">
        <f aca="false">B57</f>
        <v>5000</v>
      </c>
      <c r="O160" s="73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8"/>
      <c r="B161" s="145"/>
      <c r="C161" s="145"/>
      <c r="D161" s="145"/>
      <c r="E161" s="146"/>
      <c r="F161" s="135"/>
      <c r="G161" s="138"/>
      <c r="H161" s="145"/>
      <c r="I161" s="145"/>
      <c r="J161" s="145"/>
      <c r="K161" s="146"/>
      <c r="L161" s="135"/>
      <c r="M161" s="74" t="str">
        <f aca="false">A58</f>
        <v>12</v>
      </c>
      <c r="N161" s="75" t="e">
        <f aca="false">N97</f>
        <v>#DIV/0!</v>
      </c>
      <c r="O161" s="7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8"/>
      <c r="B162" s="145"/>
      <c r="C162" s="145"/>
      <c r="D162" s="145"/>
      <c r="E162" s="146"/>
      <c r="F162" s="135"/>
      <c r="G162" s="138"/>
      <c r="H162" s="145"/>
      <c r="I162" s="145"/>
      <c r="J162" s="145"/>
      <c r="K162" s="146"/>
      <c r="L162" s="135"/>
      <c r="M162" s="138"/>
      <c r="N162" s="145"/>
      <c r="O162" s="145"/>
      <c r="P162" s="145"/>
      <c r="Q162" s="146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77"/>
      <c r="B163" s="178"/>
      <c r="C163" s="178"/>
      <c r="D163" s="178"/>
      <c r="E163" s="179"/>
      <c r="F163" s="135"/>
      <c r="G163" s="177"/>
      <c r="H163" s="178"/>
      <c r="I163" s="178"/>
      <c r="J163" s="178"/>
      <c r="K163" s="179"/>
      <c r="L163" s="135"/>
      <c r="M163" s="138"/>
      <c r="N163" s="145"/>
      <c r="O163" s="145"/>
      <c r="P163" s="145"/>
      <c r="Q163" s="146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8"/>
      <c r="N164" s="145"/>
      <c r="O164" s="145"/>
      <c r="P164" s="145"/>
      <c r="Q164" s="146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8"/>
      <c r="N165" s="145"/>
      <c r="O165" s="145"/>
      <c r="P165" s="145"/>
      <c r="Q165" s="146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8"/>
      <c r="N166" s="145"/>
      <c r="O166" s="145"/>
      <c r="P166" s="145"/>
      <c r="Q166" s="146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8"/>
      <c r="N167" s="145"/>
      <c r="O167" s="145"/>
      <c r="P167" s="145"/>
      <c r="Q167" s="146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77"/>
      <c r="N168" s="178"/>
      <c r="O168" s="178"/>
      <c r="P168" s="178"/>
      <c r="Q168" s="179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8.75" hidden="false" customHeight="true" outlineLevel="0" collapsed="false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customFormat="false" ht="18.75" hidden="false" customHeight="true" outlineLevel="0" collapsed="false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customFormat="false" ht="18.75" hidden="false" customHeight="true" outlineLevel="0" collapsed="false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customFormat="false" ht="18.75" hidden="false" customHeight="true" outlineLevel="0" collapsed="false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customFormat="false" ht="18.75" hidden="false" customHeight="true" outlineLevel="0" collapsed="false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customFormat="false" ht="18.75" hidden="false" customHeight="true" outlineLevel="0" collapsed="false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216" width="41.67" collapsed="false" outlineLevel="0"/>
    <col min="2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3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3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3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/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223" t="n">
        <v>0</v>
      </c>
      <c r="C4" s="223"/>
      <c r="D4" s="224" t="n">
        <v>0</v>
      </c>
      <c r="E4" s="224"/>
      <c r="F4" s="224" t="n">
        <v>0</v>
      </c>
      <c r="G4" s="224"/>
      <c r="H4" s="225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/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/>
      <c r="F9" s="226"/>
      <c r="G9" s="227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/>
      <c r="F10" s="229"/>
      <c r="G10" s="23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23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23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/>
      <c r="F13" s="229"/>
      <c r="G13" s="23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/>
      <c r="F14" s="229"/>
      <c r="G14" s="23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23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/>
      <c r="F16" s="229"/>
      <c r="G16" s="23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114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</row>
    <row r="24" customFormat="false" ht="46.5" hidden="false" customHeight="true" outlineLevel="0" collapsed="false">
      <c r="A24" s="237" t="s">
        <v>192</v>
      </c>
      <c r="B24" s="237"/>
      <c r="C24" s="237"/>
      <c r="D24" s="237"/>
      <c r="E24" s="237"/>
      <c r="F24" s="237"/>
      <c r="G24" s="237"/>
      <c r="H24" s="237"/>
      <c r="I24" s="50"/>
      <c r="J24" s="50"/>
      <c r="K24" s="50"/>
    </row>
    <row r="25" customFormat="false" ht="17.35" hidden="false" customHeight="false" outlineLevel="0" collapsed="false">
      <c r="A25" s="238"/>
      <c r="B25" s="239"/>
      <c r="C25" s="239"/>
      <c r="D25" s="239"/>
      <c r="E25" s="239"/>
      <c r="F25" s="239"/>
      <c r="G25" s="239"/>
      <c r="H25" s="102"/>
      <c r="I25" s="50"/>
      <c r="J25" s="50"/>
      <c r="K25" s="50"/>
    </row>
    <row r="26" customFormat="false" ht="22.05" hidden="false" customHeight="false" outlineLevel="0" collapsed="false">
      <c r="A26" s="240" t="s">
        <v>193</v>
      </c>
      <c r="B26" s="240"/>
      <c r="C26" s="240"/>
      <c r="D26" s="240"/>
      <c r="E26" s="240"/>
      <c r="F26" s="240"/>
      <c r="G26" s="240"/>
      <c r="H26" s="240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1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1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1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1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2" t="s">
        <v>196</v>
      </c>
      <c r="B31" s="12"/>
      <c r="C31" s="243" t="s">
        <v>197</v>
      </c>
      <c r="D31" s="243"/>
      <c r="E31" s="12"/>
      <c r="F31" s="243"/>
      <c r="G31" s="243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1"/>
      <c r="B32" s="244"/>
      <c r="C32" s="244"/>
      <c r="D32" s="244"/>
      <c r="E32" s="244"/>
      <c r="F32" s="244"/>
      <c r="G32" s="244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1" t="s">
        <v>40</v>
      </c>
      <c r="B33" s="12"/>
      <c r="C33" s="245" t="s">
        <v>41</v>
      </c>
      <c r="D33" s="114"/>
      <c r="E33" s="12"/>
      <c r="F33" s="126" t="s">
        <v>42</v>
      </c>
      <c r="G33" s="114"/>
      <c r="H33" s="246"/>
      <c r="I33" s="50"/>
      <c r="J33" s="32"/>
      <c r="K33" s="47"/>
    </row>
    <row r="34" customFormat="false" ht="17.35" hidden="false" customHeight="false" outlineLevel="0" collapsed="false">
      <c r="A34" s="242" t="s">
        <v>198</v>
      </c>
      <c r="B34" s="12"/>
      <c r="C34" s="243" t="s">
        <v>45</v>
      </c>
      <c r="D34" s="243"/>
      <c r="E34" s="12"/>
      <c r="F34" s="243" t="n">
        <f aca="false">(A34/12)*C34</f>
        <v>13750</v>
      </c>
      <c r="G34" s="243"/>
      <c r="H34" s="246"/>
      <c r="I34" s="50"/>
      <c r="J34" s="50"/>
      <c r="K34" s="50"/>
    </row>
    <row r="35" customFormat="false" ht="20.85" hidden="false" customHeight="false" outlineLevel="0" collapsed="false">
      <c r="A35" s="221"/>
      <c r="B35" s="12"/>
      <c r="C35" s="12"/>
      <c r="E35" s="12"/>
      <c r="F35" s="244"/>
      <c r="G35" s="244"/>
      <c r="H35" s="246"/>
      <c r="I35" s="50"/>
      <c r="J35" s="53" t="s">
        <v>50</v>
      </c>
      <c r="K35" s="247" t="n">
        <v>0.0559</v>
      </c>
    </row>
    <row r="36" customFormat="false" ht="17.35" hidden="false" customHeight="false" outlineLevel="0" collapsed="false">
      <c r="A36" s="241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6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1" t="n">
        <f aca="false">H9+H10+H13+H14</f>
        <v>48877.5</v>
      </c>
      <c r="B37" s="12"/>
      <c r="C37" s="243" t="s">
        <v>49</v>
      </c>
      <c r="D37" s="243"/>
      <c r="E37" s="12"/>
      <c r="F37" s="244" t="n">
        <f aca="false">A37-C37</f>
        <v>47877.5</v>
      </c>
      <c r="G37" s="244"/>
      <c r="H37" s="246"/>
      <c r="I37" s="50"/>
      <c r="J37" s="50"/>
      <c r="K37" s="50"/>
    </row>
    <row r="38" customFormat="false" ht="17.35" hidden="false" customHeight="false" outlineLevel="0" collapsed="false">
      <c r="A38" s="241"/>
      <c r="B38" s="244"/>
      <c r="C38" s="244"/>
      <c r="D38" s="244"/>
      <c r="E38" s="244"/>
      <c r="F38" s="244"/>
      <c r="G38" s="244"/>
      <c r="H38" s="246"/>
      <c r="J38" s="56" t="s">
        <v>56</v>
      </c>
      <c r="K38" s="56"/>
      <c r="L38" s="50"/>
    </row>
    <row r="39" customFormat="false" ht="17.35" hidden="false" customHeight="false" outlineLevel="0" collapsed="false">
      <c r="A39" s="241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6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2" t="s">
        <v>44</v>
      </c>
      <c r="B40" s="12"/>
      <c r="C40" s="248" t="n">
        <f aca="false">A34-1</f>
        <v>32</v>
      </c>
      <c r="D40" s="248"/>
      <c r="E40" s="12"/>
      <c r="F40" s="243" t="s">
        <v>55</v>
      </c>
      <c r="G40" s="243"/>
      <c r="H40" s="246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1"/>
      <c r="B41" s="244"/>
      <c r="C41" s="244"/>
      <c r="D41" s="244"/>
      <c r="E41" s="244"/>
      <c r="F41" s="244"/>
      <c r="G41" s="244"/>
      <c r="H41" s="246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1" t="s">
        <v>178</v>
      </c>
      <c r="B42" s="12"/>
      <c r="C42" s="126" t="s">
        <v>59</v>
      </c>
      <c r="D42" s="114"/>
      <c r="E42" s="12"/>
      <c r="F42" s="126" t="s">
        <v>60</v>
      </c>
      <c r="G42" s="114"/>
      <c r="H42" s="246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2" t="s">
        <v>62</v>
      </c>
      <c r="B43" s="12"/>
      <c r="C43" s="243" t="s">
        <v>63</v>
      </c>
      <c r="D43" s="243"/>
      <c r="E43" s="12"/>
      <c r="F43" s="243" t="s">
        <v>25</v>
      </c>
      <c r="G43" s="243"/>
      <c r="H43" s="246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1"/>
      <c r="B44" s="244"/>
      <c r="C44" s="244"/>
      <c r="D44" s="244"/>
      <c r="E44" s="244"/>
      <c r="F44" s="244"/>
      <c r="G44" s="244"/>
      <c r="H44" s="246"/>
      <c r="J44" s="50" t="s">
        <v>71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1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6"/>
      <c r="J45" s="50" t="s">
        <v>72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2" t="n">
        <v>0</v>
      </c>
      <c r="B46" s="12"/>
      <c r="C46" s="243" t="n">
        <v>1</v>
      </c>
      <c r="D46" s="243"/>
      <c r="E46" s="12"/>
      <c r="F46" s="243" t="n">
        <v>0</v>
      </c>
      <c r="G46" s="243"/>
      <c r="H46" s="246"/>
      <c r="J46" s="50" t="s">
        <v>76</v>
      </c>
      <c r="K46" s="50" t="n">
        <v>0</v>
      </c>
      <c r="L46" s="50"/>
    </row>
    <row r="47" customFormat="false" ht="17.35" hidden="false" customHeight="false" outlineLevel="0" collapsed="false">
      <c r="A47" s="241"/>
      <c r="B47" s="244"/>
      <c r="C47" s="244"/>
      <c r="D47" s="244"/>
      <c r="E47" s="244"/>
      <c r="F47" s="244"/>
      <c r="G47" s="244"/>
      <c r="H47" s="246"/>
      <c r="J47" s="50" t="s">
        <v>77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1" t="s">
        <v>202</v>
      </c>
      <c r="B48" s="244"/>
      <c r="C48" s="244"/>
      <c r="D48" s="244"/>
      <c r="E48" s="244"/>
      <c r="F48" s="244"/>
      <c r="G48" s="244"/>
      <c r="H48" s="246"/>
      <c r="J48" s="63" t="s">
        <v>78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1" t="n">
        <f aca="false">C46+F46</f>
        <v>1</v>
      </c>
      <c r="B49" s="244"/>
      <c r="C49" s="244"/>
      <c r="D49" s="244"/>
      <c r="E49" s="12"/>
      <c r="F49" s="244"/>
      <c r="G49" s="244"/>
      <c r="H49" s="246"/>
      <c r="J49" s="63" t="s">
        <v>79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9"/>
      <c r="B50" s="250"/>
      <c r="C50" s="250"/>
      <c r="D50" s="250"/>
      <c r="E50" s="250"/>
      <c r="F50" s="250"/>
      <c r="G50" s="251"/>
      <c r="H50" s="101"/>
      <c r="I50" s="50"/>
      <c r="J50" s="50"/>
      <c r="K50" s="50"/>
    </row>
    <row r="51" customFormat="false" ht="19.5" hidden="false" customHeight="true" outlineLevel="0" collapsed="false">
      <c r="A51" s="238"/>
      <c r="B51" s="239"/>
      <c r="C51" s="239"/>
      <c r="D51" s="239"/>
      <c r="E51" s="239"/>
      <c r="F51" s="239"/>
      <c r="G51" s="239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2" t="n">
        <v>1</v>
      </c>
      <c r="B53" s="12"/>
      <c r="C53" s="253" t="n">
        <v>1</v>
      </c>
      <c r="D53" s="253"/>
      <c r="E53" s="253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9"/>
      <c r="B54" s="250"/>
      <c r="C54" s="250"/>
      <c r="D54" s="250"/>
      <c r="E54" s="250"/>
      <c r="F54" s="250"/>
      <c r="G54" s="250"/>
      <c r="H54" s="84"/>
      <c r="I54" s="50"/>
      <c r="J54" s="50"/>
      <c r="K54" s="50"/>
    </row>
    <row r="55" customFormat="false" ht="17.35" hidden="false" customHeight="false" outlineLevel="0" collapsed="false">
      <c r="A55" s="238"/>
      <c r="B55" s="239"/>
      <c r="C55" s="239"/>
      <c r="D55" s="239"/>
      <c r="E55" s="239"/>
      <c r="F55" s="239"/>
      <c r="G55" s="239"/>
      <c r="H55" s="102"/>
      <c r="I55" s="50"/>
      <c r="J55" s="50"/>
      <c r="K55" s="50"/>
    </row>
    <row r="56" customFormat="false" ht="17.35" hidden="false" customHeight="false" outlineLevel="0" collapsed="false">
      <c r="A56" s="254" t="s">
        <v>205</v>
      </c>
      <c r="B56" s="12"/>
      <c r="C56" s="12"/>
      <c r="D56" s="255"/>
      <c r="E56" s="255"/>
      <c r="F56" s="255"/>
      <c r="G56" s="255"/>
      <c r="H56" s="256"/>
      <c r="I56" s="50"/>
      <c r="J56" s="50"/>
      <c r="K56" s="50"/>
    </row>
    <row r="57" customFormat="false" ht="19.5" hidden="false" customHeight="true" outlineLevel="0" collapsed="false">
      <c r="A57" s="221"/>
      <c r="B57" s="257"/>
      <c r="C57" s="257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8" t="s">
        <v>81</v>
      </c>
      <c r="B58" s="259" t="s">
        <v>82</v>
      </c>
      <c r="C58" s="259"/>
      <c r="D58" s="259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8"/>
      <c r="B59" s="260" t="str">
        <f aca="false">K30</f>
        <v>5000</v>
      </c>
      <c r="C59" s="260"/>
      <c r="D59" s="260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1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1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9"/>
      <c r="B62" s="250"/>
      <c r="C62" s="250"/>
      <c r="D62" s="250"/>
      <c r="E62" s="250"/>
      <c r="F62" s="250"/>
      <c r="G62" s="250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6"/>
      <c r="B65" s="236"/>
      <c r="C65" s="236"/>
      <c r="D65" s="236"/>
      <c r="E65" s="236"/>
      <c r="F65" s="236"/>
      <c r="G65" s="236"/>
      <c r="H65" s="236"/>
      <c r="J65" s="50"/>
      <c r="K65" s="50"/>
    </row>
    <row r="66" customFormat="false" ht="17.35" hidden="false" customHeight="false" outlineLevel="0" collapsed="false">
      <c r="A66" s="238"/>
      <c r="B66" s="239"/>
      <c r="C66" s="239"/>
      <c r="D66" s="239"/>
      <c r="E66" s="262"/>
      <c r="F66" s="262"/>
      <c r="G66" s="262"/>
      <c r="H66" s="102"/>
      <c r="J66" s="238"/>
      <c r="K66" s="239"/>
      <c r="L66" s="239"/>
      <c r="M66" s="239"/>
      <c r="N66" s="262"/>
      <c r="O66" s="262"/>
      <c r="P66" s="262"/>
      <c r="Q66" s="102"/>
      <c r="S66" s="238"/>
      <c r="T66" s="239"/>
      <c r="U66" s="239"/>
      <c r="V66" s="239"/>
      <c r="W66" s="262"/>
      <c r="X66" s="262"/>
      <c r="Y66" s="262"/>
      <c r="Z66" s="102"/>
      <c r="AB66" s="238"/>
      <c r="AC66" s="239"/>
      <c r="AD66" s="239"/>
      <c r="AE66" s="239"/>
      <c r="AF66" s="262"/>
      <c r="AG66" s="262"/>
      <c r="AH66" s="262"/>
      <c r="AI66" s="102"/>
    </row>
    <row r="67" customFormat="false" ht="17.35" hidden="false" customHeight="false" outlineLevel="0" collapsed="false">
      <c r="A67" s="221" t="s">
        <v>83</v>
      </c>
      <c r="B67" s="12" t="n">
        <v>1</v>
      </c>
      <c r="C67" s="12"/>
      <c r="D67" s="12"/>
      <c r="E67" s="236"/>
      <c r="F67" s="236"/>
      <c r="G67" s="236"/>
      <c r="H67" s="11"/>
      <c r="J67" s="221" t="s">
        <v>83</v>
      </c>
      <c r="K67" s="12" t="n">
        <v>1</v>
      </c>
      <c r="L67" s="12"/>
      <c r="M67" s="12"/>
      <c r="N67" s="236"/>
      <c r="O67" s="236"/>
      <c r="P67" s="236"/>
      <c r="Q67" s="11"/>
      <c r="S67" s="221" t="s">
        <v>83</v>
      </c>
      <c r="T67" s="12" t="n">
        <v>1</v>
      </c>
      <c r="U67" s="12"/>
      <c r="V67" s="12"/>
      <c r="W67" s="236"/>
      <c r="X67" s="236"/>
      <c r="Y67" s="236"/>
      <c r="Z67" s="11"/>
      <c r="AB67" s="221" t="s">
        <v>83</v>
      </c>
      <c r="AC67" s="12" t="n">
        <v>1</v>
      </c>
      <c r="AD67" s="12"/>
      <c r="AE67" s="12"/>
      <c r="AF67" s="236"/>
      <c r="AG67" s="236"/>
      <c r="AH67" s="236"/>
      <c r="AI67" s="11"/>
    </row>
    <row r="68" customFormat="false" ht="17.35" hidden="false" customHeight="false" outlineLevel="0" collapsed="false">
      <c r="A68" s="221" t="s">
        <v>84</v>
      </c>
      <c r="B68" s="12" t="n">
        <f aca="false">K29-B67</f>
        <v>32</v>
      </c>
      <c r="C68" s="12"/>
      <c r="D68" s="12"/>
      <c r="E68" s="236"/>
      <c r="F68" s="236"/>
      <c r="G68" s="236"/>
      <c r="H68" s="11"/>
      <c r="J68" s="221" t="s">
        <v>84</v>
      </c>
      <c r="K68" s="12" t="n">
        <f aca="false">K29-K67</f>
        <v>32</v>
      </c>
      <c r="L68" s="12"/>
      <c r="M68" s="12"/>
      <c r="N68" s="236"/>
      <c r="O68" s="236"/>
      <c r="P68" s="236"/>
      <c r="Q68" s="11"/>
      <c r="S68" s="221" t="s">
        <v>84</v>
      </c>
      <c r="T68" s="12" t="n">
        <f aca="false">K29-T67</f>
        <v>32</v>
      </c>
      <c r="U68" s="12"/>
      <c r="V68" s="12"/>
      <c r="W68" s="236"/>
      <c r="X68" s="236"/>
      <c r="Y68" s="236"/>
      <c r="Z68" s="11"/>
      <c r="AB68" s="221" t="s">
        <v>84</v>
      </c>
      <c r="AC68" s="12" t="n">
        <f aca="false">K29-AC67</f>
        <v>32</v>
      </c>
      <c r="AD68" s="12"/>
      <c r="AE68" s="12"/>
      <c r="AF68" s="236"/>
      <c r="AG68" s="236"/>
      <c r="AH68" s="236"/>
      <c r="AI68" s="11"/>
    </row>
    <row r="69" customFormat="false" ht="17.35" hidden="false" customHeight="false" outlineLevel="0" collapsed="false">
      <c r="A69" s="263" t="s">
        <v>206</v>
      </c>
      <c r="B69" s="88" t="n">
        <v>10</v>
      </c>
      <c r="C69" s="12"/>
      <c r="D69" s="12"/>
      <c r="E69" s="236"/>
      <c r="F69" s="236"/>
      <c r="G69" s="236"/>
      <c r="H69" s="11"/>
      <c r="J69" s="263" t="s">
        <v>206</v>
      </c>
      <c r="K69" s="88" t="n">
        <v>20</v>
      </c>
      <c r="L69" s="12"/>
      <c r="M69" s="12"/>
      <c r="N69" s="236"/>
      <c r="O69" s="236"/>
      <c r="P69" s="236"/>
      <c r="Q69" s="11"/>
      <c r="S69" s="263" t="s">
        <v>206</v>
      </c>
      <c r="T69" s="88" t="n">
        <v>10</v>
      </c>
      <c r="U69" s="12"/>
      <c r="V69" s="12"/>
      <c r="W69" s="236"/>
      <c r="X69" s="236"/>
      <c r="Y69" s="236"/>
      <c r="Z69" s="11"/>
      <c r="AB69" s="263" t="s">
        <v>206</v>
      </c>
      <c r="AC69" s="88" t="n">
        <v>10</v>
      </c>
      <c r="AD69" s="12"/>
      <c r="AE69" s="12"/>
      <c r="AF69" s="236"/>
      <c r="AG69" s="236"/>
      <c r="AH69" s="236"/>
      <c r="AI69" s="11"/>
    </row>
    <row r="70" customFormat="false" ht="17.35" hidden="false" customHeight="false" outlineLevel="0" collapsed="false">
      <c r="A70" s="221" t="s">
        <v>21</v>
      </c>
      <c r="B70" s="12" t="n">
        <f aca="false">J18</f>
        <v>57225</v>
      </c>
      <c r="C70" s="12"/>
      <c r="D70" s="12"/>
      <c r="E70" s="236"/>
      <c r="F70" s="236"/>
      <c r="G70" s="236"/>
      <c r="H70" s="11"/>
      <c r="J70" s="221" t="s">
        <v>21</v>
      </c>
      <c r="K70" s="12" t="n">
        <f aca="false">J18</f>
        <v>57225</v>
      </c>
      <c r="L70" s="12"/>
      <c r="M70" s="12"/>
      <c r="N70" s="236"/>
      <c r="O70" s="236"/>
      <c r="P70" s="236"/>
      <c r="Q70" s="11"/>
      <c r="S70" s="221" t="s">
        <v>21</v>
      </c>
      <c r="T70" s="12" t="n">
        <f aca="false">J18</f>
        <v>57225</v>
      </c>
      <c r="U70" s="12"/>
      <c r="V70" s="12"/>
      <c r="W70" s="236"/>
      <c r="X70" s="236"/>
      <c r="Y70" s="236"/>
      <c r="Z70" s="11"/>
      <c r="AB70" s="221" t="s">
        <v>21</v>
      </c>
      <c r="AC70" s="12" t="n">
        <f aca="false">J18</f>
        <v>57225</v>
      </c>
      <c r="AD70" s="12"/>
      <c r="AE70" s="12"/>
      <c r="AF70" s="236"/>
      <c r="AG70" s="236"/>
      <c r="AH70" s="236"/>
      <c r="AI70" s="11"/>
    </row>
    <row r="71" customFormat="false" ht="17.35" hidden="false" customHeight="false" outlineLevel="0" collapsed="false">
      <c r="A71" s="264" t="s">
        <v>207</v>
      </c>
      <c r="B71" s="265" t="n">
        <v>0</v>
      </c>
      <c r="C71" s="12"/>
      <c r="D71" s="12"/>
      <c r="E71" s="236"/>
      <c r="F71" s="236"/>
      <c r="G71" s="236"/>
      <c r="H71" s="11"/>
      <c r="J71" s="264" t="s">
        <v>207</v>
      </c>
      <c r="K71" s="265" t="n">
        <v>0.06</v>
      </c>
      <c r="L71" s="12"/>
      <c r="M71" s="12"/>
      <c r="N71" s="236"/>
      <c r="O71" s="236"/>
      <c r="P71" s="236"/>
      <c r="Q71" s="11"/>
      <c r="S71" s="264" t="s">
        <v>207</v>
      </c>
      <c r="T71" s="265" t="n">
        <f aca="false">IF(AND(K29&gt;= 12, K29&lt;=24), 0.0105, IF(AND(K29&gt;=48), -0.0075, 0))</f>
        <v>-0.0075</v>
      </c>
      <c r="U71" s="12"/>
      <c r="V71" s="12"/>
      <c r="W71" s="236"/>
      <c r="X71" s="236"/>
      <c r="Y71" s="236"/>
      <c r="Z71" s="11"/>
      <c r="AB71" s="264" t="s">
        <v>207</v>
      </c>
      <c r="AC71" s="265" t="n">
        <f aca="false">IF(AND(K29&gt;= 12, K29&lt;=24), 0.0105, IF(AND(K29&gt;=48), -0.0075, 0))</f>
        <v>-0.0075</v>
      </c>
      <c r="AD71" s="12"/>
      <c r="AE71" s="12"/>
      <c r="AF71" s="236"/>
      <c r="AG71" s="236"/>
      <c r="AH71" s="236"/>
      <c r="AI71" s="11"/>
    </row>
    <row r="72" customFormat="false" ht="17.35" hidden="false" customHeight="false" outlineLevel="0" collapsed="false">
      <c r="A72" s="218" t="s">
        <v>208</v>
      </c>
      <c r="B72" s="266" t="n">
        <v>0.065</v>
      </c>
      <c r="C72" s="12"/>
      <c r="D72" s="12"/>
      <c r="E72" s="236"/>
      <c r="F72" s="236"/>
      <c r="G72" s="236"/>
      <c r="H72" s="11"/>
      <c r="J72" s="218" t="s">
        <v>208</v>
      </c>
      <c r="K72" s="266" t="n">
        <v>0.08</v>
      </c>
      <c r="L72" s="12"/>
      <c r="M72" s="12"/>
      <c r="N72" s="236"/>
      <c r="O72" s="236"/>
      <c r="P72" s="236"/>
      <c r="Q72" s="11"/>
      <c r="S72" s="218" t="s">
        <v>208</v>
      </c>
      <c r="T72" s="266" t="n">
        <v>0.059</v>
      </c>
      <c r="U72" s="12"/>
      <c r="V72" s="12"/>
      <c r="W72" s="236"/>
      <c r="X72" s="236"/>
      <c r="Y72" s="236"/>
      <c r="Z72" s="11"/>
      <c r="AB72" s="218" t="s">
        <v>208</v>
      </c>
      <c r="AC72" s="266" t="n">
        <v>0.059</v>
      </c>
      <c r="AD72" s="12"/>
      <c r="AE72" s="12"/>
      <c r="AF72" s="236"/>
      <c r="AG72" s="236"/>
      <c r="AH72" s="236"/>
      <c r="AI72" s="11"/>
    </row>
    <row r="73" customFormat="false" ht="17.35" hidden="false" customHeight="false" outlineLevel="0" collapsed="false">
      <c r="A73" s="267" t="s">
        <v>209</v>
      </c>
      <c r="B73" s="268" t="n">
        <v>0.072</v>
      </c>
      <c r="C73" s="12"/>
      <c r="D73" s="12"/>
      <c r="E73" s="236"/>
      <c r="F73" s="236"/>
      <c r="G73" s="236"/>
      <c r="H73" s="11"/>
      <c r="J73" s="267" t="s">
        <v>209</v>
      </c>
      <c r="K73" s="268" t="n">
        <v>0.1</v>
      </c>
      <c r="L73" s="12"/>
      <c r="M73" s="12"/>
      <c r="N73" s="236"/>
      <c r="O73" s="236"/>
      <c r="P73" s="236"/>
      <c r="Q73" s="11"/>
      <c r="S73" s="267" t="s">
        <v>209</v>
      </c>
      <c r="T73" s="268" t="n">
        <f aca="false">IF(T117=AP117, 2.4%, 7.2%)</f>
        <v>0.072</v>
      </c>
      <c r="U73" s="12"/>
      <c r="V73" s="12"/>
      <c r="W73" s="236"/>
      <c r="X73" s="236"/>
      <c r="Y73" s="236"/>
      <c r="Z73" s="11"/>
      <c r="AB73" s="267" t="s">
        <v>209</v>
      </c>
      <c r="AC73" s="268" t="n">
        <f aca="false">IF(AC117=AP117, 2.4%, 7.2%)</f>
        <v>0.072</v>
      </c>
      <c r="AD73" s="12"/>
      <c r="AE73" s="12"/>
      <c r="AF73" s="236"/>
      <c r="AG73" s="236"/>
      <c r="AH73" s="236"/>
      <c r="AI73" s="11"/>
    </row>
    <row r="74" customFormat="false" ht="17.35" hidden="false" customHeight="false" outlineLevel="0" collapsed="false">
      <c r="A74" s="249" t="s">
        <v>87</v>
      </c>
      <c r="B74" s="84" t="n">
        <f aca="false">(B98*B68)-(K47*K29)</f>
        <v>52464.3332978415</v>
      </c>
      <c r="C74" s="12"/>
      <c r="D74" s="12"/>
      <c r="E74" s="236"/>
      <c r="F74" s="236"/>
      <c r="G74" s="236"/>
      <c r="H74" s="11"/>
      <c r="J74" s="249" t="s">
        <v>87</v>
      </c>
      <c r="K74" s="84" t="n">
        <f aca="false">(K98*K68)-(K47*K29)</f>
        <v>50218.602484192</v>
      </c>
      <c r="L74" s="12"/>
      <c r="M74" s="12"/>
      <c r="N74" s="236"/>
      <c r="O74" s="236"/>
      <c r="P74" s="236"/>
      <c r="Q74" s="11"/>
      <c r="S74" s="249" t="s">
        <v>87</v>
      </c>
      <c r="T74" s="84" t="n">
        <f aca="false">(T98*T68)-(K47*K29)</f>
        <v>53575.5554919699</v>
      </c>
      <c r="U74" s="12"/>
      <c r="V74" s="12"/>
      <c r="W74" s="236"/>
      <c r="X74" s="236"/>
      <c r="Y74" s="236"/>
      <c r="Z74" s="11"/>
      <c r="AB74" s="249" t="s">
        <v>87</v>
      </c>
      <c r="AC74" s="84" t="n">
        <f aca="false">(AC98*AC68)-(K47*K29)</f>
        <v>53575.5554919699</v>
      </c>
      <c r="AD74" s="12"/>
      <c r="AE74" s="12"/>
      <c r="AF74" s="236"/>
      <c r="AG74" s="236"/>
      <c r="AH74" s="236"/>
      <c r="AI74" s="11"/>
    </row>
    <row r="75" customFormat="false" ht="17.35" hidden="false" customHeight="false" outlineLevel="0" collapsed="false">
      <c r="A75" s="264" t="s">
        <v>88</v>
      </c>
      <c r="B75" s="265" t="n">
        <v>0.005</v>
      </c>
      <c r="C75" s="12"/>
      <c r="D75" s="12"/>
      <c r="E75" s="236"/>
      <c r="F75" s="236"/>
      <c r="G75" s="236"/>
      <c r="H75" s="11"/>
      <c r="J75" s="264" t="s">
        <v>88</v>
      </c>
      <c r="K75" s="265" t="n">
        <v>0.05</v>
      </c>
      <c r="L75" s="12"/>
      <c r="M75" s="12"/>
      <c r="N75" s="236"/>
      <c r="O75" s="236"/>
      <c r="P75" s="236"/>
      <c r="Q75" s="11"/>
      <c r="S75" s="264" t="s">
        <v>88</v>
      </c>
      <c r="T75" s="265" t="n">
        <v>0.005</v>
      </c>
      <c r="U75" s="12"/>
      <c r="V75" s="12"/>
      <c r="W75" s="236"/>
      <c r="X75" s="236"/>
      <c r="Y75" s="236"/>
      <c r="Z75" s="11"/>
      <c r="AB75" s="264" t="s">
        <v>88</v>
      </c>
      <c r="AC75" s="265" t="n">
        <v>0.005</v>
      </c>
      <c r="AD75" s="12"/>
      <c r="AE75" s="12"/>
      <c r="AF75" s="236"/>
      <c r="AG75" s="236"/>
      <c r="AH75" s="236"/>
      <c r="AI75" s="11"/>
    </row>
    <row r="76" customFormat="false" ht="17.35" hidden="false" customHeight="false" outlineLevel="0" collapsed="false">
      <c r="A76" s="221" t="s">
        <v>89</v>
      </c>
      <c r="B76" s="269" t="n">
        <f aca="false">B75+(B75*0.5*(K29/12-1))</f>
        <v>0.009375</v>
      </c>
      <c r="C76" s="12"/>
      <c r="D76" s="12"/>
      <c r="E76" s="236"/>
      <c r="F76" s="236"/>
      <c r="G76" s="236"/>
      <c r="H76" s="11"/>
      <c r="J76" s="221" t="s">
        <v>89</v>
      </c>
      <c r="K76" s="269" t="n">
        <f aca="false">K75+(K75*0.25*(K29/12-1))</f>
        <v>0.071875</v>
      </c>
      <c r="L76" s="12"/>
      <c r="M76" s="12"/>
      <c r="N76" s="236"/>
      <c r="O76" s="236"/>
      <c r="P76" s="236"/>
      <c r="Q76" s="11"/>
      <c r="S76" s="221" t="s">
        <v>89</v>
      </c>
      <c r="T76" s="269" t="n">
        <f aca="false">T75+(T75*0.5*(K29/12-1))</f>
        <v>0.009375</v>
      </c>
      <c r="U76" s="12"/>
      <c r="V76" s="12"/>
      <c r="W76" s="236"/>
      <c r="X76" s="236"/>
      <c r="Y76" s="236"/>
      <c r="Z76" s="11"/>
      <c r="AB76" s="221" t="s">
        <v>89</v>
      </c>
      <c r="AC76" s="269" t="n">
        <f aca="false">AC75+(AC75*0.5*(K29/12-1))</f>
        <v>0.009375</v>
      </c>
      <c r="AD76" s="12"/>
      <c r="AE76" s="12"/>
      <c r="AF76" s="236"/>
      <c r="AG76" s="236"/>
      <c r="AH76" s="236"/>
      <c r="AI76" s="11"/>
    </row>
    <row r="77" customFormat="false" ht="17.35" hidden="false" customHeight="false" outlineLevel="0" collapsed="false">
      <c r="A77" s="249" t="s">
        <v>90</v>
      </c>
      <c r="B77" s="84" t="n">
        <f aca="false">(G167*B76)</f>
        <v>548.671875</v>
      </c>
      <c r="C77" s="12"/>
      <c r="D77" s="12"/>
      <c r="E77" s="236"/>
      <c r="F77" s="236"/>
      <c r="G77" s="236"/>
      <c r="H77" s="11"/>
      <c r="J77" s="249" t="s">
        <v>90</v>
      </c>
      <c r="K77" s="84" t="n">
        <f aca="false">K70*K76</f>
        <v>4113.046875</v>
      </c>
      <c r="L77" s="12"/>
      <c r="M77" s="12"/>
      <c r="N77" s="236"/>
      <c r="O77" s="236"/>
      <c r="P77" s="236"/>
      <c r="Q77" s="11"/>
      <c r="S77" s="249" t="s">
        <v>90</v>
      </c>
      <c r="T77" s="84" t="n">
        <f aca="false">T70*T76</f>
        <v>536.484375</v>
      </c>
      <c r="U77" s="12"/>
      <c r="V77" s="12"/>
      <c r="W77" s="236"/>
      <c r="X77" s="236"/>
      <c r="Y77" s="236"/>
      <c r="Z77" s="11"/>
      <c r="AB77" s="249" t="s">
        <v>90</v>
      </c>
      <c r="AC77" s="84" t="n">
        <f aca="false">AH167*AC76</f>
        <v>426.269521875</v>
      </c>
      <c r="AD77" s="12"/>
      <c r="AE77" s="12"/>
      <c r="AF77" s="236"/>
      <c r="AG77" s="236"/>
      <c r="AH77" s="236"/>
      <c r="AI77" s="11"/>
    </row>
    <row r="78" customFormat="false" ht="17.35" hidden="false" customHeight="false" outlineLevel="0" collapsed="false">
      <c r="A78" s="264" t="s">
        <v>91</v>
      </c>
      <c r="B78" s="265" t="n">
        <v>0</v>
      </c>
      <c r="C78" s="12"/>
      <c r="D78" s="12"/>
      <c r="E78" s="236"/>
      <c r="F78" s="236"/>
      <c r="G78" s="236"/>
      <c r="H78" s="11"/>
      <c r="J78" s="264" t="s">
        <v>91</v>
      </c>
      <c r="K78" s="265" t="n">
        <v>0</v>
      </c>
      <c r="L78" s="12"/>
      <c r="M78" s="12"/>
      <c r="N78" s="236"/>
      <c r="O78" s="236"/>
      <c r="P78" s="236"/>
      <c r="Q78" s="11"/>
      <c r="S78" s="264" t="s">
        <v>91</v>
      </c>
      <c r="T78" s="265" t="n">
        <v>0</v>
      </c>
      <c r="U78" s="12"/>
      <c r="V78" s="12"/>
      <c r="W78" s="236"/>
      <c r="X78" s="236"/>
      <c r="Y78" s="236"/>
      <c r="Z78" s="11"/>
      <c r="AB78" s="264" t="s">
        <v>91</v>
      </c>
      <c r="AC78" s="265" t="n">
        <v>0</v>
      </c>
      <c r="AD78" s="12"/>
      <c r="AE78" s="12"/>
      <c r="AF78" s="236"/>
      <c r="AG78" s="236"/>
      <c r="AH78" s="236"/>
      <c r="AI78" s="11"/>
    </row>
    <row r="79" customFormat="false" ht="17.35" hidden="false" customHeight="false" outlineLevel="0" collapsed="false">
      <c r="A79" s="218" t="s">
        <v>92</v>
      </c>
      <c r="B79" s="266" t="n">
        <v>0</v>
      </c>
      <c r="C79" s="12"/>
      <c r="D79" s="12"/>
      <c r="E79" s="236"/>
      <c r="F79" s="236"/>
      <c r="G79" s="236"/>
      <c r="H79" s="11"/>
      <c r="J79" s="218" t="s">
        <v>92</v>
      </c>
      <c r="K79" s="266" t="n">
        <v>0</v>
      </c>
      <c r="L79" s="12"/>
      <c r="M79" s="12"/>
      <c r="N79" s="236"/>
      <c r="O79" s="236"/>
      <c r="P79" s="236"/>
      <c r="Q79" s="11"/>
      <c r="S79" s="218" t="s">
        <v>92</v>
      </c>
      <c r="T79" s="266" t="n">
        <v>0</v>
      </c>
      <c r="U79" s="12"/>
      <c r="V79" s="12"/>
      <c r="W79" s="236"/>
      <c r="X79" s="236"/>
      <c r="Y79" s="236"/>
      <c r="Z79" s="11"/>
      <c r="AB79" s="218" t="s">
        <v>92</v>
      </c>
      <c r="AC79" s="266" t="n">
        <v>0</v>
      </c>
      <c r="AD79" s="12"/>
      <c r="AE79" s="12"/>
      <c r="AF79" s="236"/>
      <c r="AG79" s="236"/>
      <c r="AH79" s="236"/>
      <c r="AI79" s="11"/>
    </row>
    <row r="80" customFormat="false" ht="17.35" hidden="false" customHeight="false" outlineLevel="0" collapsed="false">
      <c r="A80" s="249" t="s">
        <v>93</v>
      </c>
      <c r="B80" s="270" t="n">
        <f aca="false">B78*(1+B79)</f>
        <v>0</v>
      </c>
      <c r="C80" s="12"/>
      <c r="D80" s="12"/>
      <c r="E80" s="236"/>
      <c r="F80" s="236"/>
      <c r="G80" s="236"/>
      <c r="H80" s="11"/>
      <c r="J80" s="249" t="s">
        <v>93</v>
      </c>
      <c r="K80" s="270" t="n">
        <f aca="false">K78*(1+K79)</f>
        <v>0</v>
      </c>
      <c r="L80" s="12"/>
      <c r="M80" s="12"/>
      <c r="N80" s="236"/>
      <c r="O80" s="236"/>
      <c r="P80" s="236"/>
      <c r="Q80" s="11"/>
      <c r="S80" s="249" t="s">
        <v>93</v>
      </c>
      <c r="T80" s="270" t="n">
        <f aca="false">T78*(1+T79)</f>
        <v>0</v>
      </c>
      <c r="U80" s="12"/>
      <c r="V80" s="12"/>
      <c r="W80" s="236"/>
      <c r="X80" s="236"/>
      <c r="Y80" s="236"/>
      <c r="Z80" s="11"/>
      <c r="AB80" s="249" t="s">
        <v>93</v>
      </c>
      <c r="AC80" s="270" t="n">
        <f aca="false">AC78*(1+AC79)</f>
        <v>0</v>
      </c>
      <c r="AD80" s="12"/>
      <c r="AE80" s="12"/>
      <c r="AF80" s="236"/>
      <c r="AG80" s="236"/>
      <c r="AH80" s="236"/>
      <c r="AI80" s="11"/>
    </row>
    <row r="81" customFormat="false" ht="17.35" hidden="false" customHeight="false" outlineLevel="0" collapsed="false">
      <c r="A81" s="264" t="s">
        <v>94</v>
      </c>
      <c r="B81" s="87" t="n">
        <v>0</v>
      </c>
      <c r="C81" s="12"/>
      <c r="D81" s="12"/>
      <c r="E81" s="236"/>
      <c r="F81" s="236"/>
      <c r="G81" s="236"/>
      <c r="H81" s="11"/>
      <c r="J81" s="264" t="s">
        <v>94</v>
      </c>
      <c r="K81" s="87" t="n">
        <v>0</v>
      </c>
      <c r="L81" s="12"/>
      <c r="M81" s="12"/>
      <c r="N81" s="236"/>
      <c r="O81" s="236"/>
      <c r="P81" s="236"/>
      <c r="Q81" s="11"/>
      <c r="S81" s="264" t="s">
        <v>94</v>
      </c>
      <c r="T81" s="87" t="n">
        <v>0</v>
      </c>
      <c r="U81" s="12"/>
      <c r="V81" s="12"/>
      <c r="W81" s="236"/>
      <c r="X81" s="236"/>
      <c r="Y81" s="236"/>
      <c r="Z81" s="11"/>
      <c r="AB81" s="264" t="s">
        <v>94</v>
      </c>
      <c r="AC81" s="87" t="n">
        <v>0</v>
      </c>
      <c r="AD81" s="12"/>
      <c r="AE81" s="12"/>
      <c r="AF81" s="236"/>
      <c r="AG81" s="236"/>
      <c r="AH81" s="236"/>
      <c r="AI81" s="11"/>
    </row>
    <row r="82" customFormat="false" ht="17.35" hidden="false" customHeight="false" outlineLevel="0" collapsed="false">
      <c r="A82" s="218" t="s">
        <v>95</v>
      </c>
      <c r="B82" s="88" t="n">
        <v>0</v>
      </c>
      <c r="C82" s="12"/>
      <c r="D82" s="12"/>
      <c r="E82" s="236"/>
      <c r="F82" s="236"/>
      <c r="G82" s="236"/>
      <c r="H82" s="11"/>
      <c r="J82" s="218" t="s">
        <v>95</v>
      </c>
      <c r="K82" s="88" t="n">
        <v>0</v>
      </c>
      <c r="L82" s="12"/>
      <c r="M82" s="12"/>
      <c r="N82" s="236"/>
      <c r="O82" s="236"/>
      <c r="P82" s="236"/>
      <c r="Q82" s="11"/>
      <c r="S82" s="218" t="s">
        <v>95</v>
      </c>
      <c r="T82" s="88" t="n">
        <v>0</v>
      </c>
      <c r="U82" s="12"/>
      <c r="V82" s="12"/>
      <c r="W82" s="236"/>
      <c r="X82" s="236"/>
      <c r="Y82" s="236"/>
      <c r="Z82" s="11"/>
      <c r="AB82" s="218" t="s">
        <v>95</v>
      </c>
      <c r="AC82" s="88" t="n">
        <v>0</v>
      </c>
      <c r="AD82" s="12"/>
      <c r="AE82" s="12"/>
      <c r="AF82" s="236"/>
      <c r="AG82" s="236"/>
      <c r="AH82" s="236"/>
      <c r="AI82" s="11"/>
    </row>
    <row r="83" customFormat="false" ht="17.35" hidden="false" customHeight="false" outlineLevel="0" collapsed="false">
      <c r="A83" s="249" t="s">
        <v>96</v>
      </c>
      <c r="B83" s="84" t="n">
        <f aca="false">B82*K29</f>
        <v>0</v>
      </c>
      <c r="C83" s="12"/>
      <c r="D83" s="12" t="n">
        <f aca="false">B83+B81</f>
        <v>0</v>
      </c>
      <c r="E83" s="236"/>
      <c r="F83" s="236"/>
      <c r="G83" s="236"/>
      <c r="H83" s="11"/>
      <c r="J83" s="249" t="s">
        <v>96</v>
      </c>
      <c r="K83" s="84" t="n">
        <f aca="false">K82*K29</f>
        <v>0</v>
      </c>
      <c r="L83" s="12"/>
      <c r="M83" s="12" t="n">
        <f aca="false">K83+K81</f>
        <v>0</v>
      </c>
      <c r="N83" s="236"/>
      <c r="O83" s="236"/>
      <c r="P83" s="236"/>
      <c r="Q83" s="11"/>
      <c r="S83" s="249" t="s">
        <v>96</v>
      </c>
      <c r="T83" s="84" t="n">
        <f aca="false">T82*K29</f>
        <v>0</v>
      </c>
      <c r="U83" s="12"/>
      <c r="V83" s="12" t="n">
        <f aca="false">T83+T81</f>
        <v>0</v>
      </c>
      <c r="W83" s="236"/>
      <c r="X83" s="236"/>
      <c r="Y83" s="236"/>
      <c r="Z83" s="11"/>
      <c r="AB83" s="249" t="s">
        <v>96</v>
      </c>
      <c r="AC83" s="84" t="n">
        <f aca="false">AC82*K29</f>
        <v>0</v>
      </c>
      <c r="AD83" s="12"/>
      <c r="AE83" s="12" t="n">
        <f aca="false">AC83+AC81</f>
        <v>0</v>
      </c>
      <c r="AF83" s="236"/>
      <c r="AG83" s="236"/>
      <c r="AH83" s="236"/>
      <c r="AI83" s="11"/>
    </row>
    <row r="84" customFormat="false" ht="17.35" hidden="false" customHeight="false" outlineLevel="0" collapsed="false">
      <c r="A84" s="218" t="s">
        <v>103</v>
      </c>
      <c r="B84" s="88" t="n">
        <v>0</v>
      </c>
      <c r="C84" s="12"/>
      <c r="D84" s="12" t="n">
        <f aca="false">B84</f>
        <v>0</v>
      </c>
      <c r="E84" s="236"/>
      <c r="F84" s="236"/>
      <c r="G84" s="236"/>
      <c r="H84" s="11"/>
      <c r="J84" s="218" t="s">
        <v>103</v>
      </c>
      <c r="K84" s="88" t="n">
        <v>0</v>
      </c>
      <c r="L84" s="12"/>
      <c r="M84" s="12" t="n">
        <f aca="false">K84</f>
        <v>0</v>
      </c>
      <c r="N84" s="236"/>
      <c r="O84" s="236"/>
      <c r="P84" s="236"/>
      <c r="Q84" s="11"/>
      <c r="S84" s="218" t="s">
        <v>103</v>
      </c>
      <c r="T84" s="88" t="n">
        <v>0</v>
      </c>
      <c r="U84" s="12"/>
      <c r="V84" s="12" t="n">
        <f aca="false">T84</f>
        <v>0</v>
      </c>
      <c r="W84" s="236"/>
      <c r="X84" s="236"/>
      <c r="Y84" s="236"/>
      <c r="Z84" s="11"/>
      <c r="AB84" s="218" t="s">
        <v>103</v>
      </c>
      <c r="AC84" s="88" t="n">
        <v>0</v>
      </c>
      <c r="AD84" s="12"/>
      <c r="AE84" s="12" t="n">
        <f aca="false">AC84</f>
        <v>0</v>
      </c>
      <c r="AF84" s="236"/>
      <c r="AG84" s="236"/>
      <c r="AH84" s="236"/>
      <c r="AI84" s="11"/>
    </row>
    <row r="85" customFormat="false" ht="17.35" hidden="false" customHeight="false" outlineLevel="0" collapsed="false">
      <c r="A85" s="267" t="s">
        <v>104</v>
      </c>
      <c r="B85" s="97" t="n">
        <v>0</v>
      </c>
      <c r="C85" s="12"/>
      <c r="D85" s="12" t="n">
        <f aca="false">B85</f>
        <v>0</v>
      </c>
      <c r="E85" s="236"/>
      <c r="F85" s="12"/>
      <c r="G85" s="236"/>
      <c r="H85" s="11"/>
      <c r="J85" s="267" t="s">
        <v>104</v>
      </c>
      <c r="K85" s="97" t="n">
        <v>0</v>
      </c>
      <c r="L85" s="12"/>
      <c r="M85" s="12" t="n">
        <f aca="false">K85</f>
        <v>0</v>
      </c>
      <c r="N85" s="236"/>
      <c r="O85" s="236"/>
      <c r="P85" s="236"/>
      <c r="Q85" s="11"/>
      <c r="S85" s="267" t="s">
        <v>104</v>
      </c>
      <c r="T85" s="97" t="n">
        <v>0</v>
      </c>
      <c r="U85" s="12"/>
      <c r="V85" s="12" t="n">
        <f aca="false">T85</f>
        <v>0</v>
      </c>
      <c r="W85" s="236"/>
      <c r="X85" s="236"/>
      <c r="Y85" s="236"/>
      <c r="Z85" s="11"/>
      <c r="AB85" s="267" t="s">
        <v>104</v>
      </c>
      <c r="AC85" s="97" t="n">
        <v>0</v>
      </c>
      <c r="AD85" s="12"/>
      <c r="AE85" s="12" t="n">
        <f aca="false">AC85</f>
        <v>0</v>
      </c>
      <c r="AF85" s="236"/>
      <c r="AG85" s="236"/>
      <c r="AH85" s="236"/>
      <c r="AI85" s="11"/>
    </row>
    <row r="86" customFormat="false" ht="17.35" hidden="false" customHeight="false" outlineLevel="0" collapsed="false">
      <c r="A86" s="271" t="s">
        <v>105</v>
      </c>
      <c r="B86" s="272" t="n">
        <f aca="false">SUM(D74:D85)</f>
        <v>0</v>
      </c>
      <c r="C86" s="12"/>
      <c r="D86" s="12"/>
      <c r="E86" s="236"/>
      <c r="F86" s="12"/>
      <c r="G86" s="12"/>
      <c r="H86" s="11"/>
      <c r="J86" s="271" t="s">
        <v>105</v>
      </c>
      <c r="K86" s="272" t="n">
        <f aca="false">SUM(M74:M85)</f>
        <v>0</v>
      </c>
      <c r="L86" s="12"/>
      <c r="M86" s="12"/>
      <c r="N86" s="236"/>
      <c r="O86" s="236"/>
      <c r="P86" s="236"/>
      <c r="Q86" s="11"/>
      <c r="S86" s="271" t="s">
        <v>105</v>
      </c>
      <c r="T86" s="272" t="n">
        <f aca="false">SUM(V74:V85)</f>
        <v>0</v>
      </c>
      <c r="U86" s="12"/>
      <c r="V86" s="12"/>
      <c r="W86" s="236"/>
      <c r="X86" s="236"/>
      <c r="Y86" s="236"/>
      <c r="Z86" s="11"/>
      <c r="AB86" s="271" t="s">
        <v>105</v>
      </c>
      <c r="AC86" s="272" t="n">
        <f aca="false">SUM(AE74:AE85)</f>
        <v>0</v>
      </c>
      <c r="AD86" s="12"/>
      <c r="AE86" s="12"/>
      <c r="AF86" s="236"/>
      <c r="AG86" s="236"/>
      <c r="AH86" s="236"/>
      <c r="AI86" s="11"/>
    </row>
    <row r="87" customFormat="false" ht="17.35" hidden="false" customHeight="false" outlineLevel="0" collapsed="false">
      <c r="A87" s="221" t="s">
        <v>106</v>
      </c>
      <c r="B87" s="11" t="n">
        <f aca="false">B86/K29</f>
        <v>0</v>
      </c>
      <c r="C87" s="12"/>
      <c r="D87" s="12"/>
      <c r="E87" s="236"/>
      <c r="F87" s="236"/>
      <c r="G87" s="236"/>
      <c r="H87" s="11"/>
      <c r="J87" s="221" t="s">
        <v>106</v>
      </c>
      <c r="K87" s="11" t="n">
        <f aca="false">K86/K29</f>
        <v>0</v>
      </c>
      <c r="L87" s="12"/>
      <c r="M87" s="12"/>
      <c r="N87" s="236"/>
      <c r="O87" s="236"/>
      <c r="P87" s="236"/>
      <c r="Q87" s="11"/>
      <c r="S87" s="221" t="s">
        <v>106</v>
      </c>
      <c r="T87" s="11" t="n">
        <f aca="false">T86/K29</f>
        <v>0</v>
      </c>
      <c r="U87" s="12"/>
      <c r="V87" s="12"/>
      <c r="W87" s="236"/>
      <c r="X87" s="236"/>
      <c r="Y87" s="236"/>
      <c r="Z87" s="11"/>
      <c r="AB87" s="221" t="s">
        <v>106</v>
      </c>
      <c r="AC87" s="11" t="n">
        <f aca="false">AC86/K29</f>
        <v>0</v>
      </c>
      <c r="AD87" s="12"/>
      <c r="AE87" s="12"/>
      <c r="AF87" s="236"/>
      <c r="AG87" s="236"/>
      <c r="AH87" s="236"/>
      <c r="AI87" s="11"/>
    </row>
    <row r="88" customFormat="false" ht="17.35" hidden="false" customHeight="false" outlineLevel="0" collapsed="false">
      <c r="A88" s="273" t="s">
        <v>107</v>
      </c>
      <c r="B88" s="101" t="n">
        <f aca="false">K49</f>
        <v>238.924242424242</v>
      </c>
      <c r="C88" s="12"/>
      <c r="D88" s="12"/>
      <c r="E88" s="236"/>
      <c r="F88" s="236"/>
      <c r="G88" s="236"/>
      <c r="H88" s="11"/>
      <c r="J88" s="273" t="s">
        <v>107</v>
      </c>
      <c r="K88" s="101" t="n">
        <f aca="false">K47</f>
        <v>0.363636363636364</v>
      </c>
      <c r="L88" s="12"/>
      <c r="M88" s="12"/>
      <c r="N88" s="236"/>
      <c r="O88" s="236"/>
      <c r="P88" s="236"/>
      <c r="Q88" s="11"/>
      <c r="S88" s="273" t="s">
        <v>107</v>
      </c>
      <c r="T88" s="101" t="n">
        <f aca="false">B60</f>
        <v>238.924242424242</v>
      </c>
      <c r="U88" s="12"/>
      <c r="V88" s="12"/>
      <c r="W88" s="236"/>
      <c r="X88" s="236"/>
      <c r="Y88" s="236"/>
      <c r="Z88" s="11"/>
      <c r="AB88" s="273" t="s">
        <v>107</v>
      </c>
      <c r="AC88" s="101" t="n">
        <f aca="false">B60</f>
        <v>238.924242424242</v>
      </c>
      <c r="AD88" s="12"/>
      <c r="AE88" s="12"/>
      <c r="AF88" s="236"/>
      <c r="AG88" s="236"/>
      <c r="AH88" s="236"/>
      <c r="AI88" s="11"/>
    </row>
    <row r="89" customFormat="false" ht="17.35" hidden="false" customHeight="false" outlineLevel="0" collapsed="false">
      <c r="A89" s="221"/>
      <c r="B89" s="12"/>
      <c r="C89" s="12"/>
      <c r="D89" s="12"/>
      <c r="E89" s="236"/>
      <c r="F89" s="236"/>
      <c r="G89" s="236"/>
      <c r="H89" s="11"/>
      <c r="J89" s="221"/>
      <c r="K89" s="12"/>
      <c r="L89" s="12"/>
      <c r="M89" s="12"/>
      <c r="N89" s="236"/>
      <c r="O89" s="236"/>
      <c r="P89" s="236"/>
      <c r="Q89" s="11"/>
      <c r="S89" s="221"/>
      <c r="T89" s="12"/>
      <c r="U89" s="12"/>
      <c r="V89" s="12"/>
      <c r="W89" s="236"/>
      <c r="X89" s="236"/>
      <c r="Y89" s="236"/>
      <c r="Z89" s="11"/>
      <c r="AB89" s="221"/>
      <c r="AC89" s="12"/>
      <c r="AD89" s="12"/>
      <c r="AE89" s="12"/>
      <c r="AF89" s="236"/>
      <c r="AG89" s="236"/>
      <c r="AH89" s="236"/>
      <c r="AI89" s="11"/>
    </row>
    <row r="90" customFormat="false" ht="17.35" hidden="false" customHeight="false" outlineLevel="0" collapsed="false">
      <c r="A90" s="238" t="s">
        <v>210</v>
      </c>
      <c r="B90" s="102" t="n">
        <f aca="false">F37</f>
        <v>47877.5</v>
      </c>
      <c r="C90" s="12"/>
      <c r="D90" s="12"/>
      <c r="E90" s="236"/>
      <c r="F90" s="236"/>
      <c r="G90" s="236"/>
      <c r="H90" s="11"/>
      <c r="J90" s="238" t="s">
        <v>210</v>
      </c>
      <c r="K90" s="102" t="n">
        <f aca="false">P167</f>
        <v>37655</v>
      </c>
      <c r="L90" s="12"/>
      <c r="M90" s="12"/>
      <c r="N90" s="236"/>
      <c r="O90" s="236"/>
      <c r="P90" s="236"/>
      <c r="Q90" s="11"/>
      <c r="S90" s="238" t="s">
        <v>210</v>
      </c>
      <c r="T90" s="102" t="n">
        <f aca="false">Y167</f>
        <v>45468.749</v>
      </c>
      <c r="U90" s="12"/>
      <c r="V90" s="12"/>
      <c r="W90" s="236"/>
      <c r="X90" s="236"/>
      <c r="Y90" s="236"/>
      <c r="Z90" s="11"/>
      <c r="AB90" s="238" t="s">
        <v>210</v>
      </c>
      <c r="AC90" s="102" t="n">
        <f aca="false">AH167</f>
        <v>45468.749</v>
      </c>
      <c r="AD90" s="12"/>
      <c r="AE90" s="12"/>
      <c r="AF90" s="236"/>
      <c r="AG90" s="236"/>
      <c r="AH90" s="236"/>
      <c r="AI90" s="11"/>
    </row>
    <row r="91" customFormat="false" ht="17.35" hidden="false" customHeight="false" outlineLevel="0" collapsed="false">
      <c r="A91" s="221" t="s">
        <v>211</v>
      </c>
      <c r="B91" s="11" t="str">
        <f aca="false">IF(A120 = "Yes", A43, 0)</f>
        <v>6000</v>
      </c>
      <c r="C91" s="12"/>
      <c r="D91" s="12"/>
      <c r="E91" s="236"/>
      <c r="F91" s="236"/>
      <c r="G91" s="236"/>
      <c r="H91" s="11"/>
      <c r="J91" s="221" t="s">
        <v>211</v>
      </c>
      <c r="K91" s="11" t="n">
        <f aca="false">IF(J120 = "YES", A40, 0)</f>
        <v>0</v>
      </c>
      <c r="L91" s="12"/>
      <c r="M91" s="12"/>
      <c r="N91" s="236"/>
      <c r="O91" s="236"/>
      <c r="P91" s="236"/>
      <c r="Q91" s="11"/>
      <c r="S91" s="221" t="s">
        <v>211</v>
      </c>
      <c r="T91" s="11" t="str">
        <f aca="false">A40</f>
        <v>12</v>
      </c>
      <c r="U91" s="12"/>
      <c r="V91" s="12"/>
      <c r="W91" s="236"/>
      <c r="X91" s="236"/>
      <c r="Y91" s="236"/>
      <c r="Z91" s="11"/>
      <c r="AB91" s="221" t="s">
        <v>211</v>
      </c>
      <c r="AC91" s="11" t="str">
        <f aca="false">A40</f>
        <v>12</v>
      </c>
      <c r="AD91" s="12"/>
      <c r="AE91" s="12"/>
      <c r="AF91" s="236"/>
      <c r="AG91" s="236"/>
      <c r="AH91" s="236"/>
      <c r="AI91" s="11"/>
    </row>
    <row r="92" customFormat="false" ht="17.35" hidden="false" customHeight="false" outlineLevel="0" collapsed="false">
      <c r="A92" s="221" t="s">
        <v>212</v>
      </c>
      <c r="B92" s="269" t="n">
        <f aca="false">B71+B72+B73</f>
        <v>0.137</v>
      </c>
      <c r="C92" s="12"/>
      <c r="D92" s="12"/>
      <c r="E92" s="236"/>
      <c r="F92" s="236"/>
      <c r="G92" s="236"/>
      <c r="H92" s="11"/>
      <c r="J92" s="221" t="s">
        <v>212</v>
      </c>
      <c r="K92" s="269" t="n">
        <f aca="false">K71+K72+K73</f>
        <v>0.24</v>
      </c>
      <c r="L92" s="12"/>
      <c r="M92" s="12"/>
      <c r="N92" s="236"/>
      <c r="O92" s="236"/>
      <c r="P92" s="236"/>
      <c r="Q92" s="11"/>
      <c r="S92" s="221" t="s">
        <v>212</v>
      </c>
      <c r="T92" s="269" t="n">
        <f aca="false">T71+T72+T73</f>
        <v>0.1235</v>
      </c>
      <c r="U92" s="12"/>
      <c r="V92" s="12"/>
      <c r="W92" s="236"/>
      <c r="X92" s="236"/>
      <c r="Y92" s="236"/>
      <c r="Z92" s="11"/>
      <c r="AB92" s="221" t="s">
        <v>212</v>
      </c>
      <c r="AC92" s="269" t="n">
        <f aca="false">AC71+AC72+AC73</f>
        <v>0.1235</v>
      </c>
      <c r="AD92" s="12"/>
      <c r="AE92" s="12"/>
      <c r="AF92" s="236"/>
      <c r="AG92" s="236"/>
      <c r="AH92" s="236"/>
      <c r="AI92" s="11"/>
    </row>
    <row r="93" customFormat="false" ht="17.35" hidden="false" customHeight="false" outlineLevel="0" collapsed="false">
      <c r="A93" s="221" t="s">
        <v>213</v>
      </c>
      <c r="B93" s="269" t="n">
        <f aca="false">B92/12</f>
        <v>0.0114166666666667</v>
      </c>
      <c r="C93" s="12"/>
      <c r="D93" s="12"/>
      <c r="E93" s="236"/>
      <c r="F93" s="236"/>
      <c r="G93" s="236"/>
      <c r="H93" s="11"/>
      <c r="J93" s="221" t="s">
        <v>213</v>
      </c>
      <c r="K93" s="269" t="n">
        <f aca="false">K92/12</f>
        <v>0.02</v>
      </c>
      <c r="L93" s="12"/>
      <c r="M93" s="12"/>
      <c r="N93" s="236"/>
      <c r="O93" s="236"/>
      <c r="P93" s="236"/>
      <c r="Q93" s="11"/>
      <c r="S93" s="221" t="s">
        <v>213</v>
      </c>
      <c r="T93" s="269" t="n">
        <f aca="false">T92/12</f>
        <v>0.0102916666666667</v>
      </c>
      <c r="U93" s="12"/>
      <c r="V93" s="12"/>
      <c r="W93" s="236"/>
      <c r="X93" s="236"/>
      <c r="Y93" s="236"/>
      <c r="Z93" s="11"/>
      <c r="AB93" s="221" t="s">
        <v>213</v>
      </c>
      <c r="AC93" s="269" t="n">
        <f aca="false">AC92/12</f>
        <v>0.0102916666666667</v>
      </c>
      <c r="AD93" s="12"/>
      <c r="AE93" s="12"/>
      <c r="AF93" s="236"/>
      <c r="AG93" s="236"/>
      <c r="AH93" s="236"/>
      <c r="AI93" s="11"/>
    </row>
    <row r="94" customFormat="false" ht="17.35" hidden="false" customHeight="false" outlineLevel="0" collapsed="false">
      <c r="A94" s="221" t="s">
        <v>214</v>
      </c>
      <c r="B94" s="11" t="n">
        <f aca="false">IF(B91=0, (B68+B67), (B68))</f>
        <v>32</v>
      </c>
      <c r="C94" s="12"/>
      <c r="D94" s="12"/>
      <c r="E94" s="236"/>
      <c r="F94" s="236"/>
      <c r="G94" s="236"/>
      <c r="H94" s="11"/>
      <c r="J94" s="221" t="s">
        <v>214</v>
      </c>
      <c r="K94" s="11" t="n">
        <f aca="false">IF(K91=0, (K68+K67), (K68))</f>
        <v>33</v>
      </c>
      <c r="L94" s="12"/>
      <c r="M94" s="12"/>
      <c r="N94" s="236"/>
      <c r="O94" s="236"/>
      <c r="P94" s="236"/>
      <c r="Q94" s="11"/>
      <c r="S94" s="221" t="s">
        <v>214</v>
      </c>
      <c r="T94" s="11" t="n">
        <f aca="false">T68</f>
        <v>32</v>
      </c>
      <c r="U94" s="12"/>
      <c r="V94" s="12"/>
      <c r="W94" s="236"/>
      <c r="X94" s="236"/>
      <c r="Y94" s="236"/>
      <c r="Z94" s="11"/>
      <c r="AB94" s="221" t="s">
        <v>214</v>
      </c>
      <c r="AC94" s="11" t="n">
        <f aca="false">AC68</f>
        <v>32</v>
      </c>
      <c r="AD94" s="12"/>
      <c r="AE94" s="12"/>
      <c r="AF94" s="236"/>
      <c r="AG94" s="236"/>
      <c r="AH94" s="236"/>
      <c r="AI94" s="11"/>
    </row>
    <row r="95" customFormat="false" ht="17.35" hidden="false" customHeight="false" outlineLevel="0" collapsed="false">
      <c r="A95" s="221" t="s">
        <v>215</v>
      </c>
      <c r="B95" s="11" t="n">
        <f aca="false">(B91/((1+B93)^(B94+1)))</f>
        <v>4125.32107917265</v>
      </c>
      <c r="C95" s="12"/>
      <c r="D95" s="12"/>
      <c r="E95" s="236"/>
      <c r="F95" s="236"/>
      <c r="G95" s="236"/>
      <c r="H95" s="11"/>
      <c r="J95" s="221" t="s">
        <v>215</v>
      </c>
      <c r="K95" s="11" t="n">
        <f aca="false">(K91/((1+K93)^(K94+1)))</f>
        <v>0</v>
      </c>
      <c r="L95" s="12"/>
      <c r="M95" s="12"/>
      <c r="N95" s="236"/>
      <c r="O95" s="236"/>
      <c r="P95" s="236"/>
      <c r="Q95" s="11"/>
      <c r="S95" s="221" t="s">
        <v>215</v>
      </c>
      <c r="T95" s="11" t="n">
        <f aca="false">(T91/((1+T93)^(T94+1)))</f>
        <v>8.55929138316766</v>
      </c>
      <c r="U95" s="12"/>
      <c r="V95" s="12"/>
      <c r="W95" s="236"/>
      <c r="X95" s="236"/>
      <c r="Y95" s="236"/>
      <c r="Z95" s="11"/>
      <c r="AB95" s="221" t="s">
        <v>215</v>
      </c>
      <c r="AC95" s="11" t="n">
        <f aca="false">(AC91/((1+AC93)^(AC94+1)))</f>
        <v>8.55929138316766</v>
      </c>
      <c r="AD95" s="12"/>
      <c r="AE95" s="12"/>
      <c r="AF95" s="236"/>
      <c r="AG95" s="236"/>
      <c r="AH95" s="236"/>
      <c r="AI95" s="11"/>
    </row>
    <row r="96" customFormat="false" ht="17.35" hidden="false" customHeight="false" outlineLevel="0" collapsed="false">
      <c r="A96" s="221" t="s">
        <v>216</v>
      </c>
      <c r="B96" s="11" t="n">
        <f aca="false">((1-(1/((1+B93)^B94)))/B93)</f>
        <v>26.6800219733353</v>
      </c>
      <c r="C96" s="12"/>
      <c r="D96" s="12"/>
      <c r="E96" s="236"/>
      <c r="F96" s="236"/>
      <c r="G96" s="236"/>
      <c r="H96" s="11"/>
      <c r="J96" s="221" t="s">
        <v>216</v>
      </c>
      <c r="K96" s="11" t="n">
        <f aca="false">((1-(1/((1+K93)^K94)))/K93)</f>
        <v>23.9885635530494</v>
      </c>
      <c r="L96" s="12"/>
      <c r="M96" s="12"/>
      <c r="N96" s="236"/>
      <c r="O96" s="236"/>
      <c r="P96" s="236"/>
      <c r="Q96" s="11"/>
      <c r="S96" s="221" t="s">
        <v>216</v>
      </c>
      <c r="T96" s="11" t="n">
        <f aca="false">((1-(1/((1+T93)^T94)))/T93)</f>
        <v>27.1467145183312</v>
      </c>
      <c r="U96" s="12"/>
      <c r="V96" s="12"/>
      <c r="W96" s="236"/>
      <c r="X96" s="236"/>
      <c r="Y96" s="236"/>
      <c r="Z96" s="11"/>
      <c r="AB96" s="221" t="s">
        <v>216</v>
      </c>
      <c r="AC96" s="11" t="n">
        <f aca="false">((1-(1/((1+AC93)^AC94)))/AC93)</f>
        <v>27.1467145183312</v>
      </c>
      <c r="AD96" s="12"/>
      <c r="AE96" s="12"/>
      <c r="AF96" s="236"/>
      <c r="AG96" s="236"/>
      <c r="AH96" s="236"/>
      <c r="AI96" s="11"/>
    </row>
    <row r="97" customFormat="false" ht="17.35" hidden="false" customHeight="false" outlineLevel="0" collapsed="false">
      <c r="A97" s="221" t="s">
        <v>217</v>
      </c>
      <c r="B97" s="11" t="n">
        <f aca="false">B90-B95</f>
        <v>43752.1789208274</v>
      </c>
      <c r="C97" s="12"/>
      <c r="D97" s="12"/>
      <c r="E97" s="236"/>
      <c r="F97" s="236"/>
      <c r="G97" s="236"/>
      <c r="H97" s="11"/>
      <c r="J97" s="221" t="s">
        <v>217</v>
      </c>
      <c r="K97" s="11" t="n">
        <f aca="false">K90-K95</f>
        <v>37655</v>
      </c>
      <c r="L97" s="12"/>
      <c r="M97" s="12"/>
      <c r="N97" s="236"/>
      <c r="O97" s="236"/>
      <c r="P97" s="236"/>
      <c r="Q97" s="11"/>
      <c r="S97" s="221" t="s">
        <v>217</v>
      </c>
      <c r="T97" s="11" t="n">
        <f aca="false">T90-T95</f>
        <v>45460.1897086168</v>
      </c>
      <c r="U97" s="12"/>
      <c r="V97" s="12"/>
      <c r="W97" s="236"/>
      <c r="X97" s="236"/>
      <c r="Y97" s="236"/>
      <c r="Z97" s="11"/>
      <c r="AB97" s="221" t="s">
        <v>217</v>
      </c>
      <c r="AC97" s="11" t="n">
        <f aca="false">AC90-AC95</f>
        <v>45460.1897086168</v>
      </c>
      <c r="AD97" s="12"/>
      <c r="AE97" s="12"/>
      <c r="AF97" s="236"/>
      <c r="AG97" s="236"/>
      <c r="AH97" s="236"/>
      <c r="AI97" s="11"/>
    </row>
    <row r="98" customFormat="false" ht="17.35" hidden="false" customHeight="false" outlineLevel="0" collapsed="false">
      <c r="A98" s="221" t="s">
        <v>218</v>
      </c>
      <c r="B98" s="11" t="n">
        <f aca="false">(B97/B96)</f>
        <v>1639.88541555755</v>
      </c>
      <c r="C98" s="12"/>
      <c r="D98" s="12"/>
      <c r="E98" s="236"/>
      <c r="F98" s="236"/>
      <c r="G98" s="236"/>
      <c r="H98" s="11"/>
      <c r="J98" s="221" t="s">
        <v>218</v>
      </c>
      <c r="K98" s="11" t="n">
        <f aca="false">(K97/K96)</f>
        <v>1569.706327631</v>
      </c>
      <c r="L98" s="12"/>
      <c r="M98" s="12"/>
      <c r="N98" s="236"/>
      <c r="O98" s="236"/>
      <c r="P98" s="236"/>
      <c r="Q98" s="11"/>
      <c r="S98" s="221" t="s">
        <v>218</v>
      </c>
      <c r="T98" s="11" t="n">
        <f aca="false">(T97/T96)</f>
        <v>1674.61110912406</v>
      </c>
      <c r="U98" s="12"/>
      <c r="V98" s="12"/>
      <c r="W98" s="236"/>
      <c r="X98" s="236"/>
      <c r="Y98" s="236"/>
      <c r="Z98" s="11"/>
      <c r="AB98" s="221" t="s">
        <v>218</v>
      </c>
      <c r="AC98" s="11" t="n">
        <f aca="false">(AC97/AC96)</f>
        <v>1674.61110912406</v>
      </c>
      <c r="AD98" s="12"/>
      <c r="AE98" s="12"/>
      <c r="AF98" s="236"/>
      <c r="AG98" s="236"/>
      <c r="AH98" s="236"/>
      <c r="AI98" s="11"/>
    </row>
    <row r="99" customFormat="false" ht="17.35" hidden="false" customHeight="false" outlineLevel="0" collapsed="false">
      <c r="A99" s="221" t="s">
        <v>108</v>
      </c>
      <c r="B99" s="11" t="n">
        <f aca="false">((B98*(B94))+B86)</f>
        <v>52476.3332978415</v>
      </c>
      <c r="C99" s="12"/>
      <c r="D99" s="12"/>
      <c r="E99" s="236"/>
      <c r="F99" s="236"/>
      <c r="G99" s="236"/>
      <c r="H99" s="11"/>
      <c r="J99" s="221" t="s">
        <v>108</v>
      </c>
      <c r="K99" s="11" t="n">
        <f aca="false">((K98*(K94))+K86)</f>
        <v>51800.308811823</v>
      </c>
      <c r="L99" s="12"/>
      <c r="M99" s="12"/>
      <c r="N99" s="236"/>
      <c r="O99" s="236"/>
      <c r="P99" s="236"/>
      <c r="Q99" s="11"/>
      <c r="S99" s="221" t="s">
        <v>108</v>
      </c>
      <c r="T99" s="11" t="n">
        <f aca="false">(T98*(T94))+T86</f>
        <v>53587.5554919699</v>
      </c>
      <c r="U99" s="12"/>
      <c r="V99" s="12"/>
      <c r="W99" s="236"/>
      <c r="X99" s="236"/>
      <c r="Y99" s="236"/>
      <c r="Z99" s="11"/>
      <c r="AB99" s="221" t="s">
        <v>108</v>
      </c>
      <c r="AC99" s="11" t="n">
        <f aca="false">(AC98*(AC68))+AC86</f>
        <v>53587.5554919699</v>
      </c>
      <c r="AD99" s="12"/>
      <c r="AE99" s="12"/>
      <c r="AF99" s="236"/>
      <c r="AG99" s="236"/>
      <c r="AH99" s="236"/>
      <c r="AI99" s="11"/>
    </row>
    <row r="100" customFormat="false" ht="17.35" hidden="false" customHeight="false" outlineLevel="0" collapsed="false">
      <c r="A100" s="221" t="s">
        <v>109</v>
      </c>
      <c r="B100" s="11" t="n">
        <f aca="false">(((B98*(B94))+B86)/(1-B80))*B80</f>
        <v>0</v>
      </c>
      <c r="C100" s="12"/>
      <c r="D100" s="12"/>
      <c r="E100" s="236"/>
      <c r="F100" s="236"/>
      <c r="G100" s="236"/>
      <c r="H100" s="11"/>
      <c r="J100" s="221" t="s">
        <v>109</v>
      </c>
      <c r="K100" s="11" t="n">
        <f aca="false">(K99/(1-K80))*K80</f>
        <v>0</v>
      </c>
      <c r="L100" s="12"/>
      <c r="M100" s="12"/>
      <c r="N100" s="236"/>
      <c r="O100" s="236"/>
      <c r="P100" s="236"/>
      <c r="Q100" s="11"/>
      <c r="S100" s="221" t="s">
        <v>109</v>
      </c>
      <c r="T100" s="11" t="n">
        <f aca="false">(T99/(1-T80))*T80</f>
        <v>0</v>
      </c>
      <c r="U100" s="12"/>
      <c r="V100" s="12"/>
      <c r="W100" s="236"/>
      <c r="X100" s="236"/>
      <c r="Y100" s="236"/>
      <c r="Z100" s="11"/>
      <c r="AB100" s="221" t="s">
        <v>109</v>
      </c>
      <c r="AC100" s="11" t="n">
        <f aca="false">(AC99/(1-AC80))*AC80</f>
        <v>0</v>
      </c>
      <c r="AD100" s="12"/>
      <c r="AE100" s="12"/>
      <c r="AF100" s="236"/>
      <c r="AG100" s="236"/>
      <c r="AH100" s="236"/>
      <c r="AI100" s="11"/>
    </row>
    <row r="101" customFormat="false" ht="17.35" hidden="false" customHeight="false" outlineLevel="0" collapsed="false">
      <c r="A101" s="249" t="s">
        <v>110</v>
      </c>
      <c r="B101" s="84" t="n">
        <f aca="false">(B99+B100)</f>
        <v>52476.3332978415</v>
      </c>
      <c r="C101" s="12"/>
      <c r="D101" s="12"/>
      <c r="E101" s="236"/>
      <c r="F101" s="236"/>
      <c r="G101" s="236"/>
      <c r="H101" s="11"/>
      <c r="J101" s="249" t="s">
        <v>110</v>
      </c>
      <c r="K101" s="84" t="n">
        <f aca="false">(K99+K100)</f>
        <v>51800.308811823</v>
      </c>
      <c r="L101" s="12"/>
      <c r="M101" s="12"/>
      <c r="N101" s="236"/>
      <c r="O101" s="236"/>
      <c r="P101" s="236"/>
      <c r="Q101" s="11"/>
      <c r="S101" s="249" t="s">
        <v>110</v>
      </c>
      <c r="T101" s="84" t="n">
        <f aca="false">(T99+T100)</f>
        <v>53587.5554919699</v>
      </c>
      <c r="U101" s="12"/>
      <c r="V101" s="12"/>
      <c r="W101" s="236"/>
      <c r="X101" s="236"/>
      <c r="Y101" s="236"/>
      <c r="Z101" s="11"/>
      <c r="AB101" s="249" t="s">
        <v>110</v>
      </c>
      <c r="AC101" s="84" t="n">
        <f aca="false">(AC99+AC100)</f>
        <v>53587.5554919699</v>
      </c>
      <c r="AD101" s="12"/>
      <c r="AE101" s="12"/>
      <c r="AF101" s="236"/>
      <c r="AG101" s="236"/>
      <c r="AH101" s="236"/>
      <c r="AI101" s="11"/>
    </row>
    <row r="102" customFormat="false" ht="17.35" hidden="false" customHeight="false" outlineLevel="0" collapsed="false">
      <c r="A102" s="221"/>
      <c r="B102" s="12"/>
      <c r="C102" s="12"/>
      <c r="D102" s="12"/>
      <c r="E102" s="236"/>
      <c r="F102" s="236"/>
      <c r="G102" s="236"/>
      <c r="H102" s="11"/>
      <c r="J102" s="221"/>
      <c r="K102" s="12"/>
      <c r="L102" s="12"/>
      <c r="M102" s="12"/>
      <c r="N102" s="236"/>
      <c r="O102" s="236"/>
      <c r="P102" s="236"/>
      <c r="Q102" s="11"/>
      <c r="S102" s="221"/>
      <c r="T102" s="12"/>
      <c r="U102" s="12"/>
      <c r="V102" s="12"/>
      <c r="W102" s="236"/>
      <c r="X102" s="236"/>
      <c r="Y102" s="236"/>
      <c r="Z102" s="11"/>
      <c r="AB102" s="221"/>
      <c r="AC102" s="12"/>
      <c r="AD102" s="12"/>
      <c r="AE102" s="12"/>
      <c r="AF102" s="236"/>
      <c r="AG102" s="236"/>
      <c r="AH102" s="236"/>
      <c r="AI102" s="11"/>
    </row>
    <row r="103" customFormat="false" ht="17.35" hidden="false" customHeight="false" outlineLevel="0" collapsed="false">
      <c r="A103" s="271" t="s">
        <v>65</v>
      </c>
      <c r="B103" s="272" t="n">
        <f aca="false">((A46 * A34) + ((A46 * A34)*A117))/(B68)*1.2</f>
        <v>0</v>
      </c>
      <c r="C103" s="12"/>
      <c r="D103" s="12"/>
      <c r="E103" s="236"/>
      <c r="F103" s="236"/>
      <c r="G103" s="236"/>
      <c r="H103" s="11"/>
      <c r="J103" s="271" t="s">
        <v>65</v>
      </c>
      <c r="K103" s="272" t="n">
        <f aca="false">((E40/K94)*(1+J117))*1.2</f>
        <v>0</v>
      </c>
      <c r="L103" s="12"/>
      <c r="M103" s="12"/>
      <c r="N103" s="236"/>
      <c r="O103" s="236"/>
      <c r="P103" s="236"/>
      <c r="Q103" s="11"/>
      <c r="S103" s="271" t="s">
        <v>65</v>
      </c>
      <c r="T103" s="272" t="n">
        <f aca="false">((E40/T94)*(1+S117))</f>
        <v>0</v>
      </c>
      <c r="U103" s="12"/>
      <c r="V103" s="12"/>
      <c r="W103" s="236"/>
      <c r="X103" s="236"/>
      <c r="Y103" s="236"/>
      <c r="Z103" s="11"/>
      <c r="AB103" s="271" t="s">
        <v>65</v>
      </c>
      <c r="AC103" s="272" t="n">
        <f aca="false">((E40/AC94)*(1+AB117))*1.2</f>
        <v>0</v>
      </c>
      <c r="AD103" s="12"/>
      <c r="AE103" s="12"/>
      <c r="AF103" s="236"/>
      <c r="AG103" s="236"/>
      <c r="AH103" s="236"/>
      <c r="AI103" s="11"/>
    </row>
    <row r="104" customFormat="false" ht="17.35" hidden="false" customHeight="false" outlineLevel="0" collapsed="false">
      <c r="A104" s="274" t="s">
        <v>111</v>
      </c>
      <c r="B104" s="275" t="n">
        <f aca="false">B101/(B94)</f>
        <v>1639.88541555755</v>
      </c>
      <c r="C104" s="12"/>
      <c r="D104" s="12"/>
      <c r="E104" s="236"/>
      <c r="F104" s="236"/>
      <c r="G104" s="236"/>
      <c r="H104" s="11"/>
      <c r="J104" s="274" t="s">
        <v>111</v>
      </c>
      <c r="K104" s="275" t="n">
        <f aca="false">K101/(K94)</f>
        <v>1569.706327631</v>
      </c>
      <c r="L104" s="12"/>
      <c r="M104" s="12"/>
      <c r="N104" s="236"/>
      <c r="O104" s="236"/>
      <c r="P104" s="236"/>
      <c r="Q104" s="11"/>
      <c r="S104" s="274" t="s">
        <v>111</v>
      </c>
      <c r="T104" s="275" t="n">
        <f aca="false">T101/(T94)</f>
        <v>1674.61110912406</v>
      </c>
      <c r="U104" s="12"/>
      <c r="V104" s="12"/>
      <c r="W104" s="236"/>
      <c r="X104" s="236"/>
      <c r="Y104" s="236"/>
      <c r="Z104" s="11"/>
      <c r="AB104" s="274" t="s">
        <v>111</v>
      </c>
      <c r="AC104" s="275" t="n">
        <f aca="false">AC101/(AC68)</f>
        <v>1674.61110912406</v>
      </c>
      <c r="AD104" s="12"/>
      <c r="AE104" s="12"/>
      <c r="AF104" s="236"/>
      <c r="AG104" s="236"/>
      <c r="AH104" s="236"/>
      <c r="AI104" s="11"/>
    </row>
    <row r="105" customFormat="false" ht="17.35" hidden="false" customHeight="false" outlineLevel="0" collapsed="false">
      <c r="A105" s="276" t="s">
        <v>112</v>
      </c>
      <c r="B105" s="277" t="n">
        <f aca="false">B103+B104</f>
        <v>1639.88541555755</v>
      </c>
      <c r="C105" s="12"/>
      <c r="D105" s="12"/>
      <c r="E105" s="236" t="s">
        <v>26</v>
      </c>
      <c r="F105" s="236"/>
      <c r="G105" s="236"/>
      <c r="H105" s="11"/>
      <c r="J105" s="276" t="s">
        <v>112</v>
      </c>
      <c r="K105" s="277" t="n">
        <f aca="false">(K103+K104)</f>
        <v>1569.706327631</v>
      </c>
      <c r="L105" s="12"/>
      <c r="M105" s="12"/>
      <c r="N105" s="236"/>
      <c r="O105" s="236"/>
      <c r="P105" s="236"/>
      <c r="Q105" s="11"/>
      <c r="S105" s="276" t="s">
        <v>112</v>
      </c>
      <c r="T105" s="277" t="n">
        <f aca="false">T103+T104</f>
        <v>1674.61110912406</v>
      </c>
      <c r="U105" s="12"/>
      <c r="V105" s="12"/>
      <c r="W105" s="236"/>
      <c r="X105" s="236"/>
      <c r="Y105" s="236"/>
      <c r="Z105" s="11"/>
      <c r="AB105" s="276" t="s">
        <v>112</v>
      </c>
      <c r="AC105" s="277" t="n">
        <f aca="false">AC103+AC104</f>
        <v>1674.61110912406</v>
      </c>
      <c r="AD105" s="12"/>
      <c r="AE105" s="12"/>
      <c r="AF105" s="236"/>
      <c r="AG105" s="236"/>
      <c r="AH105" s="236"/>
      <c r="AI105" s="11"/>
    </row>
    <row r="106" customFormat="false" ht="17.35" hidden="false" customHeight="false" outlineLevel="0" collapsed="false">
      <c r="A106" s="249"/>
      <c r="B106" s="250"/>
      <c r="C106" s="250"/>
      <c r="D106" s="250"/>
      <c r="E106" s="278"/>
      <c r="F106" s="278"/>
      <c r="G106" s="278"/>
      <c r="H106" s="84"/>
      <c r="J106" s="249"/>
      <c r="K106" s="250"/>
      <c r="L106" s="250"/>
      <c r="M106" s="250"/>
      <c r="N106" s="278"/>
      <c r="O106" s="278"/>
      <c r="P106" s="278"/>
      <c r="Q106" s="84"/>
      <c r="S106" s="249"/>
      <c r="T106" s="250"/>
      <c r="U106" s="250"/>
      <c r="V106" s="250"/>
      <c r="W106" s="278"/>
      <c r="X106" s="278"/>
      <c r="Y106" s="278"/>
      <c r="Z106" s="84"/>
      <c r="AB106" s="249"/>
      <c r="AC106" s="250"/>
      <c r="AD106" s="250"/>
      <c r="AE106" s="250"/>
      <c r="AF106" s="278"/>
      <c r="AG106" s="278"/>
      <c r="AH106" s="278"/>
      <c r="AI106" s="84"/>
    </row>
    <row r="107" customFormat="false" ht="13.8" hidden="false" customHeight="false" outlineLevel="0" collapsed="false">
      <c r="A107" s="236"/>
      <c r="B107" s="236"/>
      <c r="C107" s="236"/>
      <c r="D107" s="236"/>
      <c r="E107" s="236"/>
      <c r="F107" s="236"/>
      <c r="G107" s="236"/>
      <c r="H107" s="236"/>
      <c r="J107" s="236"/>
      <c r="K107" s="236"/>
      <c r="L107" s="236"/>
      <c r="M107" s="236"/>
      <c r="N107" s="236"/>
      <c r="O107" s="236"/>
      <c r="P107" s="236"/>
      <c r="Q107" s="236"/>
      <c r="S107" s="236"/>
      <c r="T107" s="236"/>
      <c r="U107" s="236"/>
      <c r="V107" s="236"/>
      <c r="W107" s="236"/>
      <c r="X107" s="236"/>
      <c r="Y107" s="236"/>
      <c r="Z107" s="236"/>
      <c r="AB107" s="236"/>
      <c r="AC107" s="236"/>
      <c r="AD107" s="236"/>
      <c r="AE107" s="236"/>
      <c r="AF107" s="236"/>
      <c r="AG107" s="236"/>
      <c r="AH107" s="236"/>
      <c r="AI107" s="236"/>
    </row>
    <row r="108" customFormat="false" ht="13.8" hidden="false" customHeight="false" outlineLevel="0" collapsed="false">
      <c r="A108" s="236" t="n">
        <v>0.2</v>
      </c>
      <c r="B108" s="236" t="s">
        <v>219</v>
      </c>
      <c r="C108" s="236"/>
      <c r="D108" s="236"/>
      <c r="E108" s="236"/>
      <c r="F108" s="236"/>
      <c r="G108" s="236"/>
      <c r="H108" s="236"/>
      <c r="J108" s="236"/>
      <c r="K108" s="236"/>
      <c r="L108" s="236"/>
      <c r="M108" s="236"/>
      <c r="N108" s="236"/>
      <c r="O108" s="236"/>
      <c r="P108" s="236"/>
      <c r="Q108" s="236"/>
      <c r="S108" s="236"/>
      <c r="T108" s="236"/>
      <c r="U108" s="236"/>
      <c r="V108" s="236"/>
      <c r="W108" s="236"/>
      <c r="X108" s="236"/>
      <c r="Y108" s="236"/>
      <c r="Z108" s="236"/>
      <c r="AB108" s="236"/>
      <c r="AC108" s="236"/>
      <c r="AD108" s="236"/>
      <c r="AE108" s="236"/>
      <c r="AF108" s="236"/>
      <c r="AG108" s="236"/>
      <c r="AH108" s="236"/>
      <c r="AI108" s="236"/>
    </row>
    <row r="109" customFormat="false" ht="47.25" hidden="false" customHeight="true" outlineLevel="0" collapsed="false">
      <c r="A109" s="217" t="s">
        <v>220</v>
      </c>
      <c r="B109" s="217"/>
      <c r="C109" s="217"/>
      <c r="D109" s="217"/>
      <c r="E109" s="217"/>
      <c r="F109" s="217"/>
      <c r="G109" s="217"/>
      <c r="H109" s="217"/>
      <c r="J109" s="237" t="s">
        <v>221</v>
      </c>
      <c r="K109" s="237"/>
      <c r="L109" s="237"/>
      <c r="M109" s="237"/>
      <c r="N109" s="237"/>
      <c r="O109" s="237"/>
      <c r="P109" s="237"/>
      <c r="Q109" s="237"/>
      <c r="S109" s="217" t="s">
        <v>222</v>
      </c>
      <c r="T109" s="217"/>
      <c r="U109" s="217"/>
      <c r="V109" s="217"/>
      <c r="W109" s="217"/>
      <c r="X109" s="217"/>
      <c r="Y109" s="217"/>
      <c r="Z109" s="217"/>
      <c r="AB109" s="217" t="s">
        <v>223</v>
      </c>
      <c r="AC109" s="217"/>
      <c r="AD109" s="217"/>
      <c r="AE109" s="217"/>
      <c r="AF109" s="217"/>
      <c r="AG109" s="217"/>
      <c r="AH109" s="217"/>
      <c r="AI109" s="217"/>
    </row>
    <row r="110" customFormat="false" ht="17.35" hidden="false" customHeight="false" outlineLevel="0" collapsed="false">
      <c r="A110" s="238"/>
      <c r="B110" s="239"/>
      <c r="C110" s="239"/>
      <c r="D110" s="239"/>
      <c r="E110" s="262"/>
      <c r="F110" s="262"/>
      <c r="G110" s="262"/>
      <c r="H110" s="279"/>
      <c r="J110" s="238"/>
      <c r="K110" s="239"/>
      <c r="L110" s="239"/>
      <c r="M110" s="239"/>
      <c r="N110" s="262"/>
      <c r="O110" s="262"/>
      <c r="P110" s="262"/>
      <c r="Q110" s="279"/>
      <c r="S110" s="238"/>
      <c r="T110" s="239"/>
      <c r="U110" s="239"/>
      <c r="V110" s="239"/>
      <c r="W110" s="262"/>
      <c r="X110" s="262"/>
      <c r="Y110" s="262"/>
      <c r="Z110" s="279"/>
      <c r="AB110" s="238"/>
      <c r="AC110" s="239"/>
      <c r="AD110" s="239"/>
      <c r="AE110" s="239"/>
      <c r="AF110" s="262"/>
      <c r="AG110" s="262"/>
      <c r="AH110" s="262"/>
      <c r="AI110" s="279"/>
    </row>
    <row r="111" customFormat="false" ht="22.05" hidden="false" customHeight="false" outlineLevel="0" collapsed="false">
      <c r="A111" s="240" t="s">
        <v>25</v>
      </c>
      <c r="B111" s="240" t="n">
        <v>0</v>
      </c>
      <c r="C111" s="240"/>
      <c r="D111" s="240"/>
      <c r="E111" s="240" t="n">
        <v>0</v>
      </c>
      <c r="F111" s="240"/>
      <c r="G111" s="240"/>
      <c r="H111" s="240"/>
      <c r="J111" s="240" t="s">
        <v>116</v>
      </c>
      <c r="K111" s="240"/>
      <c r="L111" s="240"/>
      <c r="M111" s="240"/>
      <c r="N111" s="240"/>
      <c r="O111" s="240"/>
      <c r="P111" s="240"/>
      <c r="Q111" s="240"/>
      <c r="S111" s="240" t="s">
        <v>116</v>
      </c>
      <c r="T111" s="240"/>
      <c r="U111" s="240"/>
      <c r="V111" s="240"/>
      <c r="W111" s="240"/>
      <c r="X111" s="240"/>
      <c r="Y111" s="240"/>
      <c r="Z111" s="240"/>
      <c r="AB111" s="240" t="s">
        <v>116</v>
      </c>
      <c r="AC111" s="240"/>
      <c r="AD111" s="240"/>
      <c r="AE111" s="240"/>
      <c r="AF111" s="240"/>
      <c r="AG111" s="240"/>
      <c r="AH111" s="240"/>
      <c r="AI111" s="240"/>
    </row>
    <row r="112" customFormat="false" ht="17.35" hidden="false" customHeight="false" outlineLevel="0" collapsed="false">
      <c r="A112" s="221"/>
      <c r="B112" s="12"/>
      <c r="C112" s="12"/>
      <c r="D112" s="12"/>
      <c r="E112" s="236"/>
      <c r="F112" s="236"/>
      <c r="G112" s="236"/>
      <c r="H112" s="280"/>
      <c r="J112" s="221"/>
      <c r="K112" s="12"/>
      <c r="L112" s="12"/>
      <c r="M112" s="12"/>
      <c r="N112" s="236"/>
      <c r="O112" s="236"/>
      <c r="P112" s="236"/>
      <c r="Q112" s="280"/>
      <c r="S112" s="221"/>
      <c r="T112" s="12"/>
      <c r="U112" s="12"/>
      <c r="V112" s="12"/>
      <c r="W112" s="236"/>
      <c r="X112" s="236"/>
      <c r="Y112" s="236"/>
      <c r="Z112" s="280"/>
      <c r="AB112" s="221"/>
      <c r="AC112" s="12"/>
      <c r="AD112" s="12"/>
      <c r="AE112" s="12"/>
      <c r="AF112" s="236"/>
      <c r="AG112" s="236"/>
      <c r="AH112" s="236"/>
      <c r="AI112" s="280"/>
    </row>
    <row r="113" customFormat="false" ht="17.35" hidden="false" customHeight="false" outlineLevel="0" collapsed="false">
      <c r="A113" s="221" t="s">
        <v>118</v>
      </c>
      <c r="B113" s="12" t="s">
        <v>30</v>
      </c>
      <c r="C113" s="12"/>
      <c r="D113" s="12"/>
      <c r="E113" s="12" t="s">
        <v>130</v>
      </c>
      <c r="F113" s="12"/>
      <c r="G113" s="12"/>
      <c r="H113" s="11"/>
      <c r="J113" s="221" t="s">
        <v>118</v>
      </c>
      <c r="K113" s="12" t="s">
        <v>30</v>
      </c>
      <c r="L113" s="12"/>
      <c r="M113" s="12"/>
      <c r="N113" s="12" t="s">
        <v>130</v>
      </c>
      <c r="O113" s="12"/>
      <c r="P113" s="12"/>
      <c r="Q113" s="11"/>
      <c r="S113" s="221" t="s">
        <v>118</v>
      </c>
      <c r="T113" s="12" t="s">
        <v>30</v>
      </c>
      <c r="U113" s="12"/>
      <c r="V113" s="12"/>
      <c r="W113" s="12" t="s">
        <v>130</v>
      </c>
      <c r="X113" s="12"/>
      <c r="Y113" s="12"/>
      <c r="Z113" s="11"/>
      <c r="AB113" s="221" t="s">
        <v>118</v>
      </c>
      <c r="AC113" s="12" t="s">
        <v>30</v>
      </c>
      <c r="AD113" s="12"/>
      <c r="AE113" s="12"/>
      <c r="AF113" s="12" t="s">
        <v>130</v>
      </c>
      <c r="AG113" s="12"/>
      <c r="AH113" s="12"/>
      <c r="AI113" s="11"/>
    </row>
    <row r="114" customFormat="false" ht="17.35" hidden="false" customHeight="false" outlineLevel="0" collapsed="false">
      <c r="A114" s="241" t="s">
        <v>224</v>
      </c>
      <c r="B114" s="215" t="s">
        <v>117</v>
      </c>
      <c r="C114" s="215"/>
      <c r="D114" s="215"/>
      <c r="E114" s="42" t="s">
        <v>25</v>
      </c>
      <c r="F114" s="42"/>
      <c r="G114" s="42"/>
      <c r="H114" s="280"/>
      <c r="J114" s="241" t="s">
        <v>224</v>
      </c>
      <c r="K114" s="130" t="s">
        <v>117</v>
      </c>
      <c r="L114" s="130"/>
      <c r="M114" s="130"/>
      <c r="N114" s="42" t="s">
        <v>25</v>
      </c>
      <c r="O114" s="42"/>
      <c r="P114" s="42"/>
      <c r="Q114" s="280"/>
      <c r="S114" s="241" t="s">
        <v>224</v>
      </c>
      <c r="T114" s="215" t="s">
        <v>117</v>
      </c>
      <c r="U114" s="215"/>
      <c r="V114" s="215"/>
      <c r="W114" s="42" t="s">
        <v>25</v>
      </c>
      <c r="X114" s="42"/>
      <c r="Y114" s="42"/>
      <c r="Z114" s="280"/>
      <c r="AB114" s="241" t="s">
        <v>224</v>
      </c>
      <c r="AC114" s="215" t="s">
        <v>117</v>
      </c>
      <c r="AD114" s="215"/>
      <c r="AE114" s="215"/>
      <c r="AF114" s="42" t="s">
        <v>25</v>
      </c>
      <c r="AG114" s="42"/>
      <c r="AH114" s="42"/>
      <c r="AI114" s="280"/>
    </row>
    <row r="115" customFormat="false" ht="17.35" hidden="false" customHeight="false" outlineLevel="0" collapsed="false">
      <c r="A115" s="221"/>
      <c r="B115" s="12"/>
      <c r="C115" s="12"/>
      <c r="D115" s="236"/>
      <c r="E115" s="12"/>
      <c r="F115" s="12"/>
      <c r="G115" s="236"/>
      <c r="H115" s="11"/>
      <c r="J115" s="221"/>
      <c r="K115" s="12"/>
      <c r="L115" s="12"/>
      <c r="M115" s="236"/>
      <c r="N115" s="12"/>
      <c r="O115" s="12"/>
      <c r="P115" s="236"/>
      <c r="Q115" s="11"/>
      <c r="S115" s="221"/>
      <c r="T115" s="12"/>
      <c r="U115" s="12"/>
      <c r="V115" s="236"/>
      <c r="W115" s="12"/>
      <c r="X115" s="12"/>
      <c r="Y115" s="236"/>
      <c r="Z115" s="11"/>
      <c r="AB115" s="221"/>
      <c r="AC115" s="12"/>
      <c r="AD115" s="12"/>
      <c r="AE115" s="236"/>
      <c r="AF115" s="12"/>
      <c r="AG115" s="12"/>
      <c r="AH115" s="236"/>
      <c r="AI115" s="11"/>
    </row>
    <row r="116" customFormat="false" ht="17.35" hidden="false" customHeight="false" outlineLevel="0" collapsed="false">
      <c r="A116" s="221" t="s">
        <v>131</v>
      </c>
      <c r="B116" s="12" t="s">
        <v>225</v>
      </c>
      <c r="C116" s="12"/>
      <c r="D116" s="236"/>
      <c r="E116" s="12" t="s">
        <v>226</v>
      </c>
      <c r="F116" s="12"/>
      <c r="G116" s="236"/>
      <c r="H116" s="280"/>
      <c r="J116" s="221" t="s">
        <v>131</v>
      </c>
      <c r="K116" s="12" t="s">
        <v>225</v>
      </c>
      <c r="L116" s="12"/>
      <c r="M116" s="236"/>
      <c r="N116" s="12" t="s">
        <v>226</v>
      </c>
      <c r="O116" s="12"/>
      <c r="P116" s="236"/>
      <c r="Q116" s="280"/>
      <c r="S116" s="221" t="s">
        <v>131</v>
      </c>
      <c r="T116" s="12" t="s">
        <v>225</v>
      </c>
      <c r="U116" s="12"/>
      <c r="V116" s="236"/>
      <c r="W116" s="12" t="s">
        <v>226</v>
      </c>
      <c r="X116" s="12"/>
      <c r="Y116" s="236"/>
      <c r="Z116" s="280"/>
      <c r="AB116" s="221" t="s">
        <v>131</v>
      </c>
      <c r="AC116" s="12" t="s">
        <v>225</v>
      </c>
      <c r="AD116" s="12"/>
      <c r="AE116" s="236"/>
      <c r="AF116" s="12" t="s">
        <v>226</v>
      </c>
      <c r="AG116" s="12"/>
      <c r="AH116" s="236"/>
      <c r="AI116" s="280"/>
    </row>
    <row r="117" customFormat="false" ht="17.35" hidden="false" customHeight="false" outlineLevel="0" collapsed="false">
      <c r="A117" s="281" t="n">
        <v>0.2</v>
      </c>
      <c r="B117" s="112" t="s">
        <v>227</v>
      </c>
      <c r="C117" s="112"/>
      <c r="D117" s="112"/>
      <c r="E117" s="282" t="n">
        <f aca="false">B92</f>
        <v>0.137</v>
      </c>
      <c r="F117" s="282"/>
      <c r="G117" s="282"/>
      <c r="H117" s="246"/>
      <c r="J117" s="281" t="n">
        <v>0.3</v>
      </c>
      <c r="K117" s="112" t="s">
        <v>227</v>
      </c>
      <c r="L117" s="112"/>
      <c r="M117" s="112"/>
      <c r="N117" s="282" t="n">
        <f aca="false">K92</f>
        <v>0.24</v>
      </c>
      <c r="O117" s="282"/>
      <c r="P117" s="282"/>
      <c r="Q117" s="246"/>
      <c r="S117" s="281" t="n">
        <v>0.2</v>
      </c>
      <c r="T117" s="112" t="s">
        <v>228</v>
      </c>
      <c r="U117" s="112"/>
      <c r="V117" s="112"/>
      <c r="W117" s="282" t="n">
        <f aca="false">T92</f>
        <v>0.1235</v>
      </c>
      <c r="X117" s="282"/>
      <c r="Y117" s="282"/>
      <c r="Z117" s="246"/>
      <c r="AB117" s="281" t="n">
        <v>0.2</v>
      </c>
      <c r="AC117" s="112" t="s">
        <v>228</v>
      </c>
      <c r="AD117" s="112"/>
      <c r="AE117" s="112"/>
      <c r="AF117" s="283" t="n">
        <f aca="false">AC92</f>
        <v>0.1235</v>
      </c>
      <c r="AG117" s="283"/>
      <c r="AH117" s="283"/>
      <c r="AI117" s="246"/>
      <c r="AP117" s="216" t="s">
        <v>229</v>
      </c>
    </row>
    <row r="118" customFormat="false" ht="17.35" hidden="false" customHeight="false" outlineLevel="0" collapsed="false">
      <c r="A118" s="221"/>
      <c r="B118" s="12"/>
      <c r="C118" s="12"/>
      <c r="D118" s="12"/>
      <c r="E118" s="12"/>
      <c r="F118" s="12"/>
      <c r="G118" s="12"/>
      <c r="H118" s="11"/>
      <c r="J118" s="221"/>
      <c r="K118" s="12"/>
      <c r="L118" s="12"/>
      <c r="M118" s="12"/>
      <c r="N118" s="12"/>
      <c r="O118" s="12"/>
      <c r="P118" s="12"/>
      <c r="Q118" s="11"/>
      <c r="S118" s="221"/>
      <c r="T118" s="12"/>
      <c r="U118" s="12"/>
      <c r="V118" s="12"/>
      <c r="W118" s="12"/>
      <c r="X118" s="12"/>
      <c r="Y118" s="12"/>
      <c r="Z118" s="11"/>
      <c r="AB118" s="221"/>
      <c r="AC118" s="12"/>
      <c r="AD118" s="12"/>
      <c r="AE118" s="12"/>
      <c r="AF118" s="12"/>
      <c r="AG118" s="12"/>
      <c r="AH118" s="12"/>
      <c r="AI118" s="11"/>
      <c r="AP118" s="216" t="s">
        <v>227</v>
      </c>
    </row>
    <row r="119" customFormat="false" ht="17.35" hidden="false" customHeight="false" outlineLevel="0" collapsed="false">
      <c r="A119" s="221" t="s">
        <v>230</v>
      </c>
      <c r="B119" s="12" t="s">
        <v>142</v>
      </c>
      <c r="C119" s="12"/>
      <c r="D119" s="12"/>
      <c r="E119" s="12" t="s">
        <v>231</v>
      </c>
      <c r="F119" s="12"/>
      <c r="G119" s="12"/>
      <c r="H119" s="11"/>
      <c r="J119" s="221" t="s">
        <v>230</v>
      </c>
      <c r="K119" s="12" t="s">
        <v>142</v>
      </c>
      <c r="L119" s="12"/>
      <c r="M119" s="12"/>
      <c r="N119" s="12" t="s">
        <v>231</v>
      </c>
      <c r="O119" s="12"/>
      <c r="P119" s="12"/>
      <c r="Q119" s="11"/>
      <c r="S119" s="221" t="s">
        <v>230</v>
      </c>
      <c r="T119" s="12" t="s">
        <v>142</v>
      </c>
      <c r="U119" s="12"/>
      <c r="V119" s="12"/>
      <c r="W119" s="12" t="s">
        <v>231</v>
      </c>
      <c r="X119" s="12"/>
      <c r="Y119" s="12"/>
      <c r="Z119" s="11"/>
      <c r="AB119" s="221" t="s">
        <v>230</v>
      </c>
      <c r="AC119" s="12" t="s">
        <v>142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2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80"/>
      <c r="J120" s="242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80"/>
      <c r="S120" s="242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80"/>
      <c r="AB120" s="242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80"/>
    </row>
    <row r="121" customFormat="false" ht="17.35" hidden="false" customHeight="false" outlineLevel="0" collapsed="false">
      <c r="A121" s="221"/>
      <c r="B121" s="12"/>
      <c r="C121" s="12"/>
      <c r="D121" s="12"/>
      <c r="E121" s="12"/>
      <c r="F121" s="12"/>
      <c r="G121" s="236"/>
      <c r="H121" s="280"/>
      <c r="J121" s="221"/>
      <c r="K121" s="12"/>
      <c r="L121" s="12"/>
      <c r="M121" s="12"/>
      <c r="N121" s="12"/>
      <c r="O121" s="12"/>
      <c r="P121" s="236"/>
      <c r="Q121" s="280"/>
      <c r="S121" s="221"/>
      <c r="T121" s="12"/>
      <c r="U121" s="12"/>
      <c r="V121" s="12"/>
      <c r="W121" s="12"/>
      <c r="X121" s="12"/>
      <c r="Y121" s="236"/>
      <c r="Z121" s="280"/>
      <c r="AB121" s="221"/>
      <c r="AC121" s="12"/>
      <c r="AD121" s="12"/>
      <c r="AE121" s="12"/>
      <c r="AF121" s="12"/>
      <c r="AG121" s="12"/>
      <c r="AH121" s="236"/>
      <c r="AI121" s="280"/>
    </row>
    <row r="122" customFormat="false" ht="17.35" hidden="false" customHeight="false" outlineLevel="0" collapsed="false">
      <c r="A122" s="51" t="s">
        <v>232</v>
      </c>
      <c r="B122" s="12" t="s">
        <v>163</v>
      </c>
      <c r="C122" s="12"/>
      <c r="D122" s="12"/>
      <c r="E122" s="12" t="s">
        <v>132</v>
      </c>
      <c r="F122" s="12"/>
      <c r="G122" s="236"/>
      <c r="H122" s="280"/>
      <c r="J122" s="51" t="s">
        <v>232</v>
      </c>
      <c r="K122" s="12" t="s">
        <v>163</v>
      </c>
      <c r="L122" s="12"/>
      <c r="M122" s="12"/>
      <c r="N122" s="12" t="s">
        <v>132</v>
      </c>
      <c r="O122" s="12"/>
      <c r="P122" s="236"/>
      <c r="Q122" s="280"/>
      <c r="S122" s="51" t="s">
        <v>232</v>
      </c>
      <c r="T122" s="12" t="s">
        <v>163</v>
      </c>
      <c r="U122" s="12"/>
      <c r="V122" s="12"/>
      <c r="W122" s="12" t="s">
        <v>132</v>
      </c>
      <c r="X122" s="12"/>
      <c r="Y122" s="236"/>
      <c r="Z122" s="280"/>
      <c r="AB122" s="51" t="s">
        <v>232</v>
      </c>
      <c r="AC122" s="12" t="s">
        <v>163</v>
      </c>
      <c r="AD122" s="12"/>
      <c r="AE122" s="12"/>
      <c r="AF122" s="12" t="s">
        <v>132</v>
      </c>
      <c r="AG122" s="12"/>
      <c r="AH122" s="236"/>
      <c r="AI122" s="280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80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80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80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80"/>
    </row>
    <row r="124" customFormat="false" ht="13.8" hidden="false" customHeight="false" outlineLevel="0" collapsed="false">
      <c r="A124" s="284"/>
      <c r="B124" s="236"/>
      <c r="C124" s="236"/>
      <c r="D124" s="236"/>
      <c r="E124" s="236"/>
      <c r="F124" s="236"/>
      <c r="G124" s="236"/>
      <c r="H124" s="280"/>
      <c r="J124" s="284"/>
      <c r="K124" s="236"/>
      <c r="L124" s="236"/>
      <c r="M124" s="236"/>
      <c r="N124" s="236"/>
      <c r="O124" s="236"/>
      <c r="P124" s="236"/>
      <c r="Q124" s="280"/>
      <c r="S124" s="284"/>
      <c r="T124" s="236"/>
      <c r="U124" s="236"/>
      <c r="V124" s="236"/>
      <c r="W124" s="236"/>
      <c r="X124" s="236"/>
      <c r="Y124" s="236"/>
      <c r="Z124" s="280"/>
      <c r="AB124" s="284"/>
      <c r="AC124" s="236"/>
      <c r="AD124" s="236"/>
      <c r="AE124" s="236"/>
      <c r="AF124" s="236"/>
      <c r="AG124" s="236"/>
      <c r="AH124" s="236"/>
      <c r="AI124" s="280"/>
    </row>
    <row r="125" customFormat="false" ht="13.8" hidden="false" customHeight="false" outlineLevel="0" collapsed="false">
      <c r="A125" s="284"/>
      <c r="B125" s="236"/>
      <c r="C125" s="236"/>
      <c r="D125" s="236"/>
      <c r="E125" s="236"/>
      <c r="F125" s="236"/>
      <c r="G125" s="236"/>
      <c r="H125" s="280"/>
      <c r="J125" s="284"/>
      <c r="K125" s="236"/>
      <c r="L125" s="236"/>
      <c r="M125" s="236"/>
      <c r="N125" s="236"/>
      <c r="O125" s="236"/>
      <c r="P125" s="236"/>
      <c r="Q125" s="280"/>
      <c r="S125" s="284"/>
      <c r="T125" s="236"/>
      <c r="U125" s="236"/>
      <c r="V125" s="236"/>
      <c r="W125" s="236"/>
      <c r="X125" s="236"/>
      <c r="Y125" s="236"/>
      <c r="Z125" s="280"/>
      <c r="AB125" s="284"/>
      <c r="AC125" s="236"/>
      <c r="AD125" s="236"/>
      <c r="AE125" s="236"/>
      <c r="AF125" s="236"/>
      <c r="AG125" s="236"/>
      <c r="AH125" s="236"/>
      <c r="AI125" s="280"/>
    </row>
    <row r="126" customFormat="false" ht="22.05" hidden="false" customHeight="false" outlineLevel="0" collapsed="false">
      <c r="A126" s="240" t="s">
        <v>233</v>
      </c>
      <c r="B126" s="240"/>
      <c r="C126" s="240"/>
      <c r="D126" s="240"/>
      <c r="E126" s="240"/>
      <c r="F126" s="240"/>
      <c r="G126" s="240"/>
      <c r="H126" s="240"/>
      <c r="J126" s="240" t="s">
        <v>233</v>
      </c>
      <c r="K126" s="240"/>
      <c r="L126" s="240"/>
      <c r="M126" s="240"/>
      <c r="N126" s="240"/>
      <c r="O126" s="240"/>
      <c r="P126" s="240"/>
      <c r="Q126" s="240"/>
      <c r="S126" s="240" t="s">
        <v>233</v>
      </c>
      <c r="T126" s="240"/>
      <c r="U126" s="240"/>
      <c r="V126" s="240"/>
      <c r="W126" s="240"/>
      <c r="X126" s="240"/>
      <c r="Y126" s="240"/>
      <c r="Z126" s="240"/>
      <c r="AB126" s="240" t="s">
        <v>233</v>
      </c>
      <c r="AC126" s="240"/>
      <c r="AD126" s="240"/>
      <c r="AE126" s="240"/>
      <c r="AF126" s="240"/>
      <c r="AG126" s="240"/>
      <c r="AH126" s="240"/>
      <c r="AI126" s="240"/>
    </row>
    <row r="127" customFormat="false" ht="13.8" hidden="false" customHeight="false" outlineLevel="0" collapsed="false">
      <c r="A127" s="284"/>
      <c r="B127" s="236"/>
      <c r="C127" s="236"/>
      <c r="D127" s="236"/>
      <c r="E127" s="236"/>
      <c r="F127" s="236"/>
      <c r="G127" s="236"/>
      <c r="H127" s="280"/>
      <c r="J127" s="284"/>
      <c r="K127" s="236"/>
      <c r="L127" s="236"/>
      <c r="M127" s="236"/>
      <c r="N127" s="236"/>
      <c r="O127" s="236"/>
      <c r="P127" s="236"/>
      <c r="Q127" s="280"/>
      <c r="S127" s="284"/>
      <c r="T127" s="236"/>
      <c r="U127" s="236"/>
      <c r="V127" s="236"/>
      <c r="W127" s="236"/>
      <c r="X127" s="236"/>
      <c r="Y127" s="236"/>
      <c r="Z127" s="280"/>
      <c r="AB127" s="284"/>
      <c r="AC127" s="236"/>
      <c r="AD127" s="236"/>
      <c r="AE127" s="236"/>
      <c r="AF127" s="236"/>
      <c r="AG127" s="236"/>
      <c r="AH127" s="236"/>
      <c r="AI127" s="280"/>
    </row>
    <row r="128" customFormat="false" ht="19.7" hidden="false" customHeight="false" outlineLevel="0" collapsed="false">
      <c r="A128" s="264"/>
      <c r="B128" s="285" t="s">
        <v>1</v>
      </c>
      <c r="C128" s="285"/>
      <c r="D128" s="285" t="s">
        <v>2</v>
      </c>
      <c r="E128" s="285"/>
      <c r="F128" s="285" t="s">
        <v>3</v>
      </c>
      <c r="G128" s="285"/>
      <c r="H128" s="286" t="s">
        <v>4</v>
      </c>
      <c r="J128" s="264"/>
      <c r="K128" s="285" t="s">
        <v>1</v>
      </c>
      <c r="L128" s="285"/>
      <c r="M128" s="285" t="s">
        <v>2</v>
      </c>
      <c r="N128" s="285"/>
      <c r="O128" s="285" t="s">
        <v>3</v>
      </c>
      <c r="P128" s="285"/>
      <c r="Q128" s="286" t="s">
        <v>4</v>
      </c>
      <c r="S128" s="264"/>
      <c r="T128" s="285" t="s">
        <v>1</v>
      </c>
      <c r="U128" s="285"/>
      <c r="V128" s="285" t="s">
        <v>2</v>
      </c>
      <c r="W128" s="285"/>
      <c r="X128" s="285" t="s">
        <v>3</v>
      </c>
      <c r="Y128" s="285"/>
      <c r="Z128" s="286" t="s">
        <v>4</v>
      </c>
      <c r="AB128" s="264"/>
      <c r="AC128" s="285" t="s">
        <v>1</v>
      </c>
      <c r="AD128" s="285"/>
      <c r="AE128" s="285" t="s">
        <v>2</v>
      </c>
      <c r="AF128" s="285"/>
      <c r="AG128" s="285" t="s">
        <v>3</v>
      </c>
      <c r="AH128" s="285"/>
      <c r="AI128" s="286" t="s">
        <v>4</v>
      </c>
    </row>
    <row r="129" customFormat="false" ht="19.7" hidden="false" customHeight="false" outlineLevel="0" collapsed="false">
      <c r="A129" s="218"/>
      <c r="B129" s="287" t="s">
        <v>234</v>
      </c>
      <c r="C129" s="288" t="s">
        <v>235</v>
      </c>
      <c r="D129" s="287" t="s">
        <v>234</v>
      </c>
      <c r="E129" s="289" t="s">
        <v>235</v>
      </c>
      <c r="F129" s="287" t="s">
        <v>234</v>
      </c>
      <c r="G129" s="289" t="s">
        <v>235</v>
      </c>
      <c r="H129" s="290"/>
      <c r="J129" s="218"/>
      <c r="K129" s="287" t="s">
        <v>234</v>
      </c>
      <c r="L129" s="288" t="s">
        <v>235</v>
      </c>
      <c r="M129" s="287" t="s">
        <v>234</v>
      </c>
      <c r="N129" s="289" t="s">
        <v>235</v>
      </c>
      <c r="O129" s="287" t="s">
        <v>234</v>
      </c>
      <c r="P129" s="289" t="s">
        <v>235</v>
      </c>
      <c r="Q129" s="290"/>
      <c r="S129" s="218"/>
      <c r="T129" s="287" t="s">
        <v>234</v>
      </c>
      <c r="U129" s="288" t="s">
        <v>235</v>
      </c>
      <c r="V129" s="287" t="s">
        <v>234</v>
      </c>
      <c r="W129" s="289" t="s">
        <v>235</v>
      </c>
      <c r="X129" s="287" t="s">
        <v>234</v>
      </c>
      <c r="Y129" s="289" t="s">
        <v>235</v>
      </c>
      <c r="Z129" s="290"/>
      <c r="AB129" s="218"/>
      <c r="AC129" s="287" t="s">
        <v>234</v>
      </c>
      <c r="AD129" s="288" t="s">
        <v>235</v>
      </c>
      <c r="AE129" s="287" t="s">
        <v>234</v>
      </c>
      <c r="AF129" s="289" t="s">
        <v>235</v>
      </c>
      <c r="AG129" s="287" t="s">
        <v>234</v>
      </c>
      <c r="AH129" s="289" t="s">
        <v>235</v>
      </c>
      <c r="AI129" s="290"/>
    </row>
    <row r="130" customFormat="false" ht="17.35" hidden="false" customHeight="false" outlineLevel="0" collapsed="false">
      <c r="A130" s="238" t="s">
        <v>5</v>
      </c>
      <c r="B130" s="238" t="n">
        <f aca="false">B3</f>
        <v>46854.17</v>
      </c>
      <c r="C130" s="242" t="n">
        <f aca="false">B130</f>
        <v>46854.17</v>
      </c>
      <c r="D130" s="238" t="n">
        <f aca="false">D3</f>
        <v>0</v>
      </c>
      <c r="E130" s="242" t="n">
        <f aca="false">D130</f>
        <v>0</v>
      </c>
      <c r="F130" s="238" t="n">
        <f aca="false">F3</f>
        <v>833.33</v>
      </c>
      <c r="G130" s="242" t="n">
        <f aca="false">F130</f>
        <v>833.33</v>
      </c>
      <c r="H130" s="291" t="n">
        <f aca="false">H3</f>
        <v>0</v>
      </c>
      <c r="J130" s="238" t="s">
        <v>5</v>
      </c>
      <c r="K130" s="238" t="n">
        <f aca="false">B3</f>
        <v>46854.17</v>
      </c>
      <c r="L130" s="242" t="n">
        <v>28629.17</v>
      </c>
      <c r="M130" s="238" t="n">
        <f aca="false">D3</f>
        <v>0</v>
      </c>
      <c r="N130" s="242" t="n">
        <f aca="false">M130</f>
        <v>0</v>
      </c>
      <c r="O130" s="238" t="n">
        <f aca="false">F3</f>
        <v>833.33</v>
      </c>
      <c r="P130" s="242" t="n">
        <f aca="false">O130</f>
        <v>833.33</v>
      </c>
      <c r="Q130" s="291" t="n">
        <f aca="false">H3</f>
        <v>0</v>
      </c>
      <c r="S130" s="238" t="s">
        <v>5</v>
      </c>
      <c r="T130" s="238" t="n">
        <f aca="false">B3</f>
        <v>46854.17</v>
      </c>
      <c r="U130" s="242" t="n">
        <f aca="false">T130</f>
        <v>46854.17</v>
      </c>
      <c r="V130" s="238" t="n">
        <f aca="false">D3</f>
        <v>0</v>
      </c>
      <c r="W130" s="242" t="n">
        <f aca="false">V130</f>
        <v>0</v>
      </c>
      <c r="X130" s="238" t="n">
        <f aca="false">F3</f>
        <v>833.33</v>
      </c>
      <c r="Y130" s="242" t="n">
        <f aca="false">X130</f>
        <v>833.33</v>
      </c>
      <c r="Z130" s="291" t="n">
        <f aca="false">H3</f>
        <v>0</v>
      </c>
      <c r="AB130" s="238" t="s">
        <v>5</v>
      </c>
      <c r="AC130" s="238" t="n">
        <f aca="false">B3</f>
        <v>46854.17</v>
      </c>
      <c r="AD130" s="242" t="n">
        <f aca="false">AC130</f>
        <v>46854.17</v>
      </c>
      <c r="AE130" s="238" t="n">
        <f aca="false">D3</f>
        <v>0</v>
      </c>
      <c r="AF130" s="242" t="n">
        <f aca="false">AE130</f>
        <v>0</v>
      </c>
      <c r="AG130" s="238" t="n">
        <f aca="false">F3</f>
        <v>833.33</v>
      </c>
      <c r="AH130" s="242" t="n">
        <f aca="false">AG130</f>
        <v>833.33</v>
      </c>
      <c r="AI130" s="291" t="n">
        <f aca="false">H3</f>
        <v>0</v>
      </c>
    </row>
    <row r="131" customFormat="false" ht="17.35" hidden="false" customHeight="false" outlineLevel="0" collapsed="false">
      <c r="A131" s="221" t="s">
        <v>6</v>
      </c>
      <c r="B131" s="292" t="n">
        <f aca="false">B4</f>
        <v>0</v>
      </c>
      <c r="C131" s="293" t="n">
        <v>0</v>
      </c>
      <c r="D131" s="292" t="n">
        <f aca="false">D4</f>
        <v>0</v>
      </c>
      <c r="E131" s="293" t="n">
        <v>0</v>
      </c>
      <c r="F131" s="292" t="n">
        <f aca="false">F4</f>
        <v>0</v>
      </c>
      <c r="G131" s="293" t="n">
        <v>0</v>
      </c>
      <c r="H131" s="225"/>
      <c r="J131" s="221" t="s">
        <v>6</v>
      </c>
      <c r="K131" s="292" t="n">
        <f aca="false">B4</f>
        <v>0</v>
      </c>
      <c r="L131" s="293" t="n">
        <v>0</v>
      </c>
      <c r="M131" s="292" t="n">
        <f aca="false">D4</f>
        <v>0</v>
      </c>
      <c r="N131" s="293" t="n">
        <f aca="false">M131</f>
        <v>0</v>
      </c>
      <c r="O131" s="292" t="n">
        <f aca="false">F4</f>
        <v>0</v>
      </c>
      <c r="P131" s="293" t="n">
        <f aca="false">O131</f>
        <v>0</v>
      </c>
      <c r="Q131" s="225"/>
      <c r="S131" s="221" t="s">
        <v>6</v>
      </c>
      <c r="T131" s="292" t="n">
        <f aca="false">B4</f>
        <v>0</v>
      </c>
      <c r="U131" s="293" t="n">
        <v>0.25</v>
      </c>
      <c r="V131" s="292" t="n">
        <f aca="false">D4</f>
        <v>0</v>
      </c>
      <c r="W131" s="293" t="n">
        <f aca="false">V131</f>
        <v>0</v>
      </c>
      <c r="X131" s="292" t="n">
        <f aca="false">F4</f>
        <v>0</v>
      </c>
      <c r="Y131" s="293" t="n">
        <f aca="false">X131</f>
        <v>0</v>
      </c>
      <c r="Z131" s="225"/>
      <c r="AB131" s="221" t="s">
        <v>6</v>
      </c>
      <c r="AC131" s="292" t="n">
        <f aca="false">B4</f>
        <v>0</v>
      </c>
      <c r="AD131" s="293" t="n">
        <v>0.25</v>
      </c>
      <c r="AE131" s="292" t="n">
        <f aca="false">D4</f>
        <v>0</v>
      </c>
      <c r="AF131" s="293" t="n">
        <f aca="false">AE131</f>
        <v>0</v>
      </c>
      <c r="AG131" s="292" t="n">
        <f aca="false">F4</f>
        <v>0</v>
      </c>
      <c r="AH131" s="293" t="n">
        <f aca="false">AG131</f>
        <v>0</v>
      </c>
      <c r="AI131" s="225"/>
    </row>
    <row r="132" customFormat="false" ht="17.35" hidden="false" customHeight="false" outlineLevel="0" collapsed="false">
      <c r="A132" s="221" t="s">
        <v>7</v>
      </c>
      <c r="B132" s="221" t="n">
        <f aca="false">B5</f>
        <v>0</v>
      </c>
      <c r="C132" s="242" t="n">
        <v>0</v>
      </c>
      <c r="D132" s="221" t="n">
        <f aca="false">D5</f>
        <v>0</v>
      </c>
      <c r="E132" s="242" t="n">
        <v>0</v>
      </c>
      <c r="F132" s="221" t="n">
        <f aca="false">F5</f>
        <v>0</v>
      </c>
      <c r="G132" s="242" t="n">
        <v>0</v>
      </c>
      <c r="H132" s="11"/>
      <c r="J132" s="221" t="s">
        <v>7</v>
      </c>
      <c r="K132" s="221" t="n">
        <f aca="false">B5</f>
        <v>0</v>
      </c>
      <c r="L132" s="242" t="n">
        <v>0</v>
      </c>
      <c r="M132" s="221" t="n">
        <f aca="false">D5</f>
        <v>0</v>
      </c>
      <c r="N132" s="242" t="n">
        <f aca="false">M132</f>
        <v>0</v>
      </c>
      <c r="O132" s="221" t="n">
        <f aca="false">F5</f>
        <v>0</v>
      </c>
      <c r="P132" s="242" t="n">
        <f aca="false">O132</f>
        <v>0</v>
      </c>
      <c r="Q132" s="11"/>
      <c r="S132" s="221" t="s">
        <v>7</v>
      </c>
      <c r="T132" s="221" t="n">
        <f aca="false">B5</f>
        <v>0</v>
      </c>
      <c r="U132" s="242" t="n">
        <v>0</v>
      </c>
      <c r="V132" s="221" t="n">
        <f aca="false">D5</f>
        <v>0</v>
      </c>
      <c r="W132" s="242" t="n">
        <f aca="false">V132</f>
        <v>0</v>
      </c>
      <c r="X132" s="221" t="n">
        <f aca="false">F5</f>
        <v>0</v>
      </c>
      <c r="Y132" s="242" t="n">
        <f aca="false">X132</f>
        <v>0</v>
      </c>
      <c r="Z132" s="11"/>
      <c r="AB132" s="221" t="s">
        <v>7</v>
      </c>
      <c r="AC132" s="221" t="n">
        <f aca="false">B5</f>
        <v>0</v>
      </c>
      <c r="AD132" s="242" t="n">
        <v>0</v>
      </c>
      <c r="AE132" s="221" t="n">
        <f aca="false">D5</f>
        <v>0</v>
      </c>
      <c r="AF132" s="242" t="n">
        <f aca="false">AE132</f>
        <v>0</v>
      </c>
      <c r="AG132" s="221" t="n">
        <f aca="false">F5</f>
        <v>0</v>
      </c>
      <c r="AH132" s="242" t="n">
        <f aca="false">AG132</f>
        <v>0</v>
      </c>
      <c r="AI132" s="11"/>
    </row>
    <row r="133" customFormat="false" ht="17.35" hidden="false" customHeight="false" outlineLevel="0" collapsed="false">
      <c r="A133" s="221" t="s">
        <v>8</v>
      </c>
      <c r="B133" s="221" t="n">
        <f aca="false">(B130*B131)+B132</f>
        <v>0</v>
      </c>
      <c r="C133" s="102" t="n">
        <f aca="false">(C130*C131)+C132</f>
        <v>0</v>
      </c>
      <c r="D133" s="221" t="n">
        <f aca="false">(D130*D131)+D132</f>
        <v>0</v>
      </c>
      <c r="E133" s="102" t="n">
        <f aca="false">(E130*E131)+E132</f>
        <v>0</v>
      </c>
      <c r="F133" s="221" t="n">
        <f aca="false">(F130*F131)+F132</f>
        <v>0</v>
      </c>
      <c r="G133" s="102" t="n">
        <f aca="false">(G130*G131)+G132</f>
        <v>0</v>
      </c>
      <c r="H133" s="11"/>
      <c r="J133" s="221" t="s">
        <v>8</v>
      </c>
      <c r="K133" s="221" t="n">
        <f aca="false">(K130*K131)+K132</f>
        <v>0</v>
      </c>
      <c r="L133" s="102" t="n">
        <f aca="false">(L130*L131)+L132</f>
        <v>0</v>
      </c>
      <c r="M133" s="221" t="n">
        <f aca="false">(M130*M131)+M132</f>
        <v>0</v>
      </c>
      <c r="N133" s="102" t="n">
        <f aca="false">(N130*N131)+N132</f>
        <v>0</v>
      </c>
      <c r="O133" s="221" t="n">
        <f aca="false">(O130*O131)+O132</f>
        <v>0</v>
      </c>
      <c r="P133" s="102" t="n">
        <f aca="false">(P130*P131)+P132</f>
        <v>0</v>
      </c>
      <c r="Q133" s="11"/>
      <c r="S133" s="221" t="s">
        <v>8</v>
      </c>
      <c r="T133" s="221" t="n">
        <f aca="false">(T130*T131)+T132</f>
        <v>0</v>
      </c>
      <c r="U133" s="102" t="n">
        <f aca="false">(U130*U131)+U132</f>
        <v>11713.5425</v>
      </c>
      <c r="V133" s="221" t="n">
        <f aca="false">(V130*V131)+V132</f>
        <v>0</v>
      </c>
      <c r="W133" s="102" t="n">
        <f aca="false">(W130*W131)+W132</f>
        <v>0</v>
      </c>
      <c r="X133" s="221" t="n">
        <f aca="false">(X130*X131)+X132</f>
        <v>0</v>
      </c>
      <c r="Y133" s="102" t="n">
        <f aca="false">(Y130*Y131)+Y132</f>
        <v>0</v>
      </c>
      <c r="Z133" s="11"/>
      <c r="AB133" s="221" t="s">
        <v>8</v>
      </c>
      <c r="AC133" s="221" t="n">
        <f aca="false">(AC130*AC131)+AC132</f>
        <v>0</v>
      </c>
      <c r="AD133" s="102" t="n">
        <f aca="false">(AD130*AD131)+AD132</f>
        <v>11713.5425</v>
      </c>
      <c r="AE133" s="221" t="n">
        <f aca="false">(AE130*AE131)+AE132</f>
        <v>0</v>
      </c>
      <c r="AF133" s="102" t="n">
        <f aca="false">(AF130*AF131)+AF132</f>
        <v>0</v>
      </c>
      <c r="AG133" s="221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9" t="s">
        <v>9</v>
      </c>
      <c r="B134" s="249" t="n">
        <f aca="false">B130-B133</f>
        <v>46854.17</v>
      </c>
      <c r="C134" s="84" t="n">
        <f aca="false">C130-C133</f>
        <v>46854.17</v>
      </c>
      <c r="D134" s="249" t="n">
        <f aca="false">D130-D133</f>
        <v>0</v>
      </c>
      <c r="E134" s="84" t="n">
        <f aca="false">E130-E133</f>
        <v>0</v>
      </c>
      <c r="F134" s="249" t="n">
        <f aca="false">F130-F133</f>
        <v>833.33</v>
      </c>
      <c r="G134" s="84" t="n">
        <f aca="false">G130-G133</f>
        <v>833.33</v>
      </c>
      <c r="H134" s="84"/>
      <c r="J134" s="249" t="s">
        <v>9</v>
      </c>
      <c r="K134" s="249" t="n">
        <f aca="false">K130-K133</f>
        <v>46854.17</v>
      </c>
      <c r="L134" s="84" t="n">
        <f aca="false">L130-L133</f>
        <v>28629.17</v>
      </c>
      <c r="M134" s="249" t="n">
        <f aca="false">M130-M133</f>
        <v>0</v>
      </c>
      <c r="N134" s="84" t="n">
        <f aca="false">N130-N133</f>
        <v>0</v>
      </c>
      <c r="O134" s="249" t="n">
        <f aca="false">O130-O133</f>
        <v>833.33</v>
      </c>
      <c r="P134" s="84" t="n">
        <f aca="false">P130-P133</f>
        <v>833.33</v>
      </c>
      <c r="Q134" s="84"/>
      <c r="S134" s="249" t="s">
        <v>9</v>
      </c>
      <c r="T134" s="249" t="n">
        <f aca="false">T130-T133</f>
        <v>46854.17</v>
      </c>
      <c r="U134" s="84" t="n">
        <f aca="false">U130-U133</f>
        <v>35140.6275</v>
      </c>
      <c r="V134" s="249" t="n">
        <f aca="false">V130-V133</f>
        <v>0</v>
      </c>
      <c r="W134" s="84" t="n">
        <f aca="false">W130-W133</f>
        <v>0</v>
      </c>
      <c r="X134" s="249" t="n">
        <f aca="false">X130-X133</f>
        <v>833.33</v>
      </c>
      <c r="Y134" s="84" t="n">
        <f aca="false">Y130-Y133</f>
        <v>833.33</v>
      </c>
      <c r="Z134" s="84"/>
      <c r="AB134" s="249" t="s">
        <v>9</v>
      </c>
      <c r="AC134" s="249" t="n">
        <f aca="false">AC130-AC133</f>
        <v>46854.17</v>
      </c>
      <c r="AD134" s="84" t="n">
        <f aca="false">AD130-AD133</f>
        <v>35140.6275</v>
      </c>
      <c r="AE134" s="249" t="n">
        <f aca="false">AE130-AE133</f>
        <v>0</v>
      </c>
      <c r="AF134" s="84" t="n">
        <f aca="false">AF130-AF133</f>
        <v>0</v>
      </c>
      <c r="AG134" s="249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1"/>
      <c r="B135" s="12"/>
      <c r="C135" s="12"/>
      <c r="D135" s="12"/>
      <c r="E135" s="12"/>
      <c r="F135" s="12"/>
      <c r="G135" s="12"/>
      <c r="H135" s="11"/>
      <c r="J135" s="221"/>
      <c r="K135" s="12"/>
      <c r="L135" s="12"/>
      <c r="M135" s="12"/>
      <c r="N135" s="12"/>
      <c r="O135" s="12"/>
      <c r="P135" s="12"/>
      <c r="Q135" s="11"/>
      <c r="S135" s="221"/>
      <c r="T135" s="12"/>
      <c r="U135" s="12"/>
      <c r="V135" s="12"/>
      <c r="W135" s="12"/>
      <c r="X135" s="12"/>
      <c r="Y135" s="12"/>
      <c r="Z135" s="11"/>
      <c r="AB135" s="221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4"/>
      <c r="B136" s="295"/>
      <c r="C136" s="295"/>
      <c r="D136" s="295"/>
      <c r="E136" s="295"/>
      <c r="F136" s="295"/>
      <c r="G136" s="227" t="s">
        <v>234</v>
      </c>
      <c r="H136" s="296" t="s">
        <v>235</v>
      </c>
      <c r="J136" s="294"/>
      <c r="K136" s="295"/>
      <c r="L136" s="295"/>
      <c r="M136" s="295"/>
      <c r="N136" s="295"/>
      <c r="O136" s="295"/>
      <c r="P136" s="227" t="s">
        <v>234</v>
      </c>
      <c r="Q136" s="296" t="s">
        <v>235</v>
      </c>
      <c r="S136" s="294"/>
      <c r="T136" s="295"/>
      <c r="U136" s="295"/>
      <c r="V136" s="295"/>
      <c r="W136" s="295"/>
      <c r="X136" s="295"/>
      <c r="Y136" s="227" t="s">
        <v>234</v>
      </c>
      <c r="Z136" s="296" t="s">
        <v>235</v>
      </c>
      <c r="AB136" s="294"/>
      <c r="AC136" s="295"/>
      <c r="AD136" s="295"/>
      <c r="AE136" s="295"/>
      <c r="AF136" s="295"/>
      <c r="AG136" s="295"/>
      <c r="AH136" s="227" t="s">
        <v>234</v>
      </c>
      <c r="AI136" s="296" t="s">
        <v>235</v>
      </c>
    </row>
    <row r="137" customFormat="false" ht="17.35" hidden="false" customHeight="false" outlineLevel="0" collapsed="false">
      <c r="A137" s="297" t="s">
        <v>236</v>
      </c>
      <c r="B137" s="298"/>
      <c r="C137" s="298"/>
      <c r="D137" s="298"/>
      <c r="E137" s="298"/>
      <c r="F137" s="298"/>
      <c r="G137" s="299" t="n">
        <f aca="false">H130</f>
        <v>0</v>
      </c>
      <c r="H137" s="300" t="n">
        <f aca="false">SUM(H140:H142)</f>
        <v>0</v>
      </c>
      <c r="J137" s="297" t="s">
        <v>236</v>
      </c>
      <c r="K137" s="298"/>
      <c r="L137" s="298"/>
      <c r="M137" s="298"/>
      <c r="N137" s="298"/>
      <c r="O137" s="298"/>
      <c r="P137" s="299" t="n">
        <f aca="false">Q130</f>
        <v>0</v>
      </c>
      <c r="Q137" s="300" t="n">
        <f aca="false">SUM(Q140:Q142)</f>
        <v>0</v>
      </c>
      <c r="S137" s="297" t="s">
        <v>236</v>
      </c>
      <c r="T137" s="298"/>
      <c r="U137" s="298"/>
      <c r="V137" s="298"/>
      <c r="W137" s="298"/>
      <c r="X137" s="298"/>
      <c r="Y137" s="299" t="n">
        <f aca="false">Z130</f>
        <v>0</v>
      </c>
      <c r="Z137" s="300" t="n">
        <f aca="false">SUM(Z140:Z142)</f>
        <v>0</v>
      </c>
      <c r="AB137" s="297" t="s">
        <v>236</v>
      </c>
      <c r="AC137" s="298"/>
      <c r="AD137" s="298"/>
      <c r="AE137" s="298"/>
      <c r="AF137" s="298"/>
      <c r="AG137" s="298"/>
      <c r="AH137" s="299" t="n">
        <f aca="false">AI130</f>
        <v>0</v>
      </c>
      <c r="AI137" s="300" t="n">
        <f aca="false">SUM(AI140:AI142)</f>
        <v>0</v>
      </c>
    </row>
    <row r="138" customFormat="false" ht="17.35" hidden="false" customHeight="false" outlineLevel="0" collapsed="false">
      <c r="A138" s="221"/>
      <c r="B138" s="12"/>
      <c r="C138" s="12"/>
      <c r="D138" s="12"/>
      <c r="E138" s="12"/>
      <c r="F138" s="12"/>
      <c r="G138" s="301"/>
      <c r="H138" s="302"/>
      <c r="J138" s="221"/>
      <c r="K138" s="12"/>
      <c r="L138" s="12"/>
      <c r="M138" s="12"/>
      <c r="N138" s="12"/>
      <c r="O138" s="12"/>
      <c r="P138" s="301"/>
      <c r="Q138" s="302"/>
      <c r="S138" s="221"/>
      <c r="T138" s="12"/>
      <c r="U138" s="12"/>
      <c r="V138" s="12"/>
      <c r="W138" s="12"/>
      <c r="X138" s="12"/>
      <c r="Y138" s="301"/>
      <c r="Z138" s="302"/>
      <c r="AB138" s="221"/>
      <c r="AC138" s="12"/>
      <c r="AD138" s="12"/>
      <c r="AE138" s="12"/>
      <c r="AF138" s="12"/>
      <c r="AG138" s="12"/>
      <c r="AH138" s="301"/>
      <c r="AI138" s="302"/>
    </row>
    <row r="139" customFormat="false" ht="17.35" hidden="false" customHeight="false" outlineLevel="0" collapsed="false">
      <c r="A139" s="303" t="s">
        <v>237</v>
      </c>
      <c r="B139" s="304" t="s">
        <v>238</v>
      </c>
      <c r="C139" s="304"/>
      <c r="D139" s="304" t="s">
        <v>239</v>
      </c>
      <c r="E139" s="304"/>
      <c r="F139" s="304" t="s">
        <v>7</v>
      </c>
      <c r="G139" s="304"/>
      <c r="H139" s="302" t="s">
        <v>235</v>
      </c>
      <c r="J139" s="303" t="s">
        <v>237</v>
      </c>
      <c r="K139" s="305" t="s">
        <v>238</v>
      </c>
      <c r="L139" s="305"/>
      <c r="M139" s="304" t="s">
        <v>239</v>
      </c>
      <c r="N139" s="304"/>
      <c r="O139" s="304" t="s">
        <v>7</v>
      </c>
      <c r="P139" s="304"/>
      <c r="Q139" s="302" t="s">
        <v>235</v>
      </c>
      <c r="S139" s="303" t="s">
        <v>237</v>
      </c>
      <c r="T139" s="304" t="s">
        <v>238</v>
      </c>
      <c r="U139" s="304"/>
      <c r="V139" s="304" t="s">
        <v>239</v>
      </c>
      <c r="W139" s="304"/>
      <c r="X139" s="304" t="s">
        <v>7</v>
      </c>
      <c r="Y139" s="304"/>
      <c r="Z139" s="302" t="s">
        <v>235</v>
      </c>
      <c r="AB139" s="303" t="s">
        <v>237</v>
      </c>
      <c r="AC139" s="304" t="s">
        <v>238</v>
      </c>
      <c r="AD139" s="304"/>
      <c r="AE139" s="304" t="s">
        <v>239</v>
      </c>
      <c r="AF139" s="304"/>
      <c r="AG139" s="304" t="s">
        <v>7</v>
      </c>
      <c r="AH139" s="304"/>
      <c r="AI139" s="302" t="s">
        <v>235</v>
      </c>
    </row>
    <row r="140" customFormat="false" ht="17.35" hidden="false" customHeight="false" outlineLevel="0" collapsed="false">
      <c r="A140" s="221" t="s">
        <v>240</v>
      </c>
      <c r="B140" s="306" t="n">
        <f aca="false">G137</f>
        <v>0</v>
      </c>
      <c r="C140" s="306"/>
      <c r="D140" s="307" t="n">
        <v>0</v>
      </c>
      <c r="E140" s="307"/>
      <c r="F140" s="306" t="n">
        <v>0</v>
      </c>
      <c r="G140" s="306"/>
      <c r="H140" s="308" t="n">
        <f aca="false">(B140-(B140*D140))-F140</f>
        <v>0</v>
      </c>
      <c r="J140" s="221" t="s">
        <v>240</v>
      </c>
      <c r="K140" s="306" t="n">
        <f aca="false">P137</f>
        <v>0</v>
      </c>
      <c r="L140" s="306"/>
      <c r="M140" s="307" t="n">
        <v>0</v>
      </c>
      <c r="N140" s="307"/>
      <c r="O140" s="306" t="n">
        <v>0</v>
      </c>
      <c r="P140" s="306"/>
      <c r="Q140" s="308" t="n">
        <f aca="false">(K140-(K140*M140))-O140</f>
        <v>0</v>
      </c>
      <c r="S140" s="221" t="s">
        <v>240</v>
      </c>
      <c r="T140" s="306" t="n">
        <f aca="false">Y137</f>
        <v>0</v>
      </c>
      <c r="U140" s="306"/>
      <c r="V140" s="307" t="n">
        <v>0</v>
      </c>
      <c r="W140" s="307"/>
      <c r="X140" s="306" t="n">
        <v>0</v>
      </c>
      <c r="Y140" s="306"/>
      <c r="Z140" s="308" t="n">
        <f aca="false">(T140-(T140*V140))-X140</f>
        <v>0</v>
      </c>
      <c r="AB140" s="221" t="s">
        <v>240</v>
      </c>
      <c r="AC140" s="306" t="n">
        <f aca="false">AH137</f>
        <v>0</v>
      </c>
      <c r="AD140" s="306"/>
      <c r="AE140" s="307" t="n">
        <v>0</v>
      </c>
      <c r="AF140" s="307"/>
      <c r="AG140" s="306" t="n">
        <v>0</v>
      </c>
      <c r="AH140" s="306"/>
      <c r="AI140" s="308" t="n">
        <f aca="false">(AC140-(AC140*AE140))-AG140</f>
        <v>0</v>
      </c>
    </row>
    <row r="141" customFormat="false" ht="17.35" hidden="false" customHeight="false" outlineLevel="0" collapsed="false">
      <c r="A141" s="221" t="s">
        <v>241</v>
      </c>
      <c r="B141" s="306" t="n">
        <v>0</v>
      </c>
      <c r="C141" s="306"/>
      <c r="D141" s="307" t="n">
        <v>0</v>
      </c>
      <c r="E141" s="307"/>
      <c r="F141" s="306" t="n">
        <v>0</v>
      </c>
      <c r="G141" s="306"/>
      <c r="H141" s="308" t="n">
        <f aca="false">(B141-(B141*D141))-F141</f>
        <v>0</v>
      </c>
      <c r="J141" s="221" t="s">
        <v>241</v>
      </c>
      <c r="K141" s="306" t="n">
        <v>0</v>
      </c>
      <c r="L141" s="306"/>
      <c r="M141" s="307" t="n">
        <v>0</v>
      </c>
      <c r="N141" s="307"/>
      <c r="O141" s="306" t="n">
        <v>0</v>
      </c>
      <c r="P141" s="306"/>
      <c r="Q141" s="308" t="n">
        <f aca="false">(K141-(K141*M141))-O141</f>
        <v>0</v>
      </c>
      <c r="S141" s="221" t="s">
        <v>241</v>
      </c>
      <c r="T141" s="306" t="n">
        <v>0</v>
      </c>
      <c r="U141" s="306"/>
      <c r="V141" s="307" t="n">
        <v>0</v>
      </c>
      <c r="W141" s="307"/>
      <c r="X141" s="306" t="n">
        <v>0</v>
      </c>
      <c r="Y141" s="306"/>
      <c r="Z141" s="308" t="n">
        <f aca="false">(T141-(T141*V141))-X141</f>
        <v>0</v>
      </c>
      <c r="AB141" s="221" t="s">
        <v>241</v>
      </c>
      <c r="AC141" s="306" t="n">
        <v>0</v>
      </c>
      <c r="AD141" s="306"/>
      <c r="AE141" s="307" t="n">
        <v>0</v>
      </c>
      <c r="AF141" s="307"/>
      <c r="AG141" s="306" t="n">
        <v>0</v>
      </c>
      <c r="AH141" s="306"/>
      <c r="AI141" s="308" t="n">
        <f aca="false">(AC141-(AC141*AE141))-AG141</f>
        <v>0</v>
      </c>
    </row>
    <row r="142" customFormat="false" ht="17.35" hidden="false" customHeight="false" outlineLevel="0" collapsed="false">
      <c r="A142" s="221" t="s">
        <v>242</v>
      </c>
      <c r="B142" s="306" t="n">
        <v>0</v>
      </c>
      <c r="C142" s="306"/>
      <c r="D142" s="307" t="n">
        <v>0</v>
      </c>
      <c r="E142" s="307"/>
      <c r="F142" s="306" t="n">
        <v>0</v>
      </c>
      <c r="G142" s="306"/>
      <c r="H142" s="308" t="n">
        <f aca="false">(B142-(B142*D142))-F142</f>
        <v>0</v>
      </c>
      <c r="J142" s="221" t="s">
        <v>242</v>
      </c>
      <c r="K142" s="306" t="n">
        <v>0</v>
      </c>
      <c r="L142" s="306"/>
      <c r="M142" s="307" t="n">
        <v>0</v>
      </c>
      <c r="N142" s="307"/>
      <c r="O142" s="306" t="n">
        <v>0</v>
      </c>
      <c r="P142" s="306"/>
      <c r="Q142" s="308" t="n">
        <f aca="false">(K142-(K142*M142))-O142</f>
        <v>0</v>
      </c>
      <c r="S142" s="221" t="s">
        <v>242</v>
      </c>
      <c r="T142" s="306" t="n">
        <v>0</v>
      </c>
      <c r="U142" s="306"/>
      <c r="V142" s="307" t="n">
        <v>0</v>
      </c>
      <c r="W142" s="307"/>
      <c r="X142" s="306" t="n">
        <v>0</v>
      </c>
      <c r="Y142" s="306"/>
      <c r="Z142" s="308" t="n">
        <f aca="false">(T142-(T142*V142))-X142</f>
        <v>0</v>
      </c>
      <c r="AB142" s="221" t="s">
        <v>242</v>
      </c>
      <c r="AC142" s="306" t="n">
        <v>0</v>
      </c>
      <c r="AD142" s="306"/>
      <c r="AE142" s="307" t="n">
        <v>0</v>
      </c>
      <c r="AF142" s="307"/>
      <c r="AG142" s="306" t="n">
        <v>0</v>
      </c>
      <c r="AH142" s="306"/>
      <c r="AI142" s="308" t="n">
        <f aca="false">(AC142-(AC142*AE142))-AG142</f>
        <v>0</v>
      </c>
    </row>
    <row r="143" customFormat="false" ht="17.35" hidden="false" customHeight="false" outlineLevel="0" collapsed="false">
      <c r="A143" s="221"/>
      <c r="B143" s="12"/>
      <c r="C143" s="12"/>
      <c r="D143" s="12"/>
      <c r="E143" s="12"/>
      <c r="F143" s="12"/>
      <c r="G143" s="301"/>
      <c r="H143" s="302"/>
      <c r="J143" s="221"/>
      <c r="K143" s="12"/>
      <c r="L143" s="12"/>
      <c r="M143" s="12"/>
      <c r="N143" s="12"/>
      <c r="O143" s="12"/>
      <c r="P143" s="301"/>
      <c r="Q143" s="302"/>
      <c r="S143" s="221"/>
      <c r="T143" s="12"/>
      <c r="U143" s="12"/>
      <c r="V143" s="12"/>
      <c r="W143" s="12"/>
      <c r="X143" s="12"/>
      <c r="Y143" s="301"/>
      <c r="Z143" s="302"/>
      <c r="AB143" s="221"/>
      <c r="AC143" s="12"/>
      <c r="AD143" s="12"/>
      <c r="AE143" s="12"/>
      <c r="AF143" s="12"/>
      <c r="AG143" s="12"/>
      <c r="AH143" s="301"/>
      <c r="AI143" s="302"/>
    </row>
    <row r="144" customFormat="false" ht="19.7" hidden="false" customHeight="false" outlineLevel="0" collapsed="false">
      <c r="A144" s="226" t="s">
        <v>10</v>
      </c>
      <c r="B144" s="226"/>
      <c r="C144" s="226"/>
      <c r="D144" s="226"/>
      <c r="E144" s="226"/>
      <c r="F144" s="226"/>
      <c r="G144" s="227" t="n">
        <f aca="false">H9</f>
        <v>47687.5</v>
      </c>
      <c r="H144" s="309" t="n">
        <f aca="false">C134+E134+G134+H137</f>
        <v>47687.5</v>
      </c>
      <c r="J144" s="226" t="s">
        <v>10</v>
      </c>
      <c r="K144" s="226"/>
      <c r="L144" s="226"/>
      <c r="M144" s="226"/>
      <c r="N144" s="226"/>
      <c r="O144" s="226"/>
      <c r="P144" s="227" t="n">
        <f aca="false">H9</f>
        <v>47687.5</v>
      </c>
      <c r="Q144" s="309" t="n">
        <f aca="false">L134+N134+P134+Q137</f>
        <v>29462.5</v>
      </c>
      <c r="S144" s="226" t="s">
        <v>10</v>
      </c>
      <c r="T144" s="226"/>
      <c r="U144" s="226"/>
      <c r="V144" s="226"/>
      <c r="W144" s="226"/>
      <c r="X144" s="226"/>
      <c r="Y144" s="227" t="n">
        <f aca="false">H9</f>
        <v>47687.5</v>
      </c>
      <c r="Z144" s="309" t="n">
        <f aca="false">U134+W134+Y134+Z137</f>
        <v>35973.9575</v>
      </c>
      <c r="AB144" s="226" t="s">
        <v>10</v>
      </c>
      <c r="AC144" s="226"/>
      <c r="AD144" s="226"/>
      <c r="AE144" s="226"/>
      <c r="AF144" s="226"/>
      <c r="AG144" s="226"/>
      <c r="AH144" s="227" t="n">
        <f aca="false">H9</f>
        <v>47687.5</v>
      </c>
      <c r="AI144" s="309" t="n">
        <f aca="false">AD134+AF134+AH134+AI137</f>
        <v>35973.9575</v>
      </c>
    </row>
    <row r="145" customFormat="false" ht="17.35" hidden="false" customHeight="false" outlineLevel="0" collapsed="false">
      <c r="A145" s="229" t="s">
        <v>11</v>
      </c>
      <c r="B145" s="229"/>
      <c r="C145" s="229"/>
      <c r="D145" s="229"/>
      <c r="E145" s="229"/>
      <c r="F145" s="229"/>
      <c r="G145" s="230" t="n">
        <f aca="false">H10</f>
        <v>550</v>
      </c>
      <c r="H145" s="11" t="n">
        <f aca="false">G145</f>
        <v>550</v>
      </c>
      <c r="J145" s="229" t="s">
        <v>11</v>
      </c>
      <c r="K145" s="229"/>
      <c r="L145" s="229"/>
      <c r="M145" s="229"/>
      <c r="N145" s="229"/>
      <c r="O145" s="229"/>
      <c r="P145" s="230" t="n">
        <f aca="false">H10</f>
        <v>550</v>
      </c>
      <c r="Q145" s="11" t="n">
        <f aca="false">P145</f>
        <v>550</v>
      </c>
      <c r="S145" s="229" t="s">
        <v>11</v>
      </c>
      <c r="T145" s="229"/>
      <c r="U145" s="229"/>
      <c r="V145" s="229"/>
      <c r="W145" s="229"/>
      <c r="X145" s="229"/>
      <c r="Y145" s="230" t="n">
        <f aca="false">H10</f>
        <v>550</v>
      </c>
      <c r="Z145" s="11" t="n">
        <f aca="false">Y145</f>
        <v>550</v>
      </c>
      <c r="AB145" s="229" t="s">
        <v>11</v>
      </c>
      <c r="AC145" s="229"/>
      <c r="AD145" s="229"/>
      <c r="AE145" s="229"/>
      <c r="AF145" s="229"/>
      <c r="AG145" s="229"/>
      <c r="AH145" s="230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9" t="s">
        <v>12</v>
      </c>
      <c r="B146" s="229"/>
      <c r="C146" s="229"/>
      <c r="D146" s="229"/>
      <c r="E146" s="229"/>
      <c r="F146" s="229"/>
      <c r="G146" s="230" t="n">
        <f aca="false">H11</f>
        <v>9647.5</v>
      </c>
      <c r="H146" s="11" t="n">
        <f aca="false">(H144+H145)*20%</f>
        <v>9647.5</v>
      </c>
      <c r="J146" s="229" t="s">
        <v>12</v>
      </c>
      <c r="K146" s="229"/>
      <c r="L146" s="229"/>
      <c r="M146" s="229"/>
      <c r="N146" s="229"/>
      <c r="O146" s="229"/>
      <c r="P146" s="230" t="n">
        <f aca="false">H11</f>
        <v>9647.5</v>
      </c>
      <c r="Q146" s="11" t="n">
        <f aca="false">(Q144+Q145)*20%</f>
        <v>6002.5</v>
      </c>
      <c r="S146" s="229" t="s">
        <v>12</v>
      </c>
      <c r="T146" s="229"/>
      <c r="U146" s="229"/>
      <c r="V146" s="229"/>
      <c r="W146" s="229"/>
      <c r="X146" s="229"/>
      <c r="Y146" s="230" t="n">
        <f aca="false">H11</f>
        <v>9647.5</v>
      </c>
      <c r="Z146" s="11" t="n">
        <f aca="false">(Z144+Z145)*20%</f>
        <v>7304.7915</v>
      </c>
      <c r="AB146" s="229" t="s">
        <v>12</v>
      </c>
      <c r="AC146" s="229"/>
      <c r="AD146" s="229"/>
      <c r="AE146" s="229"/>
      <c r="AF146" s="229"/>
      <c r="AG146" s="229"/>
      <c r="AH146" s="230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9" t="s">
        <v>13</v>
      </c>
      <c r="B147" s="229"/>
      <c r="C147" s="229"/>
      <c r="D147" s="229"/>
      <c r="E147" s="229"/>
      <c r="F147" s="229"/>
      <c r="G147" s="230" t="n">
        <f aca="false">H12</f>
        <v>0</v>
      </c>
      <c r="H147" s="11" t="n">
        <v>0</v>
      </c>
      <c r="J147" s="229" t="s">
        <v>13</v>
      </c>
      <c r="K147" s="229"/>
      <c r="L147" s="229"/>
      <c r="M147" s="229"/>
      <c r="N147" s="229"/>
      <c r="O147" s="229"/>
      <c r="P147" s="230" t="n">
        <f aca="false">H12</f>
        <v>0</v>
      </c>
      <c r="Q147" s="11" t="n">
        <f aca="false">P147</f>
        <v>0</v>
      </c>
      <c r="S147" s="229" t="s">
        <v>13</v>
      </c>
      <c r="T147" s="229"/>
      <c r="U147" s="229"/>
      <c r="V147" s="229"/>
      <c r="W147" s="229"/>
      <c r="X147" s="229"/>
      <c r="Y147" s="230" t="n">
        <f aca="false">H12</f>
        <v>0</v>
      </c>
      <c r="Z147" s="11" t="n">
        <f aca="false">Y147</f>
        <v>0</v>
      </c>
      <c r="AB147" s="229" t="s">
        <v>13</v>
      </c>
      <c r="AC147" s="229"/>
      <c r="AD147" s="229"/>
      <c r="AE147" s="229"/>
      <c r="AF147" s="229"/>
      <c r="AG147" s="229"/>
      <c r="AH147" s="230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9" t="s">
        <v>14</v>
      </c>
      <c r="B148" s="229"/>
      <c r="C148" s="229"/>
      <c r="D148" s="229"/>
      <c r="E148" s="229"/>
      <c r="F148" s="229"/>
      <c r="G148" s="230" t="n">
        <f aca="false">H13</f>
        <v>585</v>
      </c>
      <c r="H148" s="11" t="n">
        <f aca="false">G148</f>
        <v>585</v>
      </c>
      <c r="J148" s="229" t="s">
        <v>14</v>
      </c>
      <c r="K148" s="229"/>
      <c r="L148" s="229"/>
      <c r="M148" s="229"/>
      <c r="N148" s="229"/>
      <c r="O148" s="229"/>
      <c r="P148" s="230" t="n">
        <f aca="false">H13</f>
        <v>585</v>
      </c>
      <c r="Q148" s="11" t="n">
        <f aca="false">P148</f>
        <v>585</v>
      </c>
      <c r="S148" s="229" t="s">
        <v>14</v>
      </c>
      <c r="T148" s="229"/>
      <c r="U148" s="229"/>
      <c r="V148" s="229"/>
      <c r="W148" s="229"/>
      <c r="X148" s="229"/>
      <c r="Y148" s="230" t="n">
        <f aca="false">H13</f>
        <v>585</v>
      </c>
      <c r="Z148" s="11" t="n">
        <f aca="false">Y148</f>
        <v>585</v>
      </c>
      <c r="AB148" s="229" t="s">
        <v>14</v>
      </c>
      <c r="AC148" s="229"/>
      <c r="AD148" s="229"/>
      <c r="AE148" s="229"/>
      <c r="AF148" s="229"/>
      <c r="AG148" s="229"/>
      <c r="AH148" s="230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9" t="s">
        <v>15</v>
      </c>
      <c r="B149" s="229"/>
      <c r="C149" s="229"/>
      <c r="D149" s="229"/>
      <c r="E149" s="229"/>
      <c r="F149" s="229"/>
      <c r="G149" s="230" t="n">
        <f aca="false">H14</f>
        <v>55</v>
      </c>
      <c r="H149" s="11" t="n">
        <v>55</v>
      </c>
      <c r="J149" s="229" t="s">
        <v>15</v>
      </c>
      <c r="K149" s="229"/>
      <c r="L149" s="229"/>
      <c r="M149" s="229"/>
      <c r="N149" s="229"/>
      <c r="O149" s="229"/>
      <c r="P149" s="230" t="n">
        <f aca="false">H14</f>
        <v>55</v>
      </c>
      <c r="Q149" s="11" t="n">
        <v>55</v>
      </c>
      <c r="S149" s="229" t="s">
        <v>15</v>
      </c>
      <c r="T149" s="229"/>
      <c r="U149" s="229"/>
      <c r="V149" s="229"/>
      <c r="W149" s="229"/>
      <c r="X149" s="229"/>
      <c r="Y149" s="230" t="n">
        <f aca="false">H14</f>
        <v>55</v>
      </c>
      <c r="Z149" s="11" t="n">
        <v>55</v>
      </c>
      <c r="AB149" s="229" t="s">
        <v>15</v>
      </c>
      <c r="AC149" s="229"/>
      <c r="AD149" s="229"/>
      <c r="AE149" s="229"/>
      <c r="AF149" s="229"/>
      <c r="AG149" s="229"/>
      <c r="AH149" s="230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9" t="s">
        <v>17</v>
      </c>
      <c r="B150" s="229"/>
      <c r="C150" s="229"/>
      <c r="D150" s="229"/>
      <c r="E150" s="229"/>
      <c r="F150" s="229"/>
      <c r="G150" s="310" t="n">
        <f aca="false">H15</f>
        <v>58525</v>
      </c>
      <c r="H150" s="311" t="n">
        <f aca="false">(H144+H145+H148+H149+H146)-H147</f>
        <v>58525</v>
      </c>
      <c r="J150" s="229" t="s">
        <v>17</v>
      </c>
      <c r="K150" s="229"/>
      <c r="L150" s="229"/>
      <c r="M150" s="229"/>
      <c r="N150" s="229"/>
      <c r="O150" s="229"/>
      <c r="P150" s="310" t="n">
        <f aca="false">H15</f>
        <v>58525</v>
      </c>
      <c r="Q150" s="311" t="n">
        <f aca="false">(Q144+Q145+Q148+Q149+Q146)-Q147</f>
        <v>36655</v>
      </c>
      <c r="S150" s="229" t="s">
        <v>17</v>
      </c>
      <c r="T150" s="229"/>
      <c r="U150" s="229"/>
      <c r="V150" s="229"/>
      <c r="W150" s="229"/>
      <c r="X150" s="229"/>
      <c r="Y150" s="310" t="n">
        <f aca="false">H15</f>
        <v>58525</v>
      </c>
      <c r="Z150" s="311" t="n">
        <f aca="false">(Z144+Z145+Z148+Z149+Z146)-Z147</f>
        <v>44468.749</v>
      </c>
      <c r="AB150" s="229" t="s">
        <v>17</v>
      </c>
      <c r="AC150" s="229"/>
      <c r="AD150" s="229"/>
      <c r="AE150" s="229"/>
      <c r="AF150" s="229"/>
      <c r="AG150" s="229"/>
      <c r="AH150" s="310" t="n">
        <f aca="false">H15</f>
        <v>58525</v>
      </c>
      <c r="AI150" s="311" t="n">
        <f aca="false">(AI144+AI145+AI148+AI149+AI146)-AI147</f>
        <v>44468.749</v>
      </c>
    </row>
    <row r="151" customFormat="false" ht="17.35" hidden="false" customHeight="false" outlineLevel="0" collapsed="false">
      <c r="A151" s="229" t="s">
        <v>18</v>
      </c>
      <c r="B151" s="229"/>
      <c r="C151" s="229"/>
      <c r="D151" s="229"/>
      <c r="E151" s="229"/>
      <c r="F151" s="229"/>
      <c r="G151" s="230" t="n">
        <f aca="false">H16</f>
        <v>0</v>
      </c>
      <c r="H151" s="242" t="n">
        <f aca="false">G151</f>
        <v>0</v>
      </c>
      <c r="J151" s="229" t="s">
        <v>18</v>
      </c>
      <c r="K151" s="229"/>
      <c r="L151" s="229"/>
      <c r="M151" s="229"/>
      <c r="N151" s="229"/>
      <c r="O151" s="229"/>
      <c r="P151" s="230" t="n">
        <f aca="false">H16</f>
        <v>0</v>
      </c>
      <c r="Q151" s="242" t="n">
        <f aca="false">P151</f>
        <v>0</v>
      </c>
      <c r="S151" s="229" t="s">
        <v>18</v>
      </c>
      <c r="T151" s="229"/>
      <c r="U151" s="229"/>
      <c r="V151" s="229"/>
      <c r="W151" s="229"/>
      <c r="X151" s="229"/>
      <c r="Y151" s="230" t="n">
        <f aca="false">H16</f>
        <v>0</v>
      </c>
      <c r="Z151" s="242" t="n">
        <f aca="false">Y151</f>
        <v>0</v>
      </c>
      <c r="AB151" s="229" t="s">
        <v>18</v>
      </c>
      <c r="AC151" s="229"/>
      <c r="AD151" s="229"/>
      <c r="AE151" s="229"/>
      <c r="AF151" s="229"/>
      <c r="AG151" s="229"/>
      <c r="AH151" s="230" t="n">
        <f aca="false">H16</f>
        <v>0</v>
      </c>
      <c r="AI151" s="242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2" t="s">
        <v>20</v>
      </c>
      <c r="K152" s="312"/>
      <c r="L152" s="312"/>
      <c r="M152" s="312"/>
      <c r="N152" s="312"/>
      <c r="O152" s="312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2" t="s">
        <v>19</v>
      </c>
      <c r="B153" s="233" t="s">
        <v>23</v>
      </c>
      <c r="C153" s="233"/>
      <c r="D153" s="233"/>
      <c r="E153" s="233"/>
      <c r="F153" s="233"/>
      <c r="G153" s="230" t="n">
        <f aca="false">H18</f>
        <v>0</v>
      </c>
      <c r="H153" s="242" t="n">
        <f aca="false">G153</f>
        <v>0</v>
      </c>
      <c r="J153" s="232" t="s">
        <v>19</v>
      </c>
      <c r="K153" s="233" t="s">
        <v>23</v>
      </c>
      <c r="L153" s="233"/>
      <c r="M153" s="233"/>
      <c r="N153" s="233"/>
      <c r="O153" s="233"/>
      <c r="P153" s="230" t="n">
        <f aca="false">H18</f>
        <v>0</v>
      </c>
      <c r="Q153" s="242" t="n">
        <f aca="false">P153</f>
        <v>0</v>
      </c>
      <c r="S153" s="232" t="s">
        <v>19</v>
      </c>
      <c r="T153" s="233" t="s">
        <v>23</v>
      </c>
      <c r="U153" s="233"/>
      <c r="V153" s="233"/>
      <c r="W153" s="233"/>
      <c r="X153" s="233"/>
      <c r="Y153" s="230" t="n">
        <f aca="false">H18</f>
        <v>0</v>
      </c>
      <c r="Z153" s="242" t="n">
        <f aca="false">Y153</f>
        <v>0</v>
      </c>
      <c r="AB153" s="232" t="s">
        <v>19</v>
      </c>
      <c r="AC153" s="233" t="s">
        <v>23</v>
      </c>
      <c r="AD153" s="233"/>
      <c r="AE153" s="233"/>
      <c r="AF153" s="233"/>
      <c r="AG153" s="233"/>
      <c r="AH153" s="230" t="n">
        <f aca="false">H18</f>
        <v>0</v>
      </c>
      <c r="AI153" s="242" t="n">
        <f aca="false">AH153</f>
        <v>0</v>
      </c>
    </row>
    <row r="154" customFormat="false" ht="17.35" hidden="false" customHeight="false" outlineLevel="0" collapsed="false">
      <c r="A154" s="232" t="s">
        <v>22</v>
      </c>
      <c r="B154" s="233" t="s">
        <v>23</v>
      </c>
      <c r="C154" s="233"/>
      <c r="D154" s="233"/>
      <c r="E154" s="233"/>
      <c r="F154" s="233"/>
      <c r="G154" s="230" t="n">
        <f aca="false">H19</f>
        <v>0</v>
      </c>
      <c r="H154" s="242" t="n">
        <v>0</v>
      </c>
      <c r="I154" s="216" t="n">
        <f aca="false">(G151+G154+G155+G153)</f>
        <v>0</v>
      </c>
      <c r="J154" s="232" t="s">
        <v>22</v>
      </c>
      <c r="K154" s="233" t="s">
        <v>23</v>
      </c>
      <c r="L154" s="233"/>
      <c r="M154" s="233"/>
      <c r="N154" s="233"/>
      <c r="O154" s="233"/>
      <c r="P154" s="230" t="n">
        <f aca="false">H19</f>
        <v>0</v>
      </c>
      <c r="Q154" s="242" t="n">
        <f aca="false">P154</f>
        <v>0</v>
      </c>
      <c r="S154" s="232" t="s">
        <v>22</v>
      </c>
      <c r="T154" s="233" t="s">
        <v>23</v>
      </c>
      <c r="U154" s="233"/>
      <c r="V154" s="233"/>
      <c r="W154" s="233"/>
      <c r="X154" s="233"/>
      <c r="Y154" s="230" t="n">
        <f aca="false">H19</f>
        <v>0</v>
      </c>
      <c r="Z154" s="242" t="n">
        <f aca="false">Y154</f>
        <v>0</v>
      </c>
      <c r="AB154" s="232" t="s">
        <v>22</v>
      </c>
      <c r="AC154" s="233" t="s">
        <v>23</v>
      </c>
      <c r="AD154" s="233"/>
      <c r="AE154" s="233"/>
      <c r="AF154" s="233"/>
      <c r="AG154" s="233"/>
      <c r="AH154" s="230" t="n">
        <f aca="false">H19</f>
        <v>0</v>
      </c>
      <c r="AI154" s="242" t="n">
        <f aca="false">AH154</f>
        <v>0</v>
      </c>
    </row>
    <row r="155" customFormat="false" ht="17.35" hidden="false" customHeight="false" outlineLevel="0" collapsed="false">
      <c r="A155" s="313" t="s">
        <v>24</v>
      </c>
      <c r="B155" s="314" t="s">
        <v>23</v>
      </c>
      <c r="C155" s="314"/>
      <c r="D155" s="314"/>
      <c r="E155" s="314"/>
      <c r="F155" s="314"/>
      <c r="G155" s="230" t="n">
        <f aca="false">H20</f>
        <v>0</v>
      </c>
      <c r="H155" s="242" t="n">
        <v>0</v>
      </c>
      <c r="I155" s="216" t="n">
        <f aca="false">(H151+H153+H154+H155)</f>
        <v>0</v>
      </c>
      <c r="J155" s="313" t="s">
        <v>24</v>
      </c>
      <c r="K155" s="314" t="s">
        <v>23</v>
      </c>
      <c r="L155" s="314"/>
      <c r="M155" s="314"/>
      <c r="N155" s="314"/>
      <c r="O155" s="314"/>
      <c r="P155" s="230" t="n">
        <f aca="false">H20</f>
        <v>0</v>
      </c>
      <c r="Q155" s="242" t="n">
        <f aca="false">P155</f>
        <v>0</v>
      </c>
      <c r="S155" s="313" t="s">
        <v>24</v>
      </c>
      <c r="T155" s="314" t="s">
        <v>23</v>
      </c>
      <c r="U155" s="314"/>
      <c r="V155" s="314"/>
      <c r="W155" s="314"/>
      <c r="X155" s="314"/>
      <c r="Y155" s="230" t="n">
        <f aca="false">H20</f>
        <v>0</v>
      </c>
      <c r="Z155" s="242" t="n">
        <f aca="false">Y155</f>
        <v>0</v>
      </c>
      <c r="AB155" s="313" t="s">
        <v>24</v>
      </c>
      <c r="AC155" s="314" t="s">
        <v>23</v>
      </c>
      <c r="AD155" s="314"/>
      <c r="AE155" s="314"/>
      <c r="AF155" s="314"/>
      <c r="AG155" s="314"/>
      <c r="AH155" s="230" t="n">
        <f aca="false">H20</f>
        <v>0</v>
      </c>
      <c r="AI155" s="242" t="n">
        <f aca="false">AH155</f>
        <v>0</v>
      </c>
    </row>
    <row r="156" customFormat="false" ht="19.7" hidden="false" customHeight="false" outlineLevel="0" collapsed="false">
      <c r="A156" s="229" t="s">
        <v>27</v>
      </c>
      <c r="B156" s="229"/>
      <c r="C156" s="229"/>
      <c r="D156" s="229"/>
      <c r="E156" s="229"/>
      <c r="F156" s="229"/>
      <c r="G156" s="310" t="n">
        <f aca="false">G150-((G153*1.2)+(G154*1.2)+(G155*1.2)+(G151*1.2))</f>
        <v>58525</v>
      </c>
      <c r="H156" s="315" t="n">
        <f aca="false">H150-((H153*1.2)+(H154*1.2)+(H155*1.2)+(H151*1.2))</f>
        <v>58525</v>
      </c>
      <c r="J156" s="316" t="s">
        <v>27</v>
      </c>
      <c r="K156" s="316"/>
      <c r="L156" s="316"/>
      <c r="M156" s="316"/>
      <c r="N156" s="316"/>
      <c r="O156" s="316"/>
      <c r="P156" s="310" t="n">
        <f aca="false">P150-((P153*1.2)+(P154*1.2)+(P155*1.2)+(P151*1.2))</f>
        <v>58525</v>
      </c>
      <c r="Q156" s="315" t="n">
        <f aca="false">Q150-((Q153*1.2)+(Q154*1.2)+(Q155*1.2)+(Q151*1.2))</f>
        <v>36655</v>
      </c>
      <c r="S156" s="229" t="s">
        <v>27</v>
      </c>
      <c r="T156" s="229"/>
      <c r="U156" s="229"/>
      <c r="V156" s="229"/>
      <c r="W156" s="229"/>
      <c r="X156" s="229"/>
      <c r="Y156" s="310" t="n">
        <f aca="false">Y150-((Y153*1.2)+(Y154*1.2)+(Y155*1.2)+(Y151*1.2))</f>
        <v>58525</v>
      </c>
      <c r="Z156" s="315" t="n">
        <f aca="false">Z150-((Z153*1.2)+(Z154*1.2)+(Z155*1.2)+(Z151*1.2))</f>
        <v>44468.749</v>
      </c>
      <c r="AB156" s="229" t="s">
        <v>27</v>
      </c>
      <c r="AC156" s="229"/>
      <c r="AD156" s="229"/>
      <c r="AE156" s="229"/>
      <c r="AF156" s="229"/>
      <c r="AG156" s="229"/>
      <c r="AH156" s="310" t="n">
        <f aca="false">AH150-((AH153*1.2)+(AH154*1.2)+(AH155*1.2)+(AH151*1.2))</f>
        <v>58525</v>
      </c>
      <c r="AI156" s="31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9" t="s">
        <v>243</v>
      </c>
      <c r="B157" s="229"/>
      <c r="C157" s="229"/>
      <c r="D157" s="229"/>
      <c r="E157" s="229"/>
      <c r="F157" s="229"/>
      <c r="G157" s="230"/>
      <c r="H157" s="242" t="n">
        <f aca="false">((H156-G156)-(H146-G146))+((I155-I154)*0.2)</f>
        <v>0</v>
      </c>
      <c r="I157" s="216" t="n">
        <f aca="false">(H157-G90)/1.2</f>
        <v>0</v>
      </c>
      <c r="J157" s="229" t="s">
        <v>243</v>
      </c>
      <c r="K157" s="229"/>
      <c r="L157" s="229"/>
      <c r="M157" s="229"/>
      <c r="N157" s="229"/>
      <c r="O157" s="229"/>
      <c r="P157" s="230"/>
      <c r="Q157" s="242" t="n">
        <f aca="false">Q156-P156</f>
        <v>-21870</v>
      </c>
      <c r="S157" s="229" t="s">
        <v>243</v>
      </c>
      <c r="T157" s="229"/>
      <c r="U157" s="229"/>
      <c r="V157" s="229"/>
      <c r="W157" s="229"/>
      <c r="X157" s="229"/>
      <c r="Y157" s="230"/>
      <c r="Z157" s="242" t="n">
        <f aca="false">Z156-Y156</f>
        <v>-14056.251</v>
      </c>
      <c r="AB157" s="229" t="s">
        <v>243</v>
      </c>
      <c r="AC157" s="229"/>
      <c r="AD157" s="229"/>
      <c r="AE157" s="229"/>
      <c r="AF157" s="229"/>
      <c r="AG157" s="229"/>
      <c r="AH157" s="230"/>
      <c r="AI157" s="242" t="n">
        <f aca="false">AI156-AH156</f>
        <v>-14056.251</v>
      </c>
    </row>
    <row r="158" customFormat="false" ht="17.35" hidden="false" customHeight="false" outlineLevel="0" collapsed="false">
      <c r="A158" s="221"/>
      <c r="B158" s="12"/>
      <c r="C158" s="12"/>
      <c r="D158" s="12"/>
      <c r="E158" s="236"/>
      <c r="F158" s="236"/>
      <c r="G158" s="236"/>
      <c r="H158" s="11"/>
      <c r="J158" s="221"/>
      <c r="K158" s="12"/>
      <c r="L158" s="12"/>
      <c r="M158" s="12"/>
      <c r="N158" s="236"/>
      <c r="O158" s="236"/>
      <c r="P158" s="236"/>
      <c r="Q158" s="11"/>
      <c r="S158" s="221"/>
      <c r="T158" s="12"/>
      <c r="U158" s="12"/>
      <c r="V158" s="12"/>
      <c r="W158" s="236"/>
      <c r="X158" s="236"/>
      <c r="Y158" s="236"/>
      <c r="Z158" s="11"/>
      <c r="AB158" s="221"/>
      <c r="AC158" s="12"/>
      <c r="AD158" s="12"/>
      <c r="AE158" s="12"/>
      <c r="AF158" s="236"/>
      <c r="AG158" s="236"/>
      <c r="AH158" s="236"/>
      <c r="AI158" s="11"/>
    </row>
    <row r="159" customFormat="false" ht="22.05" hidden="false" customHeight="false" outlineLevel="0" collapsed="false">
      <c r="A159" s="240" t="s">
        <v>244</v>
      </c>
      <c r="B159" s="240"/>
      <c r="C159" s="240"/>
      <c r="D159" s="240"/>
      <c r="E159" s="240"/>
      <c r="F159" s="240"/>
      <c r="G159" s="240"/>
      <c r="H159" s="240"/>
      <c r="J159" s="240" t="s">
        <v>244</v>
      </c>
      <c r="K159" s="240"/>
      <c r="L159" s="240"/>
      <c r="M159" s="240"/>
      <c r="N159" s="240"/>
      <c r="O159" s="240"/>
      <c r="P159" s="240"/>
      <c r="Q159" s="240"/>
      <c r="S159" s="240" t="s">
        <v>244</v>
      </c>
      <c r="T159" s="240"/>
      <c r="U159" s="240"/>
      <c r="V159" s="240"/>
      <c r="W159" s="240"/>
      <c r="X159" s="240"/>
      <c r="Y159" s="240"/>
      <c r="Z159" s="240"/>
      <c r="AB159" s="240" t="s">
        <v>244</v>
      </c>
      <c r="AC159" s="240"/>
      <c r="AD159" s="240"/>
      <c r="AE159" s="240"/>
      <c r="AF159" s="240"/>
      <c r="AG159" s="240"/>
      <c r="AH159" s="240"/>
      <c r="AI159" s="240"/>
    </row>
    <row r="160" customFormat="false" ht="17.35" hidden="false" customHeight="false" outlineLevel="0" collapsed="false">
      <c r="A160" s="221"/>
      <c r="B160" s="12"/>
      <c r="C160" s="12"/>
      <c r="D160" s="12"/>
      <c r="E160" s="236"/>
      <c r="F160" s="236"/>
      <c r="G160" s="236"/>
      <c r="H160" s="11"/>
      <c r="J160" s="221"/>
      <c r="K160" s="12"/>
      <c r="L160" s="12"/>
      <c r="M160" s="12"/>
      <c r="N160" s="236"/>
      <c r="O160" s="236"/>
      <c r="P160" s="236"/>
      <c r="Q160" s="11"/>
      <c r="S160" s="221"/>
      <c r="T160" s="12"/>
      <c r="U160" s="12"/>
      <c r="V160" s="12"/>
      <c r="W160" s="236"/>
      <c r="X160" s="236"/>
      <c r="Y160" s="236"/>
      <c r="Z160" s="11"/>
      <c r="AB160" s="221"/>
      <c r="AC160" s="12"/>
      <c r="AD160" s="12"/>
      <c r="AE160" s="12"/>
      <c r="AF160" s="236"/>
      <c r="AG160" s="236"/>
      <c r="AH160" s="236"/>
      <c r="AI160" s="11"/>
    </row>
    <row r="161" customFormat="false" ht="17.35" hidden="false" customHeight="false" outlineLevel="0" collapsed="false">
      <c r="A161" s="221" t="s">
        <v>138</v>
      </c>
      <c r="B161" s="12"/>
      <c r="C161" s="12"/>
      <c r="D161" s="236"/>
      <c r="E161" s="112" t="n">
        <v>0</v>
      </c>
      <c r="F161" s="112"/>
      <c r="G161" s="112" t="n">
        <v>0</v>
      </c>
      <c r="H161" s="112"/>
      <c r="J161" s="221" t="s">
        <v>138</v>
      </c>
      <c r="K161" s="12"/>
      <c r="L161" s="12"/>
      <c r="M161" s="236"/>
      <c r="N161" s="112" t="n">
        <v>10000</v>
      </c>
      <c r="O161" s="112"/>
      <c r="P161" s="112" t="n">
        <v>5000</v>
      </c>
      <c r="Q161" s="112"/>
      <c r="S161" s="221" t="s">
        <v>138</v>
      </c>
      <c r="T161" s="12"/>
      <c r="U161" s="12"/>
      <c r="V161" s="236"/>
      <c r="W161" s="112" t="n">
        <v>10000</v>
      </c>
      <c r="X161" s="112"/>
      <c r="Y161" s="112" t="n">
        <v>5000</v>
      </c>
      <c r="Z161" s="112"/>
      <c r="AB161" s="221" t="s">
        <v>138</v>
      </c>
      <c r="AC161" s="12"/>
      <c r="AD161" s="12"/>
      <c r="AE161" s="236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1" t="s">
        <v>139</v>
      </c>
      <c r="B162" s="12"/>
      <c r="C162" s="12"/>
      <c r="D162" s="236"/>
      <c r="E162" s="210" t="n">
        <f aca="false">G162</f>
        <v>0</v>
      </c>
      <c r="F162" s="210"/>
      <c r="G162" s="112" t="n">
        <v>0</v>
      </c>
      <c r="H162" s="112"/>
      <c r="J162" s="221" t="s">
        <v>139</v>
      </c>
      <c r="K162" s="12"/>
      <c r="L162" s="12"/>
      <c r="M162" s="236"/>
      <c r="N162" s="210" t="n">
        <f aca="false">P162</f>
        <v>7000</v>
      </c>
      <c r="O162" s="210"/>
      <c r="P162" s="112" t="n">
        <v>7000</v>
      </c>
      <c r="Q162" s="112"/>
      <c r="S162" s="221" t="s">
        <v>139</v>
      </c>
      <c r="T162" s="12"/>
      <c r="U162" s="12"/>
      <c r="V162" s="236"/>
      <c r="W162" s="210" t="n">
        <f aca="false">Y162</f>
        <v>7000</v>
      </c>
      <c r="X162" s="210"/>
      <c r="Y162" s="112" t="n">
        <v>7000</v>
      </c>
      <c r="Z162" s="112"/>
      <c r="AB162" s="221" t="s">
        <v>139</v>
      </c>
      <c r="AC162" s="12"/>
      <c r="AD162" s="12"/>
      <c r="AE162" s="236"/>
      <c r="AF162" s="210" t="n">
        <f aca="false">AH162</f>
        <v>7000</v>
      </c>
      <c r="AG162" s="210"/>
      <c r="AH162" s="112" t="n">
        <v>7000</v>
      </c>
      <c r="AI162" s="112"/>
    </row>
    <row r="163" customFormat="false" ht="17.35" hidden="false" customHeight="false" outlineLevel="0" collapsed="false">
      <c r="A163" s="221" t="s">
        <v>140</v>
      </c>
      <c r="B163" s="12"/>
      <c r="C163" s="12"/>
      <c r="D163" s="236"/>
      <c r="E163" s="210" t="n">
        <f aca="false">E161-E162</f>
        <v>0</v>
      </c>
      <c r="F163" s="210"/>
      <c r="G163" s="115" t="n">
        <f aca="false">G161-G162</f>
        <v>0</v>
      </c>
      <c r="H163" s="115"/>
      <c r="J163" s="221" t="s">
        <v>140</v>
      </c>
      <c r="K163" s="12"/>
      <c r="L163" s="12"/>
      <c r="M163" s="236"/>
      <c r="N163" s="210" t="n">
        <f aca="false">N161-N162</f>
        <v>3000</v>
      </c>
      <c r="O163" s="210"/>
      <c r="P163" s="115" t="n">
        <f aca="false">P161-P162</f>
        <v>-2000</v>
      </c>
      <c r="Q163" s="115"/>
      <c r="S163" s="221" t="s">
        <v>140</v>
      </c>
      <c r="T163" s="12"/>
      <c r="U163" s="12"/>
      <c r="V163" s="236"/>
      <c r="W163" s="210" t="n">
        <f aca="false">W161-W162</f>
        <v>3000</v>
      </c>
      <c r="X163" s="210"/>
      <c r="Y163" s="115" t="n">
        <f aca="false">Y161-Y162</f>
        <v>-2000</v>
      </c>
      <c r="Z163" s="115"/>
      <c r="AB163" s="221" t="s">
        <v>140</v>
      </c>
      <c r="AC163" s="12"/>
      <c r="AD163" s="12"/>
      <c r="AE163" s="236"/>
      <c r="AF163" s="210" t="n">
        <f aca="false">AF161-AF162</f>
        <v>3000</v>
      </c>
      <c r="AG163" s="210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1" t="s">
        <v>141</v>
      </c>
      <c r="B164" s="12"/>
      <c r="C164" s="12"/>
      <c r="D164" s="236"/>
      <c r="E164" s="210" t="n">
        <f aca="false">E163-G163</f>
        <v>0</v>
      </c>
      <c r="F164" s="210"/>
      <c r="G164" s="236"/>
      <c r="H164" s="11"/>
      <c r="J164" s="221" t="s">
        <v>141</v>
      </c>
      <c r="K164" s="12"/>
      <c r="L164" s="12"/>
      <c r="M164" s="236"/>
      <c r="N164" s="210" t="n">
        <f aca="false">N163-P163</f>
        <v>5000</v>
      </c>
      <c r="O164" s="210"/>
      <c r="P164" s="236"/>
      <c r="Q164" s="11"/>
      <c r="S164" s="221" t="s">
        <v>141</v>
      </c>
      <c r="T164" s="12"/>
      <c r="U164" s="12"/>
      <c r="V164" s="236"/>
      <c r="W164" s="210" t="n">
        <f aca="false">W163-Y163</f>
        <v>5000</v>
      </c>
      <c r="X164" s="210"/>
      <c r="Y164" s="236"/>
      <c r="Z164" s="11"/>
      <c r="AB164" s="221" t="s">
        <v>141</v>
      </c>
      <c r="AC164" s="12"/>
      <c r="AD164" s="12"/>
      <c r="AE164" s="236"/>
      <c r="AF164" s="210" t="n">
        <f aca="false">AF163-AH163</f>
        <v>5000</v>
      </c>
      <c r="AG164" s="210"/>
      <c r="AH164" s="236"/>
      <c r="AI164" s="11"/>
    </row>
    <row r="165" customFormat="false" ht="17.35" hidden="false" customHeight="false" outlineLevel="0" collapsed="false">
      <c r="A165" s="221"/>
      <c r="B165" s="12"/>
      <c r="C165" s="12"/>
      <c r="D165" s="236"/>
      <c r="E165" s="12"/>
      <c r="F165" s="236"/>
      <c r="G165" s="236"/>
      <c r="H165" s="11"/>
      <c r="J165" s="221"/>
      <c r="K165" s="12"/>
      <c r="L165" s="12"/>
      <c r="M165" s="236"/>
      <c r="N165" s="12"/>
      <c r="O165" s="236"/>
      <c r="P165" s="236"/>
      <c r="Q165" s="11"/>
      <c r="S165" s="221"/>
      <c r="T165" s="12"/>
      <c r="U165" s="12"/>
      <c r="V165" s="236"/>
      <c r="W165" s="12"/>
      <c r="X165" s="236"/>
      <c r="Y165" s="236"/>
      <c r="Z165" s="11"/>
      <c r="AB165" s="221"/>
      <c r="AC165" s="12"/>
      <c r="AD165" s="12"/>
      <c r="AE165" s="236"/>
      <c r="AF165" s="12"/>
      <c r="AG165" s="236"/>
      <c r="AH165" s="236"/>
      <c r="AI165" s="11"/>
    </row>
    <row r="166" customFormat="false" ht="17.35" hidden="false" customHeight="false" outlineLevel="0" collapsed="false">
      <c r="A166" s="238" t="s">
        <v>245</v>
      </c>
      <c r="B166" s="239"/>
      <c r="C166" s="239"/>
      <c r="D166" s="262"/>
      <c r="E166" s="239"/>
      <c r="F166" s="262"/>
      <c r="G166" s="317" t="n">
        <f aca="false">B120</f>
        <v>0</v>
      </c>
      <c r="H166" s="317"/>
      <c r="J166" s="238" t="s">
        <v>245</v>
      </c>
      <c r="K166" s="239"/>
      <c r="L166" s="239"/>
      <c r="M166" s="262"/>
      <c r="N166" s="239"/>
      <c r="O166" s="262"/>
      <c r="P166" s="317" t="n">
        <f aca="false">K120</f>
        <v>1000</v>
      </c>
      <c r="Q166" s="317"/>
      <c r="S166" s="238" t="s">
        <v>245</v>
      </c>
      <c r="T166" s="239"/>
      <c r="U166" s="239"/>
      <c r="V166" s="262"/>
      <c r="W166" s="239"/>
      <c r="X166" s="262"/>
      <c r="Y166" s="317" t="n">
        <f aca="false">T120</f>
        <v>1000</v>
      </c>
      <c r="Z166" s="317"/>
      <c r="AB166" s="238" t="s">
        <v>245</v>
      </c>
      <c r="AC166" s="239"/>
      <c r="AD166" s="239"/>
      <c r="AE166" s="262"/>
      <c r="AF166" s="239"/>
      <c r="AG166" s="262"/>
      <c r="AH166" s="317" t="n">
        <f aca="false">AC120</f>
        <v>1000</v>
      </c>
      <c r="AI166" s="317"/>
    </row>
    <row r="167" customFormat="false" ht="19.7" hidden="false" customHeight="false" outlineLevel="0" collapsed="false">
      <c r="A167" s="318" t="s">
        <v>246</v>
      </c>
      <c r="B167" s="12"/>
      <c r="C167" s="12"/>
      <c r="D167" s="236"/>
      <c r="E167" s="12"/>
      <c r="F167" s="236"/>
      <c r="G167" s="319" t="n">
        <f aca="false">H156-G163-G166</f>
        <v>58525</v>
      </c>
      <c r="H167" s="319"/>
      <c r="J167" s="318" t="s">
        <v>246</v>
      </c>
      <c r="K167" s="12"/>
      <c r="L167" s="12"/>
      <c r="M167" s="236"/>
      <c r="N167" s="12"/>
      <c r="O167" s="236"/>
      <c r="P167" s="319" t="n">
        <f aca="false">Q156-P163-P166</f>
        <v>37655</v>
      </c>
      <c r="Q167" s="319"/>
      <c r="S167" s="318" t="s">
        <v>246</v>
      </c>
      <c r="T167" s="12"/>
      <c r="U167" s="12"/>
      <c r="V167" s="236"/>
      <c r="W167" s="12"/>
      <c r="X167" s="236"/>
      <c r="Y167" s="319" t="n">
        <f aca="false">Z156-Y163-Y166</f>
        <v>45468.749</v>
      </c>
      <c r="Z167" s="319"/>
      <c r="AB167" s="318" t="s">
        <v>246</v>
      </c>
      <c r="AC167" s="12"/>
      <c r="AD167" s="12"/>
      <c r="AE167" s="236"/>
      <c r="AF167" s="12"/>
      <c r="AG167" s="236"/>
      <c r="AH167" s="319" t="n">
        <f aca="false">AI156-AH163-AH166</f>
        <v>45468.749</v>
      </c>
      <c r="AI167" s="319"/>
    </row>
    <row r="168" customFormat="false" ht="17.35" hidden="false" customHeight="false" outlineLevel="0" collapsed="false">
      <c r="A168" s="249" t="s">
        <v>52</v>
      </c>
      <c r="B168" s="250"/>
      <c r="C168" s="250"/>
      <c r="D168" s="278"/>
      <c r="E168" s="250"/>
      <c r="F168" s="278"/>
      <c r="G168" s="320" t="n">
        <f aca="false">B123</f>
        <v>416.67</v>
      </c>
      <c r="H168" s="320"/>
      <c r="J168" s="249" t="s">
        <v>52</v>
      </c>
      <c r="K168" s="250"/>
      <c r="L168" s="250"/>
      <c r="M168" s="278"/>
      <c r="N168" s="250"/>
      <c r="O168" s="278"/>
      <c r="P168" s="320" t="n">
        <f aca="false">K123</f>
        <v>239.99</v>
      </c>
      <c r="Q168" s="320"/>
      <c r="S168" s="249" t="s">
        <v>52</v>
      </c>
      <c r="T168" s="250"/>
      <c r="U168" s="250"/>
      <c r="V168" s="278"/>
      <c r="W168" s="250"/>
      <c r="X168" s="278"/>
      <c r="Y168" s="320" t="n">
        <f aca="false">T123</f>
        <v>199.99</v>
      </c>
      <c r="Z168" s="320"/>
      <c r="AB168" s="249" t="s">
        <v>52</v>
      </c>
      <c r="AC168" s="250"/>
      <c r="AD168" s="250"/>
      <c r="AE168" s="278"/>
      <c r="AF168" s="250"/>
      <c r="AG168" s="278"/>
      <c r="AH168" s="320" t="n">
        <f aca="false">AC123</f>
        <v>239.99</v>
      </c>
      <c r="AI168" s="320"/>
    </row>
    <row r="169" customFormat="false" ht="17.35" hidden="false" customHeight="false" outlineLevel="0" collapsed="false">
      <c r="A169" s="221"/>
      <c r="B169" s="12"/>
      <c r="C169" s="12"/>
      <c r="D169" s="12"/>
      <c r="E169" s="236"/>
      <c r="F169" s="236"/>
      <c r="G169" s="236"/>
      <c r="H169" s="11"/>
      <c r="J169" s="221"/>
      <c r="K169" s="12"/>
      <c r="L169" s="12"/>
      <c r="M169" s="12"/>
      <c r="N169" s="236"/>
      <c r="O169" s="236"/>
      <c r="P169" s="236"/>
      <c r="Q169" s="11"/>
      <c r="S169" s="221"/>
      <c r="T169" s="12"/>
      <c r="U169" s="12"/>
      <c r="V169" s="12"/>
      <c r="W169" s="236"/>
      <c r="X169" s="236"/>
      <c r="Y169" s="236"/>
      <c r="Z169" s="11"/>
      <c r="AB169" s="221"/>
      <c r="AC169" s="12"/>
      <c r="AD169" s="12"/>
      <c r="AE169" s="12"/>
      <c r="AF169" s="236"/>
      <c r="AG169" s="236"/>
      <c r="AH169" s="236"/>
      <c r="AI169" s="11"/>
    </row>
    <row r="170" customFormat="false" ht="17.35" hidden="false" customHeight="false" outlineLevel="0" collapsed="false">
      <c r="A170" s="221"/>
      <c r="B170" s="12"/>
      <c r="C170" s="12"/>
      <c r="D170" s="12"/>
      <c r="E170" s="236"/>
      <c r="F170" s="236"/>
      <c r="G170" s="236"/>
      <c r="H170" s="11"/>
      <c r="J170" s="221"/>
      <c r="K170" s="12"/>
      <c r="L170" s="12"/>
      <c r="M170" s="12"/>
      <c r="N170" s="236"/>
      <c r="O170" s="236"/>
      <c r="P170" s="236"/>
      <c r="Q170" s="11"/>
      <c r="S170" s="221"/>
      <c r="T170" s="12"/>
      <c r="U170" s="12"/>
      <c r="V170" s="12"/>
      <c r="W170" s="236"/>
      <c r="X170" s="236"/>
      <c r="Y170" s="236"/>
      <c r="Z170" s="11"/>
      <c r="AB170" s="221"/>
      <c r="AC170" s="12"/>
      <c r="AD170" s="12"/>
      <c r="AE170" s="12"/>
      <c r="AF170" s="236"/>
      <c r="AG170" s="236"/>
      <c r="AH170" s="236"/>
      <c r="AI170" s="11"/>
    </row>
    <row r="171" customFormat="false" ht="22.05" hidden="false" customHeight="false" outlineLevel="0" collapsed="false">
      <c r="A171" s="240" t="s">
        <v>247</v>
      </c>
      <c r="B171" s="240"/>
      <c r="C171" s="240"/>
      <c r="D171" s="240"/>
      <c r="E171" s="240"/>
      <c r="F171" s="240"/>
      <c r="G171" s="240"/>
      <c r="H171" s="240"/>
      <c r="J171" s="240" t="s">
        <v>247</v>
      </c>
      <c r="K171" s="240"/>
      <c r="L171" s="240"/>
      <c r="M171" s="240"/>
      <c r="N171" s="240"/>
      <c r="O171" s="240"/>
      <c r="P171" s="240"/>
      <c r="Q171" s="240"/>
      <c r="S171" s="240" t="s">
        <v>247</v>
      </c>
      <c r="T171" s="240"/>
      <c r="U171" s="240"/>
      <c r="V171" s="240"/>
      <c r="W171" s="240"/>
      <c r="X171" s="240"/>
      <c r="Y171" s="240"/>
      <c r="Z171" s="240"/>
      <c r="AB171" s="240" t="s">
        <v>247</v>
      </c>
      <c r="AC171" s="240"/>
      <c r="AD171" s="240"/>
      <c r="AE171" s="240"/>
      <c r="AF171" s="240"/>
      <c r="AG171" s="240"/>
      <c r="AH171" s="240"/>
      <c r="AI171" s="240"/>
    </row>
    <row r="172" customFormat="false" ht="17.35" hidden="false" customHeight="false" outlineLevel="0" collapsed="false">
      <c r="A172" s="221"/>
      <c r="B172" s="12"/>
      <c r="C172" s="12"/>
      <c r="D172" s="12"/>
      <c r="E172" s="236"/>
      <c r="F172" s="236"/>
      <c r="G172" s="236"/>
      <c r="H172" s="11"/>
      <c r="J172" s="221"/>
      <c r="K172" s="12"/>
      <c r="L172" s="12"/>
      <c r="M172" s="12"/>
      <c r="N172" s="236"/>
      <c r="O172" s="236"/>
      <c r="P172" s="236"/>
      <c r="Q172" s="11"/>
      <c r="S172" s="221"/>
      <c r="T172" s="12"/>
      <c r="U172" s="12"/>
      <c r="V172" s="12"/>
      <c r="W172" s="236"/>
      <c r="X172" s="236"/>
      <c r="Y172" s="236"/>
      <c r="Z172" s="11"/>
      <c r="AB172" s="221"/>
      <c r="AC172" s="12"/>
      <c r="AD172" s="12"/>
      <c r="AE172" s="12"/>
      <c r="AF172" s="236"/>
      <c r="AG172" s="236"/>
      <c r="AH172" s="236"/>
      <c r="AI172" s="11"/>
    </row>
    <row r="173" customFormat="false" ht="17.35" hidden="false" customHeight="false" outlineLevel="0" collapsed="false">
      <c r="A173" s="221" t="s">
        <v>145</v>
      </c>
      <c r="B173" s="117" t="n">
        <v>0</v>
      </c>
      <c r="C173" s="117"/>
      <c r="D173" s="12"/>
      <c r="E173" s="236"/>
      <c r="F173" s="236"/>
      <c r="G173" s="236"/>
      <c r="H173" s="11"/>
      <c r="J173" s="221" t="s">
        <v>145</v>
      </c>
      <c r="K173" s="117" t="n">
        <v>0</v>
      </c>
      <c r="L173" s="117"/>
      <c r="M173" s="12"/>
      <c r="N173" s="236"/>
      <c r="O173" s="236"/>
      <c r="P173" s="236"/>
      <c r="Q173" s="11"/>
      <c r="S173" s="221" t="s">
        <v>145</v>
      </c>
      <c r="T173" s="117" t="n">
        <v>0</v>
      </c>
      <c r="U173" s="117"/>
      <c r="V173" s="12"/>
      <c r="W173" s="236"/>
      <c r="X173" s="236"/>
      <c r="Y173" s="236"/>
      <c r="Z173" s="11"/>
      <c r="AB173" s="221" t="s">
        <v>145</v>
      </c>
      <c r="AC173" s="117" t="n">
        <v>0</v>
      </c>
      <c r="AD173" s="117"/>
      <c r="AE173" s="12"/>
      <c r="AF173" s="236"/>
      <c r="AG173" s="236"/>
      <c r="AH173" s="236"/>
      <c r="AI173" s="11"/>
    </row>
    <row r="174" customFormat="false" ht="17.35" hidden="false" customHeight="false" outlineLevel="0" collapsed="false">
      <c r="A174" s="221"/>
      <c r="B174" s="12"/>
      <c r="C174" s="12"/>
      <c r="D174" s="12"/>
      <c r="E174" s="236"/>
      <c r="F174" s="236"/>
      <c r="G174" s="236"/>
      <c r="H174" s="11"/>
      <c r="J174" s="221"/>
      <c r="K174" s="12"/>
      <c r="L174" s="12"/>
      <c r="M174" s="12"/>
      <c r="N174" s="236"/>
      <c r="O174" s="236"/>
      <c r="P174" s="236"/>
      <c r="Q174" s="11"/>
      <c r="S174" s="221"/>
      <c r="T174" s="12"/>
      <c r="U174" s="12"/>
      <c r="V174" s="12"/>
      <c r="W174" s="236"/>
      <c r="X174" s="236"/>
      <c r="Y174" s="236"/>
      <c r="Z174" s="11"/>
      <c r="AB174" s="221"/>
      <c r="AC174" s="12"/>
      <c r="AD174" s="12"/>
      <c r="AE174" s="12"/>
      <c r="AF174" s="236"/>
      <c r="AG174" s="236"/>
      <c r="AH174" s="236"/>
      <c r="AI174" s="11"/>
    </row>
    <row r="175" customFormat="false" ht="17.35" hidden="false" customHeight="false" outlineLevel="0" collapsed="false">
      <c r="A175" s="321" t="s">
        <v>248</v>
      </c>
      <c r="B175" s="322" t="s">
        <v>249</v>
      </c>
      <c r="C175" s="322"/>
      <c r="D175" s="322"/>
      <c r="E175" s="322" t="s">
        <v>250</v>
      </c>
      <c r="F175" s="236"/>
      <c r="G175" s="236"/>
      <c r="H175" s="11"/>
      <c r="J175" s="321" t="s">
        <v>248</v>
      </c>
      <c r="K175" s="322" t="s">
        <v>249</v>
      </c>
      <c r="L175" s="322"/>
      <c r="M175" s="322"/>
      <c r="N175" s="322" t="s">
        <v>250</v>
      </c>
      <c r="O175" s="236"/>
      <c r="P175" s="236"/>
      <c r="Q175" s="11"/>
      <c r="S175" s="321" t="s">
        <v>248</v>
      </c>
      <c r="T175" s="322" t="s">
        <v>249</v>
      </c>
      <c r="U175" s="322"/>
      <c r="V175" s="322"/>
      <c r="W175" s="322" t="s">
        <v>250</v>
      </c>
      <c r="X175" s="236"/>
      <c r="Y175" s="236"/>
      <c r="Z175" s="11"/>
      <c r="AB175" s="321" t="s">
        <v>248</v>
      </c>
      <c r="AC175" s="322" t="s">
        <v>249</v>
      </c>
      <c r="AD175" s="322"/>
      <c r="AE175" s="322"/>
      <c r="AF175" s="322" t="s">
        <v>250</v>
      </c>
      <c r="AG175" s="236"/>
      <c r="AH175" s="236"/>
      <c r="AI175" s="11"/>
    </row>
    <row r="176" customFormat="false" ht="17.35" hidden="false" customHeight="false" outlineLevel="0" collapsed="false">
      <c r="A176" s="323" t="n">
        <f aca="false">B104</f>
        <v>1639.88541555755</v>
      </c>
      <c r="B176" s="123" t="n">
        <f aca="false">B103</f>
        <v>0</v>
      </c>
      <c r="C176" s="322"/>
      <c r="D176" s="322"/>
      <c r="E176" s="123" t="n">
        <f aca="false">B105</f>
        <v>1639.88541555755</v>
      </c>
      <c r="F176" s="236"/>
      <c r="G176" s="236"/>
      <c r="H176" s="11"/>
      <c r="J176" s="323" t="n">
        <f aca="false">K104</f>
        <v>1569.706327631</v>
      </c>
      <c r="K176" s="123" t="n">
        <f aca="false">K103</f>
        <v>0</v>
      </c>
      <c r="L176" s="322"/>
      <c r="M176" s="322"/>
      <c r="N176" s="123" t="n">
        <f aca="false">K105</f>
        <v>1569.706327631</v>
      </c>
      <c r="O176" s="236"/>
      <c r="P176" s="236"/>
      <c r="Q176" s="11"/>
      <c r="S176" s="323" t="n">
        <f aca="false">T104</f>
        <v>1674.61110912406</v>
      </c>
      <c r="T176" s="123" t="n">
        <f aca="false">T103</f>
        <v>0</v>
      </c>
      <c r="U176" s="322"/>
      <c r="V176" s="322"/>
      <c r="W176" s="123" t="n">
        <f aca="false">T105</f>
        <v>1674.61110912406</v>
      </c>
      <c r="X176" s="236"/>
      <c r="Y176" s="236"/>
      <c r="Z176" s="11"/>
      <c r="AB176" s="323" t="n">
        <f aca="false">AC104</f>
        <v>1674.61110912406</v>
      </c>
      <c r="AC176" s="123" t="n">
        <f aca="false">AC103</f>
        <v>0</v>
      </c>
      <c r="AD176" s="322"/>
      <c r="AE176" s="322"/>
      <c r="AF176" s="123" t="n">
        <f aca="false">AC105</f>
        <v>1674.61110912406</v>
      </c>
      <c r="AG176" s="236"/>
      <c r="AH176" s="236"/>
      <c r="AI176" s="11"/>
    </row>
    <row r="177" customFormat="false" ht="17.35" hidden="false" customHeight="false" outlineLevel="0" collapsed="false">
      <c r="A177" s="221"/>
      <c r="B177" s="12"/>
      <c r="C177" s="12"/>
      <c r="D177" s="12"/>
      <c r="E177" s="236"/>
      <c r="F177" s="236"/>
      <c r="G177" s="236"/>
      <c r="H177" s="11"/>
      <c r="J177" s="221"/>
      <c r="K177" s="12"/>
      <c r="L177" s="12"/>
      <c r="M177" s="12"/>
      <c r="N177" s="236"/>
      <c r="O177" s="236"/>
      <c r="P177" s="236"/>
      <c r="Q177" s="11"/>
      <c r="S177" s="221"/>
      <c r="T177" s="12"/>
      <c r="U177" s="12"/>
      <c r="V177" s="12"/>
      <c r="W177" s="236"/>
      <c r="X177" s="236"/>
      <c r="Y177" s="236"/>
      <c r="Z177" s="11"/>
      <c r="AB177" s="221"/>
      <c r="AC177" s="12"/>
      <c r="AD177" s="12"/>
      <c r="AE177" s="12"/>
      <c r="AF177" s="236"/>
      <c r="AG177" s="236"/>
      <c r="AH177" s="236"/>
      <c r="AI177" s="11"/>
    </row>
    <row r="178" customFormat="false" ht="17.35" hidden="false" customHeight="false" outlineLevel="0" collapsed="false">
      <c r="A178" s="221" t="s">
        <v>81</v>
      </c>
      <c r="B178" s="12" t="s">
        <v>82</v>
      </c>
      <c r="C178" s="12"/>
      <c r="D178" s="236"/>
      <c r="E178" s="12" t="s">
        <v>251</v>
      </c>
      <c r="F178" s="236"/>
      <c r="G178" s="236"/>
      <c r="H178" s="11"/>
      <c r="J178" s="221" t="s">
        <v>81</v>
      </c>
      <c r="K178" s="12" t="s">
        <v>82</v>
      </c>
      <c r="L178" s="12"/>
      <c r="M178" s="236"/>
      <c r="N178" s="12" t="s">
        <v>251</v>
      </c>
      <c r="O178" s="236"/>
      <c r="P178" s="236"/>
      <c r="Q178" s="11"/>
      <c r="S178" s="221" t="s">
        <v>81</v>
      </c>
      <c r="T178" s="12" t="s">
        <v>82</v>
      </c>
      <c r="U178" s="12"/>
      <c r="V178" s="236"/>
      <c r="W178" s="12" t="s">
        <v>251</v>
      </c>
      <c r="X178" s="236"/>
      <c r="Y178" s="236"/>
      <c r="Z178" s="11"/>
      <c r="AB178" s="221" t="s">
        <v>81</v>
      </c>
      <c r="AC178" s="12" t="s">
        <v>82</v>
      </c>
      <c r="AD178" s="12"/>
      <c r="AE178" s="236"/>
      <c r="AF178" s="12" t="s">
        <v>251</v>
      </c>
      <c r="AG178" s="236"/>
      <c r="AH178" s="236"/>
      <c r="AI178" s="11"/>
    </row>
    <row r="179" customFormat="false" ht="17.35" hidden="false" customHeight="false" outlineLevel="0" collapsed="false">
      <c r="A179" s="324" t="str">
        <f aca="false">K29</f>
        <v>33</v>
      </c>
      <c r="B179" s="118" t="str">
        <f aca="false">K30</f>
        <v>5000</v>
      </c>
      <c r="C179" s="325"/>
      <c r="D179" s="236"/>
      <c r="E179" s="128" t="str">
        <f aca="false">IF(A120="YES", A40, 0)</f>
        <v>12</v>
      </c>
      <c r="F179" s="236"/>
      <c r="G179" s="236"/>
      <c r="H179" s="11"/>
      <c r="J179" s="324" t="str">
        <f aca="false">K29</f>
        <v>33</v>
      </c>
      <c r="K179" s="161" t="str">
        <f aca="false">K30</f>
        <v>5000</v>
      </c>
      <c r="L179" s="325"/>
      <c r="M179" s="236"/>
      <c r="N179" s="128" t="str">
        <f aca="false">IF(A120="YES", A40, 0)</f>
        <v>12</v>
      </c>
      <c r="O179" s="236"/>
      <c r="P179" s="236"/>
      <c r="Q179" s="11"/>
      <c r="S179" s="324" t="str">
        <f aca="false">K29</f>
        <v>33</v>
      </c>
      <c r="T179" s="161" t="str">
        <f aca="false">K30</f>
        <v>5000</v>
      </c>
      <c r="U179" s="325"/>
      <c r="V179" s="236"/>
      <c r="W179" s="128" t="str">
        <f aca="false">IF(A120="YES", A40, 0)</f>
        <v>12</v>
      </c>
      <c r="X179" s="236"/>
      <c r="Y179" s="236"/>
      <c r="Z179" s="11"/>
      <c r="AB179" s="324" t="str">
        <f aca="false">K29</f>
        <v>33</v>
      </c>
      <c r="AC179" s="161" t="str">
        <f aca="false">K30</f>
        <v>5000</v>
      </c>
      <c r="AD179" s="325"/>
      <c r="AE179" s="236"/>
      <c r="AF179" s="128" t="str">
        <f aca="false">IF(A120="YES", A40, 0)</f>
        <v>12</v>
      </c>
      <c r="AG179" s="236"/>
      <c r="AH179" s="236"/>
      <c r="AI179" s="11"/>
    </row>
    <row r="180" customFormat="false" ht="17.35" hidden="false" customHeight="false" outlineLevel="0" collapsed="false">
      <c r="A180" s="221"/>
      <c r="B180" s="12"/>
      <c r="C180" s="12"/>
      <c r="D180" s="236"/>
      <c r="E180" s="12"/>
      <c r="F180" s="236"/>
      <c r="G180" s="236"/>
      <c r="H180" s="11"/>
      <c r="J180" s="221"/>
      <c r="K180" s="12"/>
      <c r="L180" s="12"/>
      <c r="M180" s="236"/>
      <c r="N180" s="12"/>
      <c r="O180" s="236"/>
      <c r="P180" s="236"/>
      <c r="Q180" s="11"/>
      <c r="S180" s="221"/>
      <c r="T180" s="12"/>
      <c r="U180" s="12"/>
      <c r="V180" s="236"/>
      <c r="W180" s="12"/>
      <c r="X180" s="236"/>
      <c r="Y180" s="236"/>
      <c r="Z180" s="11"/>
      <c r="AB180" s="221"/>
      <c r="AC180" s="12"/>
      <c r="AD180" s="12"/>
      <c r="AE180" s="236"/>
      <c r="AF180" s="12"/>
      <c r="AG180" s="236"/>
      <c r="AH180" s="236"/>
      <c r="AI180" s="11"/>
    </row>
    <row r="181" customFormat="false" ht="17.35" hidden="false" customHeight="false" outlineLevel="0" collapsed="false">
      <c r="A181" s="221" t="s">
        <v>252</v>
      </c>
      <c r="B181" s="12" t="s">
        <v>253</v>
      </c>
      <c r="C181" s="12"/>
      <c r="D181" s="236"/>
      <c r="E181" s="12" t="s">
        <v>254</v>
      </c>
      <c r="F181" s="236"/>
      <c r="G181" s="236"/>
      <c r="H181" s="11"/>
      <c r="J181" s="221" t="s">
        <v>252</v>
      </c>
      <c r="K181" s="12" t="s">
        <v>253</v>
      </c>
      <c r="L181" s="12"/>
      <c r="M181" s="236"/>
      <c r="N181" s="12" t="s">
        <v>254</v>
      </c>
      <c r="O181" s="236"/>
      <c r="P181" s="236"/>
      <c r="Q181" s="11"/>
      <c r="S181" s="221" t="s">
        <v>252</v>
      </c>
      <c r="T181" s="12" t="s">
        <v>253</v>
      </c>
      <c r="U181" s="12"/>
      <c r="V181" s="236"/>
      <c r="W181" s="12" t="s">
        <v>254</v>
      </c>
      <c r="X181" s="236"/>
      <c r="Y181" s="236"/>
      <c r="Z181" s="11"/>
      <c r="AB181" s="221" t="s">
        <v>252</v>
      </c>
      <c r="AC181" s="12" t="s">
        <v>253</v>
      </c>
      <c r="AD181" s="12"/>
      <c r="AE181" s="236"/>
      <c r="AF181" s="12" t="s">
        <v>254</v>
      </c>
      <c r="AG181" s="236"/>
      <c r="AH181" s="236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4"/>
      <c r="D182" s="236"/>
      <c r="E182" s="128" t="n">
        <f aca="false">H148+H149</f>
        <v>640</v>
      </c>
      <c r="F182" s="236"/>
      <c r="G182" s="236"/>
      <c r="H182" s="11"/>
      <c r="J182" s="125" t="n">
        <f aca="false">Q150-Q146-Q148-Q149</f>
        <v>30012.5</v>
      </c>
      <c r="K182" s="126" t="n">
        <f aca="false">Q146</f>
        <v>6002.5</v>
      </c>
      <c r="L182" s="244"/>
      <c r="M182" s="236"/>
      <c r="N182" s="128" t="n">
        <f aca="false">Q148+Q149</f>
        <v>640</v>
      </c>
      <c r="O182" s="236"/>
      <c r="P182" s="236"/>
      <c r="Q182" s="11"/>
      <c r="S182" s="125" t="n">
        <f aca="false">Z150-Z146-Z148-Z149</f>
        <v>36523.9575</v>
      </c>
      <c r="T182" s="126" t="n">
        <f aca="false">Z146</f>
        <v>7304.7915</v>
      </c>
      <c r="U182" s="244"/>
      <c r="V182" s="236"/>
      <c r="W182" s="128" t="n">
        <f aca="false">Z148+Z149</f>
        <v>640</v>
      </c>
      <c r="X182" s="236"/>
      <c r="Y182" s="236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4"/>
      <c r="AE182" s="236"/>
      <c r="AF182" s="128" t="n">
        <f aca="false">AI148+AI149</f>
        <v>640</v>
      </c>
      <c r="AG182" s="236"/>
      <c r="AH182" s="236"/>
      <c r="AI182" s="11"/>
    </row>
    <row r="183" customFormat="false" ht="17.35" hidden="false" customHeight="false" outlineLevel="0" collapsed="false">
      <c r="A183" s="221"/>
      <c r="B183" s="12"/>
      <c r="C183" s="12"/>
      <c r="D183" s="236"/>
      <c r="E183" s="12"/>
      <c r="F183" s="236"/>
      <c r="G183" s="236"/>
      <c r="H183" s="11"/>
      <c r="J183" s="221"/>
      <c r="K183" s="12"/>
      <c r="L183" s="12"/>
      <c r="M183" s="236"/>
      <c r="N183" s="12"/>
      <c r="O183" s="236"/>
      <c r="P183" s="236"/>
      <c r="Q183" s="11"/>
      <c r="S183" s="221"/>
      <c r="T183" s="12"/>
      <c r="U183" s="12"/>
      <c r="V183" s="236"/>
      <c r="W183" s="12"/>
      <c r="X183" s="236"/>
      <c r="Y183" s="236"/>
      <c r="Z183" s="11"/>
      <c r="AB183" s="221"/>
      <c r="AC183" s="12"/>
      <c r="AD183" s="12"/>
      <c r="AE183" s="236"/>
      <c r="AF183" s="12"/>
      <c r="AG183" s="236"/>
      <c r="AH183" s="236"/>
      <c r="AI183" s="11"/>
    </row>
    <row r="184" customFormat="false" ht="17.35" hidden="false" customHeight="false" outlineLevel="0" collapsed="false">
      <c r="A184" s="221" t="s">
        <v>255</v>
      </c>
      <c r="B184" s="12" t="s">
        <v>142</v>
      </c>
      <c r="C184" s="12"/>
      <c r="D184" s="236"/>
      <c r="E184" s="12" t="s">
        <v>231</v>
      </c>
      <c r="F184" s="236"/>
      <c r="G184" s="236"/>
      <c r="H184" s="11"/>
      <c r="J184" s="221" t="s">
        <v>255</v>
      </c>
      <c r="K184" s="12" t="s">
        <v>142</v>
      </c>
      <c r="L184" s="12"/>
      <c r="M184" s="236"/>
      <c r="N184" s="12" t="s">
        <v>231</v>
      </c>
      <c r="O184" s="236"/>
      <c r="P184" s="236"/>
      <c r="Q184" s="11"/>
      <c r="S184" s="221" t="s">
        <v>255</v>
      </c>
      <c r="T184" s="12" t="s">
        <v>142</v>
      </c>
      <c r="U184" s="12"/>
      <c r="V184" s="236"/>
      <c r="W184" s="12" t="s">
        <v>231</v>
      </c>
      <c r="X184" s="236"/>
      <c r="Y184" s="236"/>
      <c r="Z184" s="11"/>
      <c r="AB184" s="221" t="s">
        <v>255</v>
      </c>
      <c r="AC184" s="12" t="s">
        <v>142</v>
      </c>
      <c r="AD184" s="12"/>
      <c r="AE184" s="236"/>
      <c r="AF184" s="12" t="s">
        <v>231</v>
      </c>
      <c r="AG184" s="236"/>
      <c r="AH184" s="236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6"/>
      <c r="E185" s="126" t="n">
        <f aca="false">E120</f>
        <v>0</v>
      </c>
      <c r="F185" s="236"/>
      <c r="G185" s="236"/>
      <c r="H185" s="130"/>
      <c r="J185" s="125" t="n">
        <f aca="false">Q150</f>
        <v>36655</v>
      </c>
      <c r="K185" s="126" t="n">
        <f aca="false">K120</f>
        <v>1000</v>
      </c>
      <c r="L185" s="126"/>
      <c r="M185" s="236"/>
      <c r="N185" s="126" t="n">
        <f aca="false">N120</f>
        <v>0</v>
      </c>
      <c r="O185" s="236"/>
      <c r="P185" s="236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6"/>
      <c r="W185" s="126" t="n">
        <f aca="false">W120</f>
        <v>0</v>
      </c>
      <c r="X185" s="236"/>
      <c r="Y185" s="236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6"/>
      <c r="AF185" s="126" t="n">
        <f aca="false">AF120</f>
        <v>0</v>
      </c>
      <c r="AG185" s="236"/>
      <c r="AH185" s="236"/>
      <c r="AI185" s="130"/>
    </row>
    <row r="186" customFormat="false" ht="17.35" hidden="false" customHeight="false" outlineLevel="0" collapsed="false">
      <c r="A186" s="221"/>
      <c r="B186" s="12"/>
      <c r="C186" s="12"/>
      <c r="D186" s="236"/>
      <c r="E186" s="12"/>
      <c r="F186" s="236"/>
      <c r="G186" s="236"/>
      <c r="H186" s="11"/>
      <c r="J186" s="221"/>
      <c r="K186" s="12"/>
      <c r="L186" s="12"/>
      <c r="M186" s="236"/>
      <c r="N186" s="12"/>
      <c r="O186" s="236"/>
      <c r="P186" s="236"/>
      <c r="Q186" s="11"/>
      <c r="S186" s="221"/>
      <c r="T186" s="12"/>
      <c r="U186" s="12"/>
      <c r="V186" s="236"/>
      <c r="W186" s="12"/>
      <c r="X186" s="236"/>
      <c r="Y186" s="236"/>
      <c r="Z186" s="11"/>
      <c r="AB186" s="221"/>
      <c r="AC186" s="12"/>
      <c r="AD186" s="12"/>
      <c r="AE186" s="236"/>
      <c r="AF186" s="12"/>
      <c r="AG186" s="236"/>
      <c r="AH186" s="236"/>
      <c r="AI186" s="11"/>
    </row>
    <row r="187" customFormat="false" ht="17.35" hidden="false" customHeight="false" outlineLevel="0" collapsed="false">
      <c r="A187" s="221" t="s">
        <v>232</v>
      </c>
      <c r="B187" s="12" t="s">
        <v>138</v>
      </c>
      <c r="C187" s="12"/>
      <c r="D187" s="236"/>
      <c r="E187" s="12" t="s">
        <v>246</v>
      </c>
      <c r="F187" s="236"/>
      <c r="G187" s="236"/>
      <c r="H187" s="11"/>
      <c r="J187" s="221" t="s">
        <v>232</v>
      </c>
      <c r="K187" s="12" t="s">
        <v>138</v>
      </c>
      <c r="L187" s="12"/>
      <c r="M187" s="236"/>
      <c r="N187" s="12" t="s">
        <v>246</v>
      </c>
      <c r="O187" s="236"/>
      <c r="P187" s="236"/>
      <c r="Q187" s="11"/>
      <c r="S187" s="221" t="s">
        <v>232</v>
      </c>
      <c r="T187" s="12" t="s">
        <v>138</v>
      </c>
      <c r="U187" s="12"/>
      <c r="V187" s="236"/>
      <c r="W187" s="12" t="s">
        <v>246</v>
      </c>
      <c r="X187" s="236"/>
      <c r="Y187" s="236"/>
      <c r="Z187" s="11"/>
      <c r="AB187" s="221" t="s">
        <v>232</v>
      </c>
      <c r="AC187" s="12" t="s">
        <v>138</v>
      </c>
      <c r="AD187" s="12"/>
      <c r="AE187" s="236"/>
      <c r="AF187" s="12" t="s">
        <v>246</v>
      </c>
      <c r="AG187" s="236"/>
      <c r="AH187" s="236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6"/>
      <c r="E188" s="126" t="n">
        <f aca="false">A185-A188-B188</f>
        <v>58525</v>
      </c>
      <c r="F188" s="236"/>
      <c r="G188" s="236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6"/>
      <c r="N188" s="126" t="n">
        <f aca="false">J185-J188-K188</f>
        <v>37655</v>
      </c>
      <c r="O188" s="236"/>
      <c r="P188" s="236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6"/>
      <c r="W188" s="126" t="n">
        <f aca="false">S185-S188-T188</f>
        <v>45468.749</v>
      </c>
      <c r="X188" s="236"/>
      <c r="Y188" s="236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6"/>
      <c r="AF188" s="126" t="n">
        <f aca="false">AB185-AB188-AC188</f>
        <v>45468.749</v>
      </c>
      <c r="AG188" s="236"/>
      <c r="AH188" s="236"/>
      <c r="AI188" s="130"/>
    </row>
    <row r="189" customFormat="false" ht="17.35" hidden="false" customHeight="false" outlineLevel="0" collapsed="false">
      <c r="A189" s="221"/>
      <c r="B189" s="12"/>
      <c r="C189" s="12"/>
      <c r="D189" s="236"/>
      <c r="E189" s="12"/>
      <c r="F189" s="236"/>
      <c r="G189" s="236"/>
      <c r="H189" s="11"/>
      <c r="J189" s="221"/>
      <c r="K189" s="12"/>
      <c r="L189" s="12"/>
      <c r="M189" s="236"/>
      <c r="N189" s="12"/>
      <c r="O189" s="236"/>
      <c r="P189" s="236"/>
      <c r="Q189" s="11"/>
      <c r="S189" s="221"/>
      <c r="T189" s="12"/>
      <c r="U189" s="12"/>
      <c r="V189" s="236"/>
      <c r="W189" s="12"/>
      <c r="X189" s="236"/>
      <c r="Y189" s="236"/>
      <c r="Z189" s="11"/>
      <c r="AB189" s="221"/>
      <c r="AC189" s="12"/>
      <c r="AD189" s="12"/>
      <c r="AE189" s="236"/>
      <c r="AF189" s="12"/>
      <c r="AG189" s="236"/>
      <c r="AH189" s="236"/>
      <c r="AI189" s="11"/>
    </row>
    <row r="190" customFormat="false" ht="17.35" hidden="false" customHeight="false" outlineLevel="0" collapsed="false">
      <c r="A190" s="221" t="s">
        <v>256</v>
      </c>
      <c r="B190" s="12" t="s">
        <v>52</v>
      </c>
      <c r="C190" s="12"/>
      <c r="D190" s="236"/>
      <c r="E190" s="12" t="s">
        <v>257</v>
      </c>
      <c r="F190" s="236"/>
      <c r="G190" s="236"/>
      <c r="H190" s="11"/>
      <c r="J190" s="221" t="s">
        <v>256</v>
      </c>
      <c r="K190" s="12" t="s">
        <v>52</v>
      </c>
      <c r="L190" s="12"/>
      <c r="M190" s="236"/>
      <c r="N190" s="12" t="s">
        <v>257</v>
      </c>
      <c r="O190" s="236"/>
      <c r="P190" s="236"/>
      <c r="Q190" s="11"/>
      <c r="S190" s="221" t="s">
        <v>256</v>
      </c>
      <c r="T190" s="12" t="s">
        <v>52</v>
      </c>
      <c r="U190" s="12"/>
      <c r="V190" s="236"/>
      <c r="W190" s="12" t="s">
        <v>257</v>
      </c>
      <c r="X190" s="236"/>
      <c r="Y190" s="236"/>
      <c r="Z190" s="11"/>
      <c r="AB190" s="221" t="s">
        <v>256</v>
      </c>
      <c r="AC190" s="12" t="s">
        <v>52</v>
      </c>
      <c r="AD190" s="12"/>
      <c r="AE190" s="236"/>
      <c r="AF190" s="12" t="s">
        <v>257</v>
      </c>
      <c r="AG190" s="236"/>
      <c r="AH190" s="236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6"/>
      <c r="E191" s="126" t="n">
        <f aca="false">E188+A191+B191+A194</f>
        <v>52915.0032978415</v>
      </c>
      <c r="F191" s="236"/>
      <c r="G191" s="236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6"/>
      <c r="N191" s="126" t="n">
        <f aca="false">N188+J191+K191+J194</f>
        <v>50502.592484192</v>
      </c>
      <c r="O191" s="236"/>
      <c r="P191" s="236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6"/>
      <c r="W191" s="126" t="n">
        <f aca="false">W188+S191+T191+S194</f>
        <v>53809.5454919699</v>
      </c>
      <c r="X191" s="236"/>
      <c r="Y191" s="236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6"/>
      <c r="AF191" s="126" t="n">
        <f aca="false">AF188+AB191+AC191+AB194</f>
        <v>53849.5454919699</v>
      </c>
      <c r="AG191" s="236"/>
      <c r="AH191" s="236"/>
      <c r="AI191" s="130"/>
    </row>
    <row r="192" customFormat="false" ht="17.35" hidden="false" customHeight="false" outlineLevel="0" collapsed="false">
      <c r="A192" s="221"/>
      <c r="B192" s="12"/>
      <c r="C192" s="12"/>
      <c r="D192" s="236"/>
      <c r="E192" s="12"/>
      <c r="F192" s="236"/>
      <c r="G192" s="236"/>
      <c r="H192" s="11"/>
      <c r="J192" s="221"/>
      <c r="K192" s="12"/>
      <c r="L192" s="12"/>
      <c r="M192" s="236"/>
      <c r="N192" s="12"/>
      <c r="O192" s="236"/>
      <c r="P192" s="236"/>
      <c r="Q192" s="11"/>
      <c r="S192" s="221"/>
      <c r="T192" s="12"/>
      <c r="U192" s="12"/>
      <c r="V192" s="236"/>
      <c r="W192" s="12"/>
      <c r="X192" s="236"/>
      <c r="Y192" s="236"/>
      <c r="Z192" s="11"/>
      <c r="AB192" s="221"/>
      <c r="AC192" s="12"/>
      <c r="AD192" s="12"/>
      <c r="AE192" s="236"/>
      <c r="AF192" s="12"/>
      <c r="AG192" s="236"/>
      <c r="AH192" s="236"/>
      <c r="AI192" s="11"/>
    </row>
    <row r="193" customFormat="false" ht="17.35" hidden="false" customHeight="false" outlineLevel="0" collapsed="false">
      <c r="A193" s="221" t="s">
        <v>258</v>
      </c>
      <c r="B193" s="12" t="s">
        <v>259</v>
      </c>
      <c r="C193" s="12"/>
      <c r="D193" s="236"/>
      <c r="E193" s="12" t="s">
        <v>260</v>
      </c>
      <c r="F193" s="236"/>
      <c r="G193" s="236"/>
      <c r="H193" s="11"/>
      <c r="J193" s="221" t="s">
        <v>258</v>
      </c>
      <c r="K193" s="12" t="s">
        <v>259</v>
      </c>
      <c r="L193" s="12"/>
      <c r="M193" s="236"/>
      <c r="N193" s="12" t="s">
        <v>260</v>
      </c>
      <c r="O193" s="236"/>
      <c r="P193" s="236"/>
      <c r="Q193" s="11"/>
      <c r="S193" s="221" t="s">
        <v>258</v>
      </c>
      <c r="T193" s="12" t="s">
        <v>259</v>
      </c>
      <c r="U193" s="12"/>
      <c r="V193" s="236"/>
      <c r="W193" s="12" t="s">
        <v>260</v>
      </c>
      <c r="X193" s="236"/>
      <c r="Y193" s="236"/>
      <c r="Z193" s="11"/>
      <c r="AB193" s="221" t="s">
        <v>258</v>
      </c>
      <c r="AC193" s="12" t="s">
        <v>259</v>
      </c>
      <c r="AD193" s="12"/>
      <c r="AE193" s="236"/>
      <c r="AF193" s="12" t="s">
        <v>260</v>
      </c>
      <c r="AG193" s="236"/>
      <c r="AH193" s="236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6"/>
      <c r="E194" s="126" t="n">
        <f aca="false">E179+A194</f>
        <v>22</v>
      </c>
      <c r="F194" s="236"/>
      <c r="G194" s="236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6"/>
      <c r="N194" s="126" t="n">
        <f aca="false">N179+J194</f>
        <v>32</v>
      </c>
      <c r="O194" s="236"/>
      <c r="P194" s="236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6"/>
      <c r="W194" s="126" t="n">
        <f aca="false">W179+S194</f>
        <v>22</v>
      </c>
      <c r="X194" s="236"/>
      <c r="Y194" s="236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6"/>
      <c r="AF194" s="126" t="n">
        <f aca="false">AF179+AB194</f>
        <v>22</v>
      </c>
      <c r="AG194" s="236"/>
      <c r="AH194" s="236"/>
      <c r="AI194" s="130"/>
    </row>
    <row r="195" customFormat="false" ht="17.35" hidden="false" customHeight="false" outlineLevel="0" collapsed="false">
      <c r="A195" s="221"/>
      <c r="B195" s="12"/>
      <c r="C195" s="12"/>
      <c r="D195" s="12"/>
      <c r="E195" s="236"/>
      <c r="F195" s="236"/>
      <c r="G195" s="236"/>
      <c r="H195" s="11"/>
      <c r="J195" s="221"/>
      <c r="K195" s="12"/>
      <c r="L195" s="12"/>
      <c r="M195" s="12"/>
      <c r="N195" s="236"/>
      <c r="O195" s="236"/>
      <c r="P195" s="236"/>
      <c r="Q195" s="11"/>
      <c r="S195" s="221"/>
      <c r="T195" s="12"/>
      <c r="U195" s="12"/>
      <c r="V195" s="12"/>
      <c r="W195" s="236"/>
      <c r="X195" s="12"/>
      <c r="Y195" s="12"/>
      <c r="Z195" s="11"/>
      <c r="AB195" s="221"/>
      <c r="AC195" s="12"/>
      <c r="AD195" s="12"/>
      <c r="AE195" s="12"/>
      <c r="AF195" s="236"/>
      <c r="AG195" s="236"/>
      <c r="AH195" s="236"/>
      <c r="AI195" s="11"/>
    </row>
    <row r="196" customFormat="false" ht="17.35" hidden="false" customHeight="false" outlineLevel="0" collapsed="false">
      <c r="A196" s="221" t="s">
        <v>261</v>
      </c>
      <c r="B196" s="12" t="s">
        <v>262</v>
      </c>
      <c r="C196" s="12"/>
      <c r="D196" s="12"/>
      <c r="E196" s="114" t="s">
        <v>263</v>
      </c>
      <c r="F196" s="236"/>
      <c r="G196" s="236"/>
      <c r="H196" s="11"/>
      <c r="J196" s="221" t="s">
        <v>261</v>
      </c>
      <c r="K196" s="12" t="s">
        <v>262</v>
      </c>
      <c r="L196" s="12"/>
      <c r="M196" s="12"/>
      <c r="N196" s="114" t="s">
        <v>263</v>
      </c>
      <c r="O196" s="236"/>
      <c r="P196" s="236"/>
      <c r="Q196" s="11"/>
      <c r="S196" s="221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1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6"/>
      <c r="G197" s="236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6"/>
      <c r="P197" s="236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6"/>
      <c r="F198" s="236"/>
      <c r="G198" s="236"/>
      <c r="H198" s="11"/>
      <c r="J198" s="129"/>
      <c r="K198" s="126"/>
      <c r="L198" s="12"/>
      <c r="M198" s="12"/>
      <c r="N198" s="236"/>
      <c r="O198" s="236"/>
      <c r="P198" s="236"/>
      <c r="Q198" s="11"/>
      <c r="S198" s="129"/>
      <c r="T198" s="126"/>
      <c r="U198" s="12"/>
      <c r="V198" s="12"/>
      <c r="W198" s="236"/>
      <c r="X198" s="12"/>
      <c r="Y198" s="12"/>
      <c r="Z198" s="11"/>
      <c r="AB198" s="129"/>
      <c r="AC198" s="126"/>
      <c r="AD198" s="12"/>
      <c r="AE198" s="12"/>
      <c r="AF198" s="236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6"/>
      <c r="G199" s="236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6"/>
      <c r="P199" s="236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6"/>
      <c r="G200" s="236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6"/>
      <c r="P200" s="236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1"/>
      <c r="B201" s="12"/>
      <c r="C201" s="12"/>
      <c r="D201" s="12"/>
      <c r="E201" s="236"/>
      <c r="F201" s="236"/>
      <c r="G201" s="236"/>
      <c r="H201" s="11"/>
      <c r="J201" s="221"/>
      <c r="K201" s="12"/>
      <c r="L201" s="12"/>
      <c r="M201" s="12"/>
      <c r="N201" s="236"/>
      <c r="O201" s="236"/>
      <c r="P201" s="236"/>
      <c r="Q201" s="11"/>
      <c r="S201" s="221"/>
      <c r="T201" s="12"/>
      <c r="U201" s="12"/>
      <c r="V201" s="12"/>
      <c r="W201" s="236"/>
      <c r="X201" s="236"/>
      <c r="Y201" s="236"/>
      <c r="Z201" s="11"/>
      <c r="AB201" s="221"/>
      <c r="AC201" s="12"/>
      <c r="AD201" s="12"/>
      <c r="AE201" s="12"/>
      <c r="AF201" s="236"/>
      <c r="AG201" s="236"/>
      <c r="AH201" s="236"/>
      <c r="AI201" s="11"/>
    </row>
    <row r="202" customFormat="false" ht="17.35" hidden="false" customHeight="false" outlineLevel="0" collapsed="false">
      <c r="A202" s="254" t="s">
        <v>267</v>
      </c>
      <c r="B202" s="12"/>
      <c r="C202" s="12"/>
      <c r="D202" s="255"/>
      <c r="E202" s="255"/>
      <c r="F202" s="255"/>
      <c r="G202" s="255"/>
      <c r="H202" s="256"/>
      <c r="J202" s="254" t="s">
        <v>267</v>
      </c>
      <c r="K202" s="12"/>
      <c r="L202" s="12"/>
      <c r="M202" s="255"/>
      <c r="N202" s="255"/>
      <c r="O202" s="255"/>
      <c r="P202" s="255"/>
      <c r="Q202" s="256"/>
      <c r="S202" s="254" t="s">
        <v>267</v>
      </c>
      <c r="T202" s="12"/>
      <c r="U202" s="12"/>
      <c r="V202" s="255"/>
      <c r="W202" s="255"/>
      <c r="X202" s="255"/>
      <c r="Y202" s="255"/>
      <c r="Z202" s="256"/>
      <c r="AB202" s="254" t="s">
        <v>267</v>
      </c>
      <c r="AC202" s="12"/>
      <c r="AD202" s="12"/>
      <c r="AE202" s="255"/>
      <c r="AF202" s="255"/>
      <c r="AG202" s="255"/>
      <c r="AH202" s="255"/>
      <c r="AI202" s="256"/>
    </row>
    <row r="203" customFormat="false" ht="17.35" hidden="false" customHeight="false" outlineLevel="0" collapsed="false">
      <c r="A203" s="221"/>
      <c r="B203" s="257"/>
      <c r="C203" s="257"/>
      <c r="D203" s="12"/>
      <c r="E203" s="236"/>
      <c r="F203" s="236"/>
      <c r="G203" s="236"/>
      <c r="H203" s="11"/>
      <c r="J203" s="221"/>
      <c r="K203" s="257"/>
      <c r="L203" s="257"/>
      <c r="M203" s="12"/>
      <c r="N203" s="236"/>
      <c r="O203" s="236"/>
      <c r="P203" s="236"/>
      <c r="Q203" s="11"/>
      <c r="S203" s="221"/>
      <c r="T203" s="257"/>
      <c r="U203" s="257"/>
      <c r="V203" s="12"/>
      <c r="W203" s="236"/>
      <c r="X203" s="236"/>
      <c r="Y203" s="236"/>
      <c r="Z203" s="11"/>
      <c r="AB203" s="221"/>
      <c r="AC203" s="257"/>
      <c r="AD203" s="257"/>
      <c r="AE203" s="12"/>
      <c r="AF203" s="236"/>
      <c r="AG203" s="236"/>
      <c r="AH203" s="236"/>
      <c r="AI203" s="11"/>
    </row>
    <row r="204" customFormat="false" ht="19.7" hidden="false" customHeight="false" outlineLevel="0" collapsed="false">
      <c r="A204" s="326" t="s">
        <v>81</v>
      </c>
      <c r="B204" s="259" t="s">
        <v>82</v>
      </c>
      <c r="C204" s="259"/>
      <c r="D204" s="259"/>
      <c r="E204" s="236"/>
      <c r="F204" s="236"/>
      <c r="G204" s="236"/>
      <c r="H204" s="11"/>
      <c r="J204" s="326" t="s">
        <v>81</v>
      </c>
      <c r="K204" s="327" t="s">
        <v>82</v>
      </c>
      <c r="L204" s="327"/>
      <c r="M204" s="327"/>
      <c r="N204" s="236"/>
      <c r="O204" s="236"/>
      <c r="P204" s="236"/>
      <c r="Q204" s="11"/>
      <c r="S204" s="326" t="s">
        <v>81</v>
      </c>
      <c r="T204" s="259" t="s">
        <v>82</v>
      </c>
      <c r="U204" s="259"/>
      <c r="V204" s="259"/>
      <c r="W204" s="236"/>
      <c r="X204" s="236"/>
      <c r="Y204" s="236"/>
      <c r="Z204" s="11"/>
      <c r="AB204" s="326" t="s">
        <v>81</v>
      </c>
      <c r="AC204" s="259" t="s">
        <v>82</v>
      </c>
      <c r="AD204" s="259"/>
      <c r="AE204" s="259"/>
      <c r="AF204" s="236"/>
      <c r="AG204" s="236"/>
      <c r="AH204" s="236"/>
      <c r="AI204" s="11"/>
    </row>
    <row r="205" customFormat="false" ht="19.5" hidden="false" customHeight="true" outlineLevel="0" collapsed="false">
      <c r="A205" s="326"/>
      <c r="B205" s="260" t="str">
        <f aca="false">K30</f>
        <v>5000</v>
      </c>
      <c r="C205" s="260"/>
      <c r="D205" s="260"/>
      <c r="E205" s="236"/>
      <c r="F205" s="236"/>
      <c r="G205" s="236"/>
      <c r="H205" s="11"/>
      <c r="J205" s="326"/>
      <c r="K205" s="328" t="str">
        <f aca="false">K30</f>
        <v>5000</v>
      </c>
      <c r="L205" s="328"/>
      <c r="M205" s="328"/>
      <c r="N205" s="236"/>
      <c r="O205" s="236"/>
      <c r="P205" s="236"/>
      <c r="Q205" s="11"/>
      <c r="S205" s="326"/>
      <c r="T205" s="260" t="str">
        <f aca="false">K30</f>
        <v>5000</v>
      </c>
      <c r="U205" s="260"/>
      <c r="V205" s="260"/>
      <c r="W205" s="236"/>
      <c r="X205" s="236"/>
      <c r="Y205" s="236"/>
      <c r="Z205" s="11"/>
      <c r="AB205" s="326"/>
      <c r="AC205" s="260" t="str">
        <f aca="false">K30</f>
        <v>5000</v>
      </c>
      <c r="AD205" s="260"/>
      <c r="AE205" s="260"/>
      <c r="AF205" s="236"/>
      <c r="AG205" s="236"/>
      <c r="AH205" s="236"/>
      <c r="AI205" s="11"/>
    </row>
    <row r="206" customFormat="false" ht="17.35" hidden="false" customHeight="false" outlineLevel="0" collapsed="false">
      <c r="A206" s="261" t="str">
        <f aca="false">K29</f>
        <v>33</v>
      </c>
      <c r="B206" s="75" t="n">
        <f aca="false">B105</f>
        <v>1639.88541555755</v>
      </c>
      <c r="C206" s="75"/>
      <c r="D206" s="75"/>
      <c r="E206" s="236"/>
      <c r="F206" s="236"/>
      <c r="G206" s="236"/>
      <c r="H206" s="11"/>
      <c r="J206" s="261" t="str">
        <f aca="false">K29</f>
        <v>33</v>
      </c>
      <c r="K206" s="75" t="n">
        <f aca="false">K105</f>
        <v>1569.706327631</v>
      </c>
      <c r="L206" s="75"/>
      <c r="M206" s="75"/>
      <c r="N206" s="236"/>
      <c r="O206" s="236"/>
      <c r="P206" s="236"/>
      <c r="Q206" s="11"/>
      <c r="S206" s="261" t="str">
        <f aca="false">K29</f>
        <v>33</v>
      </c>
      <c r="T206" s="75" t="n">
        <f aca="false">T105</f>
        <v>1674.61110912406</v>
      </c>
      <c r="U206" s="75"/>
      <c r="V206" s="75"/>
      <c r="W206" s="236"/>
      <c r="X206" s="236"/>
      <c r="Y206" s="236"/>
      <c r="Z206" s="11"/>
      <c r="AB206" s="261" t="str">
        <f aca="false">K29</f>
        <v>33</v>
      </c>
      <c r="AC206" s="75" t="n">
        <f aca="false">AC105</f>
        <v>1674.61110912406</v>
      </c>
      <c r="AD206" s="75"/>
      <c r="AE206" s="75"/>
      <c r="AF206" s="236"/>
      <c r="AG206" s="236"/>
      <c r="AH206" s="236"/>
      <c r="AI206" s="11"/>
    </row>
    <row r="207" customFormat="false" ht="17.35" hidden="false" customHeight="false" outlineLevel="0" collapsed="false">
      <c r="A207" s="221"/>
      <c r="B207" s="12"/>
      <c r="C207" s="12"/>
      <c r="D207" s="12"/>
      <c r="E207" s="236"/>
      <c r="F207" s="236"/>
      <c r="G207" s="236"/>
      <c r="H207" s="11"/>
      <c r="J207" s="221"/>
      <c r="K207" s="12"/>
      <c r="L207" s="12"/>
      <c r="M207" s="12"/>
      <c r="N207" s="236"/>
      <c r="O207" s="236"/>
      <c r="P207" s="236"/>
      <c r="Q207" s="11"/>
      <c r="S207" s="221"/>
      <c r="T207" s="12"/>
      <c r="U207" s="12"/>
      <c r="V207" s="12"/>
      <c r="W207" s="236"/>
      <c r="X207" s="236"/>
      <c r="Y207" s="236"/>
      <c r="Z207" s="11"/>
      <c r="AB207" s="221"/>
      <c r="AC207" s="12"/>
      <c r="AD207" s="12"/>
      <c r="AE207" s="12"/>
      <c r="AF207" s="236"/>
      <c r="AG207" s="236"/>
      <c r="AH207" s="236"/>
      <c r="AI207" s="11"/>
    </row>
    <row r="208" customFormat="false" ht="17.35" hidden="false" customHeight="false" outlineLevel="0" collapsed="false">
      <c r="A208" s="221"/>
      <c r="B208" s="12"/>
      <c r="C208" s="12"/>
      <c r="D208" s="12"/>
      <c r="E208" s="236"/>
      <c r="F208" s="236"/>
      <c r="G208" s="236"/>
      <c r="H208" s="11"/>
      <c r="J208" s="221"/>
      <c r="K208" s="12"/>
      <c r="L208" s="12"/>
      <c r="M208" s="12"/>
      <c r="N208" s="236"/>
      <c r="O208" s="236"/>
      <c r="P208" s="236"/>
      <c r="Q208" s="11"/>
      <c r="S208" s="221"/>
      <c r="T208" s="12"/>
      <c r="U208" s="12"/>
      <c r="V208" s="12"/>
      <c r="W208" s="236"/>
      <c r="X208" s="236"/>
      <c r="Y208" s="236"/>
      <c r="Z208" s="11"/>
      <c r="AB208" s="221"/>
      <c r="AC208" s="12"/>
      <c r="AD208" s="12"/>
      <c r="AE208" s="12"/>
      <c r="AF208" s="236"/>
      <c r="AG208" s="236"/>
      <c r="AH208" s="236"/>
      <c r="AI208" s="11"/>
    </row>
    <row r="209" customFormat="false" ht="17.35" hidden="false" customHeight="false" outlineLevel="0" collapsed="false">
      <c r="A209" s="221"/>
      <c r="B209" s="12"/>
      <c r="C209" s="12"/>
      <c r="D209" s="12"/>
      <c r="E209" s="236"/>
      <c r="F209" s="236"/>
      <c r="G209" s="236"/>
      <c r="H209" s="11"/>
      <c r="J209" s="221"/>
      <c r="K209" s="12"/>
      <c r="L209" s="12"/>
      <c r="M209" s="12"/>
      <c r="N209" s="236"/>
      <c r="O209" s="236"/>
      <c r="P209" s="236"/>
      <c r="Q209" s="11"/>
      <c r="S209" s="221"/>
      <c r="T209" s="12"/>
      <c r="U209" s="12"/>
      <c r="V209" s="12"/>
      <c r="W209" s="236"/>
      <c r="X209" s="236"/>
      <c r="Y209" s="236"/>
      <c r="Z209" s="11"/>
      <c r="AB209" s="221"/>
      <c r="AC209" s="12"/>
      <c r="AD209" s="12"/>
      <c r="AE209" s="12"/>
      <c r="AF209" s="236"/>
      <c r="AG209" s="236"/>
      <c r="AH209" s="236"/>
      <c r="AI209" s="11"/>
    </row>
    <row r="210" customFormat="false" ht="17.35" hidden="false" customHeight="false" outlineLevel="0" collapsed="false">
      <c r="A210" s="221"/>
      <c r="B210" s="12"/>
      <c r="C210" s="12"/>
      <c r="D210" s="12"/>
      <c r="E210" s="236"/>
      <c r="F210" s="236"/>
      <c r="G210" s="236"/>
      <c r="H210" s="11"/>
      <c r="J210" s="221"/>
      <c r="K210" s="12"/>
      <c r="L210" s="12"/>
      <c r="M210" s="12"/>
      <c r="N210" s="236"/>
      <c r="O210" s="236"/>
      <c r="P210" s="236"/>
      <c r="Q210" s="11"/>
      <c r="S210" s="221"/>
      <c r="T210" s="12"/>
      <c r="U210" s="12"/>
      <c r="V210" s="12"/>
      <c r="W210" s="236"/>
      <c r="X210" s="236"/>
      <c r="Y210" s="236"/>
      <c r="Z210" s="11"/>
      <c r="AB210" s="221"/>
      <c r="AC210" s="12"/>
      <c r="AD210" s="12"/>
      <c r="AE210" s="12"/>
      <c r="AF210" s="236"/>
      <c r="AG210" s="236"/>
      <c r="AH210" s="236"/>
      <c r="AI210" s="11"/>
    </row>
    <row r="211" customFormat="false" ht="17.35" hidden="false" customHeight="false" outlineLevel="0" collapsed="false">
      <c r="A211" s="249"/>
      <c r="B211" s="250"/>
      <c r="C211" s="250"/>
      <c r="D211" s="250"/>
      <c r="E211" s="250"/>
      <c r="F211" s="250"/>
      <c r="G211" s="250"/>
      <c r="H211" s="84"/>
      <c r="J211" s="249"/>
      <c r="K211" s="250"/>
      <c r="L211" s="250"/>
      <c r="M211" s="250"/>
      <c r="N211" s="250"/>
      <c r="O211" s="250"/>
      <c r="P211" s="250"/>
      <c r="Q211" s="84"/>
      <c r="S211" s="249"/>
      <c r="T211" s="250"/>
      <c r="U211" s="250"/>
      <c r="V211" s="250"/>
      <c r="W211" s="250"/>
      <c r="X211" s="250"/>
      <c r="Y211" s="250"/>
      <c r="Z211" s="84"/>
      <c r="AB211" s="249"/>
      <c r="AC211" s="250"/>
      <c r="AD211" s="250"/>
      <c r="AE211" s="250"/>
      <c r="AF211" s="250"/>
      <c r="AG211" s="250"/>
      <c r="AH211" s="250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3" colorId="64" zoomScale="75" zoomScaleNormal="7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min="1" max="1" customWidth="true" hidden="false" style="216" width="41.67" collapsed="false" outlineLevel="0"/>
    <col min="2" max="6" customWidth="true" hidden="false" style="216" width="18.88" collapsed="false" outlineLevel="0"/>
    <col min="7" max="7" customWidth="true" hidden="false" style="216" width="23.13" collapsed="false" outlineLevel="0"/>
    <col min="8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2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2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2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 t="n">
        <v>0</v>
      </c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329" t="n">
        <v>0</v>
      </c>
      <c r="C4" s="329" t="n">
        <v>0</v>
      </c>
      <c r="D4" s="329" t="n">
        <v>0</v>
      </c>
      <c r="E4" s="329"/>
      <c r="F4" s="329" t="n">
        <v>0</v>
      </c>
      <c r="G4" s="329"/>
      <c r="H4" s="330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 t="n">
        <v>0</v>
      </c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331"/>
      <c r="C8" s="331"/>
      <c r="D8" s="331"/>
      <c r="E8" s="331"/>
      <c r="F8" s="331"/>
      <c r="G8" s="331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 t="n">
        <f aca="false">(B7+C7+D7+E3)</f>
        <v>46854.17</v>
      </c>
      <c r="F9" s="226"/>
      <c r="G9" s="332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 t="n">
        <v>50</v>
      </c>
      <c r="F10" s="229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 t="n">
        <v>585</v>
      </c>
      <c r="F13" s="229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 t="n">
        <v>55</v>
      </c>
      <c r="F14" s="229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 t="n">
        <v>120</v>
      </c>
      <c r="F16" s="229"/>
      <c r="G16" s="4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5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210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210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210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  <c r="P22" s="333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  <c r="P23" s="333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0"/>
      <c r="J24" s="0"/>
      <c r="K24" s="0"/>
      <c r="P24" s="333"/>
    </row>
    <row r="25" customFormat="false" ht="17.35" hidden="false" customHeight="false" outlineLevel="0" collapsed="false">
      <c r="A25" s="138"/>
      <c r="B25" s="145"/>
      <c r="C25" s="145"/>
      <c r="D25" s="145"/>
      <c r="E25" s="146"/>
      <c r="F25" s="135"/>
      <c r="G25" s="135"/>
      <c r="H25" s="135"/>
      <c r="I25" s="0"/>
      <c r="J25" s="0"/>
      <c r="K25" s="0"/>
      <c r="P25" s="333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0"/>
      <c r="J26" s="0"/>
      <c r="K26" s="0"/>
      <c r="P26" s="333"/>
    </row>
    <row r="27" customFormat="false" ht="17.35" hidden="false" customHeight="fals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3"/>
    </row>
    <row r="28" customFormat="false" ht="31.8" hidden="false" customHeight="fals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3"/>
    </row>
    <row r="29" customFormat="false" ht="17.35" hidden="false" customHeight="fals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33</v>
      </c>
      <c r="I29" s="0"/>
      <c r="J29" s="0"/>
      <c r="K29" s="0"/>
      <c r="P29" s="333"/>
    </row>
    <row r="30" customFormat="false" ht="17.35" hidden="false" customHeight="fals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0"/>
      <c r="J30" s="0"/>
      <c r="K30" s="0"/>
      <c r="P30" s="333"/>
    </row>
    <row r="31" customFormat="false" ht="31.8" hidden="false" customHeight="fals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0"/>
      <c r="J31" s="0"/>
      <c r="K31" s="0"/>
      <c r="P31" s="333"/>
    </row>
    <row r="32" customFormat="false" ht="17.35" hidden="false" customHeight="fals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n">
        <f aca="false">IF(A32=Z103,A41,IF(A32=Z104,A41,IF(A32=Z105,(A41*3),IF(A32=Z106,(A41*6),IF(A32=Z107,(A41*9),IF(A32=Z108,(A41*12),IF(A32=Z109,A41,IF(A32=Z110,A41,IF(A32=Z111,A41,0)))))))))</f>
        <v>14.2424242424242</v>
      </c>
      <c r="E32" s="159"/>
      <c r="F32" s="135"/>
      <c r="G32" s="160" t="s">
        <v>177</v>
      </c>
      <c r="H32" s="158" t="n">
        <f aca="false">A41</f>
        <v>14.2424242424242</v>
      </c>
      <c r="I32" s="0"/>
      <c r="J32" s="334" t="s">
        <v>268</v>
      </c>
      <c r="K32" s="335" t="s">
        <v>269</v>
      </c>
      <c r="P32" s="333"/>
    </row>
    <row r="33" customFormat="false" ht="17.35" hidden="false" customHeight="fals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n">
        <f aca="false">D41</f>
        <v>6000</v>
      </c>
      <c r="I33" s="0"/>
      <c r="J33" s="334"/>
      <c r="K33" s="336"/>
      <c r="P33" s="333"/>
    </row>
    <row r="34" customFormat="false" ht="17.35" hidden="false" customHeight="fals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12</v>
      </c>
      <c r="I34" s="0"/>
      <c r="J34" s="334" t="s">
        <v>270</v>
      </c>
      <c r="K34" s="337" t="s">
        <v>49</v>
      </c>
      <c r="P34" s="333"/>
    </row>
    <row r="35" customFormat="false" ht="17.35" hidden="false" customHeight="false" outlineLevel="0" collapsed="false">
      <c r="A35" s="159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5"/>
      <c r="G35" s="162"/>
      <c r="H35" s="163"/>
      <c r="I35" s="0"/>
      <c r="J35" s="334"/>
      <c r="K35" s="336"/>
      <c r="P35" s="333"/>
    </row>
    <row r="36" customFormat="false" ht="17.35" hidden="false" customHeight="false" outlineLevel="0" collapsed="false">
      <c r="A36" s="138"/>
      <c r="B36" s="145"/>
      <c r="C36" s="145"/>
      <c r="D36" s="145"/>
      <c r="E36" s="146"/>
      <c r="F36" s="135"/>
      <c r="G36" s="135" t="s">
        <v>271</v>
      </c>
      <c r="H36" s="338" t="s">
        <v>272</v>
      </c>
      <c r="I36" s="0"/>
      <c r="J36" s="334" t="s">
        <v>273</v>
      </c>
      <c r="K36" s="339" t="n">
        <f aca="false">K32-K34</f>
        <v>47877.5</v>
      </c>
      <c r="P36" s="333"/>
    </row>
    <row r="37" customFormat="false" ht="17.35" hidden="false" customHeight="fals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0"/>
      <c r="J37" s="0"/>
      <c r="K37" s="0"/>
      <c r="P37" s="333"/>
    </row>
    <row r="38" customFormat="false" ht="17.35" hidden="false" customHeight="false" outlineLevel="0" collapsed="false">
      <c r="A38" s="164" t="n">
        <f aca="false">(B35/12)*D35</f>
        <v>13750</v>
      </c>
      <c r="B38" s="37" t="s">
        <v>25</v>
      </c>
      <c r="C38" s="37"/>
      <c r="D38" s="42" t="s">
        <v>55</v>
      </c>
      <c r="E38" s="42"/>
      <c r="F38" s="135"/>
      <c r="G38" s="135"/>
      <c r="H38" s="135"/>
      <c r="I38" s="0"/>
      <c r="J38" s="340"/>
      <c r="K38" s="340"/>
      <c r="L38" s="50"/>
      <c r="N38" s="216" t="n">
        <f aca="false">80.88*36</f>
        <v>2911.68</v>
      </c>
      <c r="P38" s="333"/>
    </row>
    <row r="39" customFormat="false" ht="17.35" hidden="false" customHeight="false" outlineLevel="0" collapsed="false">
      <c r="A39" s="57"/>
      <c r="B39" s="45"/>
      <c r="C39" s="45"/>
      <c r="D39" s="145"/>
      <c r="E39" s="146"/>
      <c r="F39" s="135"/>
      <c r="G39" s="135"/>
      <c r="H39" s="165"/>
      <c r="I39" s="0"/>
      <c r="J39" s="0"/>
      <c r="K39" s="0"/>
      <c r="L39" s="50"/>
      <c r="N39" s="216" t="n">
        <f aca="false">K39-L39</f>
        <v>0</v>
      </c>
      <c r="P39" s="333"/>
    </row>
    <row r="40" customFormat="false" ht="17.35" hidden="false" customHeight="fals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0"/>
      <c r="J40" s="0"/>
      <c r="K40" s="0"/>
      <c r="L40" s="50"/>
      <c r="N40" s="216" t="n">
        <f aca="false">N38-N39</f>
        <v>2911.68</v>
      </c>
      <c r="P40" s="333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5"/>
      <c r="G41" s="135"/>
      <c r="H41" s="167"/>
      <c r="J41" s="50"/>
      <c r="K41" s="50"/>
      <c r="L41" s="50"/>
      <c r="P41" s="333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J42" s="50"/>
      <c r="K42" s="50"/>
      <c r="L42" s="50"/>
      <c r="P42" s="333"/>
    </row>
    <row r="43" customFormat="false" ht="17.35" hidden="false" customHeight="fals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500.363636363636</v>
      </c>
      <c r="J43" s="50"/>
      <c r="K43" s="50"/>
      <c r="L43" s="50"/>
      <c r="P43" s="333"/>
    </row>
    <row r="44" customFormat="false" ht="17.35" hidden="false" customHeight="false" outlineLevel="0" collapsed="false">
      <c r="A44" s="42" t="s">
        <v>44</v>
      </c>
      <c r="B44" s="166" t="n">
        <v>0</v>
      </c>
      <c r="C44" s="166"/>
      <c r="D44" s="166" t="n">
        <v>0</v>
      </c>
      <c r="E44" s="166"/>
      <c r="F44" s="135"/>
      <c r="G44" s="135" t="s">
        <v>185</v>
      </c>
      <c r="H44" s="165" t="n">
        <f aca="false">H32</f>
        <v>14.2424242424242</v>
      </c>
      <c r="J44" s="50"/>
      <c r="K44" s="50"/>
      <c r="L44" s="50"/>
      <c r="P44" s="333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514.606060606061</v>
      </c>
      <c r="J45" s="50"/>
      <c r="K45" s="50"/>
      <c r="L45" s="50"/>
      <c r="P45" s="333"/>
    </row>
    <row r="46" customFormat="false" ht="17.35" hidden="false" customHeight="fals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500.363636363636</v>
      </c>
      <c r="J46" s="50"/>
      <c r="K46" s="50"/>
      <c r="L46" s="50"/>
      <c r="P46" s="333"/>
    </row>
    <row r="47" customFormat="false" ht="17.35" hidden="false" customHeight="false" outlineLevel="0" collapsed="false">
      <c r="A47" s="170" t="n">
        <v>0</v>
      </c>
      <c r="B47" s="171" t="n">
        <v>0</v>
      </c>
      <c r="C47" s="171"/>
      <c r="D47" s="166" t="n">
        <v>0</v>
      </c>
      <c r="E47" s="166"/>
      <c r="F47" s="135"/>
      <c r="G47" s="135"/>
      <c r="H47" s="165"/>
      <c r="J47" s="50"/>
      <c r="K47" s="50"/>
      <c r="L47" s="50"/>
      <c r="P47" s="333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5"/>
      <c r="G48" s="135"/>
      <c r="H48" s="165"/>
      <c r="J48" s="63"/>
      <c r="K48" s="50"/>
      <c r="L48" s="50"/>
      <c r="P48" s="333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5"/>
      <c r="G49" s="135"/>
      <c r="H49" s="165"/>
      <c r="J49" s="50"/>
      <c r="K49" s="50"/>
      <c r="L49" s="50"/>
      <c r="P49" s="333"/>
    </row>
    <row r="50" customFormat="false" ht="17.35" hidden="false" customHeight="false" outlineLevel="0" collapsed="false">
      <c r="A50" s="138"/>
      <c r="B50" s="175"/>
      <c r="C50" s="175"/>
      <c r="D50" s="145"/>
      <c r="E50" s="146"/>
      <c r="F50" s="0"/>
      <c r="G50" s="0"/>
      <c r="H50" s="0"/>
      <c r="I50" s="50"/>
      <c r="J50" s="50"/>
      <c r="K50" s="50"/>
      <c r="P50" s="333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5"/>
      <c r="E51" s="146"/>
      <c r="F51" s="0"/>
      <c r="G51" s="0"/>
      <c r="H51" s="0"/>
      <c r="I51" s="50"/>
      <c r="J51" s="50"/>
      <c r="K51" s="50"/>
      <c r="P51" s="333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5"/>
      <c r="E52" s="146"/>
      <c r="F52" s="0"/>
      <c r="G52" s="0"/>
      <c r="H52" s="0"/>
      <c r="I52" s="50"/>
      <c r="J52" s="50"/>
      <c r="K52" s="50"/>
      <c r="P52" s="333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5"/>
      <c r="E53" s="146"/>
      <c r="F53" s="0"/>
      <c r="G53" s="0"/>
      <c r="H53" s="0"/>
      <c r="I53" s="50"/>
      <c r="J53" s="50"/>
      <c r="K53" s="50"/>
      <c r="P53" s="333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3"/>
    </row>
    <row r="55" customFormat="false" ht="17.35" hidden="false" customHeight="false" outlineLevel="0" collapsed="false">
      <c r="A55" s="236"/>
      <c r="B55" s="236"/>
      <c r="C55" s="236"/>
      <c r="D55" s="236"/>
      <c r="E55" s="236"/>
      <c r="F55" s="236"/>
      <c r="G55" s="236"/>
      <c r="H55" s="236"/>
      <c r="J55" s="50"/>
      <c r="K55" s="50"/>
      <c r="P55" s="333"/>
    </row>
    <row r="56" customFormat="false" ht="17.35" hidden="false" customHeight="false" outlineLevel="0" collapsed="false">
      <c r="A56" s="236"/>
      <c r="B56" s="236"/>
      <c r="C56" s="236"/>
      <c r="D56" s="236"/>
      <c r="E56" s="236"/>
      <c r="F56" s="236"/>
      <c r="G56" s="236"/>
      <c r="H56" s="236"/>
      <c r="J56" s="50"/>
      <c r="K56" s="50"/>
      <c r="P56" s="333"/>
    </row>
    <row r="57" customFormat="false" ht="17.35" hidden="false" customHeight="false" outlineLevel="0" collapsed="false">
      <c r="A57" s="238"/>
      <c r="B57" s="239"/>
      <c r="C57" s="239"/>
      <c r="D57" s="239"/>
      <c r="E57" s="262"/>
      <c r="F57" s="262"/>
      <c r="G57" s="262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1" t="s">
        <v>83</v>
      </c>
      <c r="B58" s="331" t="n">
        <v>1</v>
      </c>
      <c r="C58" s="341"/>
      <c r="D58" s="331"/>
      <c r="E58" s="342"/>
      <c r="F58" s="342"/>
      <c r="G58" s="34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1" t="s">
        <v>84</v>
      </c>
      <c r="B59" s="331" t="n">
        <f aca="false">B35-B58</f>
        <v>32</v>
      </c>
      <c r="C59" s="341"/>
      <c r="D59" s="331"/>
      <c r="E59" s="342"/>
      <c r="F59" s="342"/>
      <c r="G59" s="34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3" t="s">
        <v>206</v>
      </c>
      <c r="B60" s="88" t="n">
        <v>10</v>
      </c>
      <c r="C60" s="341"/>
      <c r="D60" s="331"/>
      <c r="E60" s="342"/>
      <c r="F60" s="342"/>
      <c r="G60" s="34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1" t="s">
        <v>21</v>
      </c>
      <c r="B61" s="331" t="n">
        <f aca="false">J18</f>
        <v>57225</v>
      </c>
      <c r="C61" s="341"/>
      <c r="D61" s="331"/>
      <c r="E61" s="342"/>
      <c r="F61" s="342"/>
      <c r="G61" s="34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4" t="s">
        <v>207</v>
      </c>
      <c r="B62" s="343" t="n">
        <v>0</v>
      </c>
      <c r="C62" s="341"/>
      <c r="D62" s="331"/>
      <c r="E62" s="342"/>
      <c r="F62" s="342"/>
      <c r="G62" s="342"/>
      <c r="H62" s="11"/>
      <c r="J62" s="0"/>
      <c r="K62" s="344"/>
      <c r="L62" s="0"/>
      <c r="M62" s="0"/>
      <c r="N62" s="0"/>
      <c r="O62" s="0"/>
      <c r="P62" s="0"/>
      <c r="Q62" s="0"/>
      <c r="R62" s="0"/>
      <c r="S62" s="0"/>
      <c r="T62" s="344"/>
      <c r="U62" s="0"/>
      <c r="V62" s="0"/>
      <c r="W62" s="0"/>
      <c r="X62" s="0"/>
      <c r="Y62" s="0"/>
      <c r="Z62" s="0"/>
      <c r="AA62" s="0"/>
      <c r="AB62" s="0"/>
      <c r="AC62" s="344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8" t="s">
        <v>208</v>
      </c>
      <c r="B63" s="345" t="n">
        <v>0.065</v>
      </c>
      <c r="C63" s="341"/>
      <c r="D63" s="331"/>
      <c r="E63" s="342"/>
      <c r="F63" s="342"/>
      <c r="G63" s="342"/>
      <c r="H63" s="11"/>
      <c r="J63" s="0"/>
      <c r="K63" s="344"/>
      <c r="L63" s="0"/>
      <c r="M63" s="0"/>
      <c r="N63" s="0"/>
      <c r="O63" s="0"/>
      <c r="P63" s="0"/>
      <c r="Q63" s="0"/>
      <c r="R63" s="0"/>
      <c r="S63" s="0"/>
      <c r="T63" s="344"/>
      <c r="U63" s="0"/>
      <c r="V63" s="0"/>
      <c r="W63" s="0"/>
      <c r="X63" s="0"/>
      <c r="Y63" s="0"/>
      <c r="Z63" s="0"/>
      <c r="AA63" s="0"/>
      <c r="AB63" s="0"/>
      <c r="AC63" s="344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7" t="s">
        <v>209</v>
      </c>
      <c r="B64" s="346" t="n">
        <v>0.072</v>
      </c>
      <c r="C64" s="331"/>
      <c r="D64" s="331"/>
      <c r="E64" s="342"/>
      <c r="F64" s="342"/>
      <c r="G64" s="342"/>
      <c r="H64" s="11"/>
      <c r="J64" s="0"/>
      <c r="K64" s="344"/>
      <c r="L64" s="0"/>
      <c r="M64" s="0"/>
      <c r="N64" s="0"/>
      <c r="O64" s="0"/>
      <c r="P64" s="0"/>
      <c r="Q64" s="0"/>
      <c r="R64" s="0"/>
      <c r="S64" s="0"/>
      <c r="T64" s="344"/>
      <c r="U64" s="0"/>
      <c r="V64" s="0"/>
      <c r="W64" s="0"/>
      <c r="X64" s="0"/>
      <c r="Y64" s="0"/>
      <c r="Z64" s="0"/>
      <c r="AA64" s="0"/>
      <c r="AB64" s="0"/>
      <c r="AC64" s="344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9" t="s">
        <v>87</v>
      </c>
      <c r="B65" s="84" t="n">
        <f aca="false">(B89*B59)-B53</f>
        <v>51961.7272372354</v>
      </c>
      <c r="C65" s="331"/>
      <c r="D65" s="331"/>
      <c r="E65" s="342"/>
      <c r="F65" s="342"/>
      <c r="G65" s="34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4" t="s">
        <v>88</v>
      </c>
      <c r="B66" s="343" t="n">
        <v>0.005</v>
      </c>
      <c r="C66" s="331"/>
      <c r="D66" s="331"/>
      <c r="E66" s="342"/>
      <c r="F66" s="342"/>
      <c r="G66" s="342"/>
      <c r="H66" s="11"/>
      <c r="J66" s="0"/>
      <c r="K66" s="344"/>
      <c r="L66" s="0"/>
      <c r="M66" s="0"/>
      <c r="N66" s="0"/>
      <c r="O66" s="0"/>
      <c r="P66" s="0"/>
      <c r="Q66" s="0"/>
      <c r="R66" s="0"/>
      <c r="S66" s="0"/>
      <c r="T66" s="344"/>
      <c r="U66" s="0"/>
      <c r="V66" s="0"/>
      <c r="W66" s="0"/>
      <c r="X66" s="0"/>
      <c r="Y66" s="0"/>
      <c r="Z66" s="0"/>
      <c r="AA66" s="0"/>
      <c r="AB66" s="0"/>
      <c r="AC66" s="344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1" t="s">
        <v>89</v>
      </c>
      <c r="B67" s="347" t="n">
        <f aca="false">B66+(B66*0.5*(K29/12-1))</f>
        <v>0.0025</v>
      </c>
      <c r="C67" s="331"/>
      <c r="D67" s="331"/>
      <c r="E67" s="342"/>
      <c r="F67" s="342"/>
      <c r="G67" s="342"/>
      <c r="H67" s="11"/>
      <c r="J67" s="0"/>
      <c r="K67" s="344"/>
      <c r="L67" s="0"/>
      <c r="M67" s="0"/>
      <c r="N67" s="0"/>
      <c r="O67" s="0"/>
      <c r="P67" s="0"/>
      <c r="Q67" s="0"/>
      <c r="R67" s="0"/>
      <c r="S67" s="0"/>
      <c r="T67" s="344"/>
      <c r="U67" s="0"/>
      <c r="V67" s="0"/>
      <c r="W67" s="0"/>
      <c r="X67" s="0"/>
      <c r="Y67" s="0"/>
      <c r="Z67" s="0"/>
      <c r="AA67" s="0"/>
      <c r="AB67" s="0"/>
      <c r="AC67" s="344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9" t="s">
        <v>90</v>
      </c>
      <c r="B68" s="84" t="n">
        <f aca="false">(G158*B67)</f>
        <v>143.81251</v>
      </c>
      <c r="C68" s="331"/>
      <c r="D68" s="331"/>
      <c r="E68" s="342"/>
      <c r="F68" s="342"/>
      <c r="G68" s="34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4" t="s">
        <v>91</v>
      </c>
      <c r="B69" s="343" t="n">
        <v>0</v>
      </c>
      <c r="C69" s="348"/>
      <c r="D69" s="331"/>
      <c r="E69" s="342"/>
      <c r="F69" s="342"/>
      <c r="G69" s="342"/>
      <c r="H69" s="11"/>
      <c r="J69" s="0"/>
      <c r="K69" s="344"/>
      <c r="L69" s="0"/>
      <c r="M69" s="0"/>
      <c r="N69" s="0"/>
      <c r="O69" s="0"/>
      <c r="P69" s="0"/>
      <c r="Q69" s="0"/>
      <c r="R69" s="0"/>
      <c r="S69" s="0"/>
      <c r="T69" s="344"/>
      <c r="U69" s="0"/>
      <c r="V69" s="0"/>
      <c r="W69" s="0"/>
      <c r="X69" s="0"/>
      <c r="Y69" s="0"/>
      <c r="Z69" s="0"/>
      <c r="AA69" s="0"/>
      <c r="AB69" s="0"/>
      <c r="AC69" s="344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8" t="s">
        <v>92</v>
      </c>
      <c r="B70" s="345" t="n">
        <v>0</v>
      </c>
      <c r="C70" s="348"/>
      <c r="D70" s="331"/>
      <c r="E70" s="342"/>
      <c r="F70" s="342"/>
      <c r="G70" s="342"/>
      <c r="H70" s="11"/>
      <c r="J70" s="0"/>
      <c r="K70" s="344"/>
      <c r="L70" s="0"/>
      <c r="M70" s="0"/>
      <c r="N70" s="0"/>
      <c r="O70" s="0"/>
      <c r="P70" s="0"/>
      <c r="Q70" s="0"/>
      <c r="R70" s="0"/>
      <c r="S70" s="0"/>
      <c r="T70" s="344"/>
      <c r="U70" s="0"/>
      <c r="V70" s="0"/>
      <c r="W70" s="0"/>
      <c r="X70" s="0"/>
      <c r="Y70" s="0"/>
      <c r="Z70" s="0"/>
      <c r="AA70" s="0"/>
      <c r="AB70" s="0"/>
      <c r="AC70" s="344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9" t="s">
        <v>93</v>
      </c>
      <c r="B71" s="349" t="n">
        <f aca="false">B69*(1+B70)</f>
        <v>0</v>
      </c>
      <c r="C71" s="348"/>
      <c r="D71" s="331"/>
      <c r="E71" s="342"/>
      <c r="F71" s="342"/>
      <c r="G71" s="342"/>
      <c r="H71" s="11"/>
      <c r="J71" s="0"/>
      <c r="K71" s="344"/>
      <c r="L71" s="0"/>
      <c r="M71" s="0"/>
      <c r="N71" s="0"/>
      <c r="O71" s="0"/>
      <c r="P71" s="0"/>
      <c r="Q71" s="0"/>
      <c r="R71" s="0"/>
      <c r="S71" s="0"/>
      <c r="T71" s="344"/>
      <c r="U71" s="0"/>
      <c r="V71" s="0"/>
      <c r="W71" s="0"/>
      <c r="X71" s="0"/>
      <c r="Y71" s="0"/>
      <c r="Z71" s="0"/>
      <c r="AA71" s="0"/>
      <c r="AB71" s="0"/>
      <c r="AC71" s="344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4" t="s">
        <v>94</v>
      </c>
      <c r="B72" s="87" t="n">
        <v>0</v>
      </c>
      <c r="C72" s="348"/>
      <c r="D72" s="331"/>
      <c r="E72" s="342"/>
      <c r="F72" s="342"/>
      <c r="G72" s="34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8" t="s">
        <v>95</v>
      </c>
      <c r="B73" s="88" t="n">
        <v>0</v>
      </c>
      <c r="C73" s="348"/>
      <c r="D73" s="331"/>
      <c r="E73" s="342"/>
      <c r="F73" s="342"/>
      <c r="G73" s="34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9" t="s">
        <v>96</v>
      </c>
      <c r="B74" s="84" t="n">
        <f aca="false">B73*B35</f>
        <v>0</v>
      </c>
      <c r="C74" s="348"/>
      <c r="D74" s="331" t="n">
        <f aca="false">B74+B72</f>
        <v>0</v>
      </c>
      <c r="E74" s="342"/>
      <c r="F74" s="342"/>
      <c r="G74" s="34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8" t="s">
        <v>103</v>
      </c>
      <c r="B75" s="88" t="n">
        <v>0</v>
      </c>
      <c r="C75" s="348"/>
      <c r="D75" s="331" t="n">
        <f aca="false">B75</f>
        <v>0</v>
      </c>
      <c r="E75" s="342"/>
      <c r="F75" s="342"/>
      <c r="G75" s="34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7" t="s">
        <v>104</v>
      </c>
      <c r="B76" s="97" t="n">
        <v>0</v>
      </c>
      <c r="C76" s="348"/>
      <c r="D76" s="331" t="n">
        <f aca="false">B76</f>
        <v>0</v>
      </c>
      <c r="E76" s="342"/>
      <c r="F76" s="331"/>
      <c r="G76" s="34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1" t="s">
        <v>105</v>
      </c>
      <c r="B77" s="272" t="n">
        <f aca="false">SUM(D65:D76)</f>
        <v>0</v>
      </c>
      <c r="C77" s="331"/>
      <c r="D77" s="331"/>
      <c r="E77" s="342"/>
      <c r="F77" s="331"/>
      <c r="G77" s="331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1" t="s">
        <v>106</v>
      </c>
      <c r="B78" s="11" t="n">
        <f aca="false">B77/B35</f>
        <v>0</v>
      </c>
      <c r="C78" s="331"/>
      <c r="D78" s="331"/>
      <c r="E78" s="342"/>
      <c r="F78" s="342"/>
      <c r="G78" s="34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3" t="s">
        <v>107</v>
      </c>
      <c r="B79" s="101" t="n">
        <f aca="false">H46</f>
        <v>500.363636363636</v>
      </c>
      <c r="C79" s="331"/>
      <c r="D79" s="331"/>
      <c r="E79" s="342"/>
      <c r="F79" s="342"/>
      <c r="G79" s="34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1"/>
      <c r="B80" s="331"/>
      <c r="C80" s="331"/>
      <c r="D80" s="331"/>
      <c r="E80" s="342"/>
      <c r="F80" s="342"/>
      <c r="G80" s="34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8" t="s">
        <v>210</v>
      </c>
      <c r="B81" s="102" t="n">
        <f aca="false">K36</f>
        <v>47877.5</v>
      </c>
      <c r="C81" s="331"/>
      <c r="D81" s="331"/>
      <c r="E81" s="342"/>
      <c r="F81" s="342"/>
      <c r="G81" s="34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1" t="s">
        <v>211</v>
      </c>
      <c r="B82" s="11" t="n">
        <f aca="false">D41</f>
        <v>6000</v>
      </c>
      <c r="C82" s="331"/>
      <c r="D82" s="331"/>
      <c r="E82" s="342"/>
      <c r="F82" s="342"/>
      <c r="G82" s="34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1" t="s">
        <v>212</v>
      </c>
      <c r="B83" s="350" t="n">
        <f aca="false">B62+B63+B64</f>
        <v>0.137</v>
      </c>
      <c r="C83" s="331"/>
      <c r="D83" s="331"/>
      <c r="E83" s="342"/>
      <c r="F83" s="342"/>
      <c r="G83" s="342"/>
      <c r="H83" s="11"/>
      <c r="J83" s="0"/>
      <c r="K83" s="344"/>
      <c r="L83" s="0"/>
      <c r="M83" s="0"/>
      <c r="N83" s="0"/>
      <c r="O83" s="0"/>
      <c r="P83" s="0"/>
      <c r="Q83" s="0"/>
      <c r="R83" s="0"/>
      <c r="S83" s="0"/>
      <c r="T83" s="344"/>
      <c r="U83" s="0"/>
      <c r="V83" s="0"/>
      <c r="W83" s="0"/>
      <c r="X83" s="0"/>
      <c r="Y83" s="0"/>
      <c r="Z83" s="0"/>
      <c r="AA83" s="0"/>
      <c r="AB83" s="0"/>
      <c r="AC83" s="344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1" t="s">
        <v>213</v>
      </c>
      <c r="B84" s="347" t="n">
        <f aca="false">B83/12</f>
        <v>0.0114166666666667</v>
      </c>
      <c r="C84" s="331"/>
      <c r="D84" s="331"/>
      <c r="E84" s="342"/>
      <c r="F84" s="342"/>
      <c r="G84" s="342"/>
      <c r="H84" s="11"/>
      <c r="J84" s="0"/>
      <c r="K84" s="344"/>
      <c r="L84" s="0"/>
      <c r="M84" s="0"/>
      <c r="N84" s="0"/>
      <c r="O84" s="0"/>
      <c r="P84" s="0"/>
      <c r="Q84" s="0"/>
      <c r="R84" s="0"/>
      <c r="S84" s="0"/>
      <c r="T84" s="344"/>
      <c r="U84" s="0"/>
      <c r="V84" s="0"/>
      <c r="W84" s="0"/>
      <c r="X84" s="0"/>
      <c r="Y84" s="0"/>
      <c r="Z84" s="0"/>
      <c r="AA84" s="0"/>
      <c r="AB84" s="0"/>
      <c r="AC84" s="344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1" t="s">
        <v>214</v>
      </c>
      <c r="B85" s="11" t="n">
        <f aca="false">IF(B82=0, (B59+B58), (B59))</f>
        <v>32</v>
      </c>
      <c r="C85" s="331"/>
      <c r="D85" s="331"/>
      <c r="E85" s="342"/>
      <c r="F85" s="342"/>
      <c r="G85" s="34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1" t="s">
        <v>215</v>
      </c>
      <c r="B86" s="11" t="n">
        <f aca="false">(B82/((1+B84)^(B85+1)))</f>
        <v>4125.32107917265</v>
      </c>
      <c r="C86" s="331" t="n">
        <f aca="false">(B82/((1+B84)^(B85+1)))</f>
        <v>4125.32107917265</v>
      </c>
      <c r="D86" s="331"/>
      <c r="E86" s="342"/>
      <c r="F86" s="342"/>
      <c r="G86" s="34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1" t="s">
        <v>216</v>
      </c>
      <c r="B87" s="11" t="n">
        <f aca="false">((1-(1/((1+B84)^B85)))/B84)</f>
        <v>26.6800219733353</v>
      </c>
      <c r="C87" s="331" t="n">
        <f aca="false">((1-(1/((1+B84)^B85)))/B84)</f>
        <v>26.6800219733353</v>
      </c>
      <c r="D87" s="331"/>
      <c r="E87" s="342"/>
      <c r="F87" s="342"/>
      <c r="G87" s="34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1" t="s">
        <v>217</v>
      </c>
      <c r="B88" s="11" t="n">
        <f aca="false">B81-B86</f>
        <v>43752.1789208274</v>
      </c>
      <c r="C88" s="331" t="n">
        <f aca="false">B81-B86</f>
        <v>43752.1789208274</v>
      </c>
      <c r="D88" s="331"/>
      <c r="E88" s="342"/>
      <c r="F88" s="342"/>
      <c r="G88" s="34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1" t="s">
        <v>218</v>
      </c>
      <c r="B89" s="11" t="n">
        <f aca="false">(B88/B87)</f>
        <v>1639.88541555755</v>
      </c>
      <c r="C89" s="331" t="n">
        <f aca="false">(B88/B87)</f>
        <v>1639.88541555755</v>
      </c>
      <c r="D89" s="331"/>
      <c r="E89" s="342"/>
      <c r="F89" s="342"/>
      <c r="G89" s="34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1" t="s">
        <v>108</v>
      </c>
      <c r="B90" s="11" t="n">
        <f aca="false">((B89*(B85))+B77)</f>
        <v>52476.3332978415</v>
      </c>
      <c r="C90" s="331"/>
      <c r="D90" s="331"/>
      <c r="E90" s="342"/>
      <c r="F90" s="342"/>
      <c r="G90" s="34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1" t="s">
        <v>109</v>
      </c>
      <c r="B91" s="11" t="n">
        <f aca="false">(((B89*(B85))+B77)/(1-B71))*B71</f>
        <v>0</v>
      </c>
      <c r="C91" s="331"/>
      <c r="D91" s="331"/>
      <c r="E91" s="342"/>
      <c r="F91" s="342"/>
      <c r="G91" s="34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9" t="s">
        <v>110</v>
      </c>
      <c r="B92" s="84" t="n">
        <f aca="false">(B90+B91)</f>
        <v>52476.3332978415</v>
      </c>
      <c r="C92" s="331"/>
      <c r="D92" s="331"/>
      <c r="E92" s="342"/>
      <c r="F92" s="342"/>
      <c r="G92" s="34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1"/>
      <c r="B93" s="331"/>
      <c r="C93" s="331"/>
      <c r="D93" s="331"/>
      <c r="E93" s="342"/>
      <c r="F93" s="342"/>
      <c r="G93" s="34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1" t="s">
        <v>65</v>
      </c>
      <c r="B94" s="351" t="n">
        <f aca="false">IF(B38="YES",((H36/B85)*(1+A108)*1.2),"0")</f>
        <v>21.15</v>
      </c>
      <c r="C94" s="331"/>
      <c r="D94" s="331"/>
      <c r="E94" s="342"/>
      <c r="F94" s="342"/>
      <c r="G94" s="34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4" t="s">
        <v>111</v>
      </c>
      <c r="B95" s="275" t="n">
        <f aca="false">B92/(B85)</f>
        <v>1639.88541555755</v>
      </c>
      <c r="C95" s="331"/>
      <c r="D95" s="331"/>
      <c r="E95" s="342"/>
      <c r="F95" s="342"/>
      <c r="G95" s="34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6" t="s">
        <v>112</v>
      </c>
      <c r="B96" s="277" t="n">
        <f aca="false">B94+B95</f>
        <v>1661.03541555755</v>
      </c>
      <c r="C96" s="331"/>
      <c r="D96" s="331"/>
      <c r="E96" s="342"/>
      <c r="F96" s="342"/>
      <c r="G96" s="34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9"/>
      <c r="B97" s="250"/>
      <c r="C97" s="250"/>
      <c r="D97" s="250"/>
      <c r="E97" s="278"/>
      <c r="F97" s="278"/>
      <c r="G97" s="278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6"/>
      <c r="B98" s="236"/>
      <c r="C98" s="236"/>
      <c r="D98" s="236"/>
      <c r="E98" s="236"/>
      <c r="F98" s="236"/>
      <c r="G98" s="236"/>
      <c r="H98" s="236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6"/>
      <c r="B99" s="236"/>
      <c r="C99" s="236"/>
      <c r="D99" s="236"/>
      <c r="E99" s="236"/>
      <c r="F99" s="236"/>
      <c r="G99" s="236"/>
      <c r="H99" s="236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7" t="s">
        <v>222</v>
      </c>
      <c r="B100" s="217"/>
      <c r="C100" s="217"/>
      <c r="D100" s="217"/>
      <c r="E100" s="217"/>
      <c r="F100" s="217"/>
      <c r="G100" s="217"/>
      <c r="H100" s="217"/>
      <c r="J100" s="340"/>
      <c r="K100" s="340"/>
      <c r="L100" s="340"/>
      <c r="M100" s="340"/>
      <c r="N100" s="340"/>
      <c r="O100" s="340"/>
      <c r="P100" s="340"/>
      <c r="Q100" s="340"/>
      <c r="R100" s="0"/>
      <c r="S100" s="340"/>
      <c r="T100" s="340"/>
      <c r="U100" s="340"/>
      <c r="V100" s="340"/>
      <c r="W100" s="340"/>
      <c r="X100" s="340"/>
      <c r="Y100" s="340"/>
      <c r="Z100" s="340"/>
      <c r="AA100" s="0"/>
      <c r="AB100" s="340"/>
      <c r="AC100" s="340"/>
      <c r="AD100" s="340"/>
      <c r="AE100" s="340"/>
      <c r="AF100" s="340"/>
      <c r="AG100" s="340"/>
      <c r="AH100" s="340"/>
      <c r="AI100" s="340"/>
    </row>
    <row r="101" customFormat="false" ht="17.35" hidden="false" customHeight="false" outlineLevel="0" collapsed="false">
      <c r="A101" s="238"/>
      <c r="B101" s="239"/>
      <c r="C101" s="239"/>
      <c r="D101" s="239"/>
      <c r="E101" s="262"/>
      <c r="F101" s="262"/>
      <c r="G101" s="262"/>
      <c r="H101" s="279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40" t="s">
        <v>116</v>
      </c>
      <c r="B102" s="240"/>
      <c r="C102" s="240"/>
      <c r="D102" s="240"/>
      <c r="E102" s="240"/>
      <c r="F102" s="240"/>
      <c r="G102" s="240"/>
      <c r="H102" s="240"/>
      <c r="J102" s="340"/>
      <c r="K102" s="340"/>
      <c r="L102" s="340"/>
      <c r="M102" s="340"/>
      <c r="N102" s="340"/>
      <c r="O102" s="340"/>
      <c r="P102" s="340"/>
      <c r="Q102" s="340"/>
      <c r="R102" s="0"/>
      <c r="S102" s="340"/>
      <c r="T102" s="340"/>
      <c r="U102" s="340"/>
      <c r="V102" s="340"/>
      <c r="W102" s="340"/>
      <c r="X102" s="340"/>
      <c r="Y102" s="340"/>
      <c r="Z102" s="340"/>
      <c r="AA102" s="0"/>
      <c r="AB102" s="340"/>
      <c r="AC102" s="340"/>
      <c r="AD102" s="340"/>
      <c r="AE102" s="340"/>
      <c r="AF102" s="340"/>
      <c r="AG102" s="340"/>
      <c r="AH102" s="340"/>
      <c r="AI102" s="340"/>
    </row>
    <row r="103" customFormat="false" ht="17.35" hidden="false" customHeight="false" outlineLevel="0" collapsed="false">
      <c r="A103" s="221"/>
      <c r="B103" s="331"/>
      <c r="C103" s="331"/>
      <c r="D103" s="331"/>
      <c r="E103" s="342"/>
      <c r="F103" s="342"/>
      <c r="G103" s="342"/>
      <c r="H103" s="28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5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1" t="s">
        <v>118</v>
      </c>
      <c r="B104" s="331" t="s">
        <v>30</v>
      </c>
      <c r="C104" s="331"/>
      <c r="D104" s="331"/>
      <c r="E104" s="331" t="s">
        <v>130</v>
      </c>
      <c r="F104" s="331"/>
      <c r="G104" s="331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5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1" t="s">
        <v>224</v>
      </c>
      <c r="B105" s="215" t="s">
        <v>117</v>
      </c>
      <c r="C105" s="215"/>
      <c r="D105" s="215"/>
      <c r="E105" s="42" t="s">
        <v>26</v>
      </c>
      <c r="F105" s="42"/>
      <c r="G105" s="42"/>
      <c r="H105" s="280"/>
      <c r="J105" s="0"/>
      <c r="K105" s="340"/>
      <c r="L105" s="340"/>
      <c r="M105" s="340"/>
      <c r="N105" s="340"/>
      <c r="O105" s="340"/>
      <c r="P105" s="340"/>
      <c r="Q105" s="0"/>
      <c r="R105" s="0"/>
      <c r="S105" s="0"/>
      <c r="T105" s="340"/>
      <c r="U105" s="340"/>
      <c r="V105" s="340"/>
      <c r="W105" s="340"/>
      <c r="X105" s="340"/>
      <c r="Y105" s="340"/>
      <c r="Z105" s="135" t="s">
        <v>124</v>
      </c>
      <c r="AA105" s="0"/>
      <c r="AB105" s="0"/>
      <c r="AC105" s="340"/>
      <c r="AD105" s="340"/>
      <c r="AE105" s="340"/>
      <c r="AF105" s="340"/>
      <c r="AG105" s="340"/>
      <c r="AH105" s="340"/>
      <c r="AI105" s="0"/>
    </row>
    <row r="106" customFormat="false" ht="17.35" hidden="false" customHeight="false" outlineLevel="0" collapsed="false">
      <c r="A106" s="221"/>
      <c r="B106" s="331"/>
      <c r="C106" s="331"/>
      <c r="D106" s="342"/>
      <c r="E106" s="331"/>
      <c r="F106" s="331"/>
      <c r="G106" s="34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5" t="s">
        <v>125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1" t="s">
        <v>131</v>
      </c>
      <c r="B107" s="331" t="s">
        <v>225</v>
      </c>
      <c r="C107" s="331"/>
      <c r="D107" s="342"/>
      <c r="E107" s="331" t="s">
        <v>226</v>
      </c>
      <c r="F107" s="331"/>
      <c r="G107" s="342"/>
      <c r="H107" s="28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5" t="s">
        <v>129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2" t="n">
        <v>0.2</v>
      </c>
      <c r="B108" s="112" t="s">
        <v>219</v>
      </c>
      <c r="C108" s="112"/>
      <c r="D108" s="112"/>
      <c r="E108" s="282" t="n">
        <f aca="false">B83</f>
        <v>0.137</v>
      </c>
      <c r="F108" s="282"/>
      <c r="G108" s="282"/>
      <c r="H108" s="246"/>
      <c r="J108" s="344"/>
      <c r="K108" s="340"/>
      <c r="L108" s="340"/>
      <c r="M108" s="340"/>
      <c r="N108" s="344"/>
      <c r="O108" s="344"/>
      <c r="P108" s="344"/>
      <c r="Q108" s="0"/>
      <c r="R108" s="0"/>
      <c r="S108" s="344"/>
      <c r="T108" s="340"/>
      <c r="U108" s="340"/>
      <c r="V108" s="340"/>
      <c r="W108" s="344"/>
      <c r="X108" s="344"/>
      <c r="Y108" s="344"/>
      <c r="Z108" s="135" t="s">
        <v>123</v>
      </c>
      <c r="AA108" s="0"/>
      <c r="AB108" s="344"/>
      <c r="AC108" s="340"/>
      <c r="AD108" s="340"/>
      <c r="AE108" s="340"/>
      <c r="AF108" s="344"/>
      <c r="AG108" s="344"/>
      <c r="AH108" s="344"/>
      <c r="AI108" s="0"/>
      <c r="AP108" s="216" t="s">
        <v>229</v>
      </c>
    </row>
    <row r="109" customFormat="false" ht="17.35" hidden="false" customHeight="false" outlineLevel="0" collapsed="false">
      <c r="A109" s="221"/>
      <c r="B109" s="331"/>
      <c r="C109" s="331"/>
      <c r="D109" s="331"/>
      <c r="E109" s="331"/>
      <c r="F109" s="331"/>
      <c r="G109" s="331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5" t="s">
        <v>122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6" t="s">
        <v>227</v>
      </c>
    </row>
    <row r="110" customFormat="false" ht="17.35" hidden="false" customHeight="false" outlineLevel="0" collapsed="false">
      <c r="A110" s="221" t="s">
        <v>230</v>
      </c>
      <c r="B110" s="331" t="s">
        <v>142</v>
      </c>
      <c r="C110" s="331"/>
      <c r="D110" s="331"/>
      <c r="E110" s="331" t="s">
        <v>231</v>
      </c>
      <c r="F110" s="331"/>
      <c r="G110" s="331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5" t="s">
        <v>133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2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80"/>
      <c r="J111" s="0"/>
      <c r="K111" s="340"/>
      <c r="L111" s="340"/>
      <c r="M111" s="340"/>
      <c r="N111" s="340"/>
      <c r="O111" s="340"/>
      <c r="P111" s="340"/>
      <c r="Q111" s="0"/>
      <c r="R111" s="0"/>
      <c r="S111" s="0"/>
      <c r="T111" s="340"/>
      <c r="U111" s="340"/>
      <c r="V111" s="340"/>
      <c r="W111" s="340"/>
      <c r="X111" s="340"/>
      <c r="Y111" s="340"/>
      <c r="Z111" s="135" t="s">
        <v>134</v>
      </c>
      <c r="AA111" s="0"/>
      <c r="AB111" s="0"/>
      <c r="AC111" s="340"/>
      <c r="AD111" s="340"/>
      <c r="AE111" s="340"/>
      <c r="AF111" s="340"/>
      <c r="AG111" s="340"/>
      <c r="AH111" s="340"/>
      <c r="AI111" s="0"/>
    </row>
    <row r="112" customFormat="false" ht="17.35" hidden="false" customHeight="false" outlineLevel="0" collapsed="false">
      <c r="A112" s="221"/>
      <c r="B112" s="331"/>
      <c r="C112" s="331"/>
      <c r="D112" s="331"/>
      <c r="E112" s="331"/>
      <c r="F112" s="331"/>
      <c r="G112" s="342"/>
      <c r="H112" s="28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1" t="s">
        <v>163</v>
      </c>
      <c r="C113" s="331"/>
      <c r="D113" s="331"/>
      <c r="E113" s="331" t="s">
        <v>132</v>
      </c>
      <c r="F113" s="331"/>
      <c r="G113" s="342"/>
      <c r="H113" s="28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80"/>
      <c r="J114" s="0"/>
      <c r="K114" s="340"/>
      <c r="L114" s="340"/>
      <c r="M114" s="340"/>
      <c r="N114" s="340"/>
      <c r="O114" s="340"/>
      <c r="P114" s="340"/>
      <c r="Q114" s="0"/>
      <c r="R114" s="0"/>
      <c r="S114" s="0"/>
      <c r="T114" s="340"/>
      <c r="U114" s="340"/>
      <c r="V114" s="340"/>
      <c r="W114" s="340"/>
      <c r="X114" s="340"/>
      <c r="Y114" s="340"/>
      <c r="Z114" s="0"/>
      <c r="AA114" s="0"/>
      <c r="AB114" s="0"/>
      <c r="AC114" s="340"/>
      <c r="AD114" s="340"/>
      <c r="AE114" s="340"/>
      <c r="AF114" s="340"/>
      <c r="AG114" s="340"/>
      <c r="AH114" s="340"/>
      <c r="AI114" s="0"/>
    </row>
    <row r="115" customFormat="false" ht="13.8" hidden="false" customHeight="false" outlineLevel="0" collapsed="false">
      <c r="A115" s="284"/>
      <c r="B115" s="342"/>
      <c r="C115" s="342"/>
      <c r="D115" s="342"/>
      <c r="E115" s="342"/>
      <c r="F115" s="342"/>
      <c r="G115" s="342"/>
      <c r="H115" s="28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4"/>
      <c r="B116" s="342"/>
      <c r="C116" s="342"/>
      <c r="D116" s="342"/>
      <c r="E116" s="342"/>
      <c r="F116" s="342"/>
      <c r="G116" s="342"/>
      <c r="H116" s="28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40" t="s">
        <v>233</v>
      </c>
      <c r="B117" s="240"/>
      <c r="C117" s="240"/>
      <c r="D117" s="240"/>
      <c r="E117" s="240"/>
      <c r="F117" s="240"/>
      <c r="G117" s="240"/>
      <c r="H117" s="240"/>
      <c r="J117" s="340"/>
      <c r="K117" s="340"/>
      <c r="L117" s="340"/>
      <c r="M117" s="340"/>
      <c r="N117" s="340"/>
      <c r="O117" s="340"/>
      <c r="P117" s="340"/>
      <c r="Q117" s="340"/>
      <c r="R117" s="0"/>
      <c r="S117" s="340"/>
      <c r="T117" s="340"/>
      <c r="U117" s="340"/>
      <c r="V117" s="340"/>
      <c r="W117" s="340"/>
      <c r="X117" s="340"/>
      <c r="Y117" s="340"/>
      <c r="Z117" s="340"/>
      <c r="AA117" s="0"/>
      <c r="AB117" s="340"/>
      <c r="AC117" s="340"/>
      <c r="AD117" s="340"/>
      <c r="AE117" s="340"/>
      <c r="AF117" s="340"/>
      <c r="AG117" s="340"/>
      <c r="AH117" s="340"/>
      <c r="AI117" s="340"/>
    </row>
    <row r="118" customFormat="false" ht="13.8" hidden="false" customHeight="false" outlineLevel="0" collapsed="false">
      <c r="A118" s="284"/>
      <c r="B118" s="342"/>
      <c r="C118" s="342"/>
      <c r="D118" s="342"/>
      <c r="E118" s="342"/>
      <c r="F118" s="342"/>
      <c r="G118" s="342"/>
      <c r="H118" s="28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4"/>
      <c r="B119" s="285" t="s">
        <v>1</v>
      </c>
      <c r="C119" s="285"/>
      <c r="D119" s="285" t="s">
        <v>2</v>
      </c>
      <c r="E119" s="285"/>
      <c r="F119" s="285" t="s">
        <v>3</v>
      </c>
      <c r="G119" s="285"/>
      <c r="H119" s="286" t="s">
        <v>4</v>
      </c>
      <c r="J119" s="0"/>
      <c r="K119" s="340"/>
      <c r="L119" s="340"/>
      <c r="M119" s="340"/>
      <c r="N119" s="340"/>
      <c r="O119" s="340"/>
      <c r="P119" s="340"/>
      <c r="Q119" s="0"/>
      <c r="R119" s="0"/>
      <c r="S119" s="0"/>
      <c r="T119" s="340"/>
      <c r="U119" s="340"/>
      <c r="V119" s="340"/>
      <c r="W119" s="340"/>
      <c r="X119" s="340"/>
      <c r="Y119" s="340"/>
      <c r="Z119" s="0"/>
      <c r="AA119" s="0"/>
      <c r="AB119" s="0"/>
      <c r="AC119" s="340"/>
      <c r="AD119" s="340"/>
      <c r="AE119" s="340"/>
      <c r="AF119" s="340"/>
      <c r="AG119" s="340"/>
      <c r="AH119" s="340"/>
      <c r="AI119" s="0"/>
    </row>
    <row r="120" customFormat="false" ht="19.7" hidden="false" customHeight="false" outlineLevel="0" collapsed="false">
      <c r="A120" s="218"/>
      <c r="B120" s="287" t="s">
        <v>234</v>
      </c>
      <c r="C120" s="288" t="s">
        <v>235</v>
      </c>
      <c r="D120" s="287" t="s">
        <v>234</v>
      </c>
      <c r="E120" s="289" t="s">
        <v>235</v>
      </c>
      <c r="F120" s="287" t="s">
        <v>234</v>
      </c>
      <c r="G120" s="289" t="s">
        <v>235</v>
      </c>
      <c r="H120" s="29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8" t="s">
        <v>5</v>
      </c>
      <c r="B121" s="353" t="n">
        <f aca="false">B3</f>
        <v>46854.17</v>
      </c>
      <c r="C121" s="354" t="n">
        <f aca="false">B121</f>
        <v>46854.17</v>
      </c>
      <c r="D121" s="353" t="n">
        <f aca="false">D3</f>
        <v>0</v>
      </c>
      <c r="E121" s="354" t="n">
        <f aca="false">D121</f>
        <v>0</v>
      </c>
      <c r="F121" s="353" t="n">
        <f aca="false">F3</f>
        <v>833.33</v>
      </c>
      <c r="G121" s="354" t="n">
        <v>0</v>
      </c>
      <c r="H121" s="291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1" t="s">
        <v>6</v>
      </c>
      <c r="B122" s="355" t="n">
        <f aca="false">B4</f>
        <v>0</v>
      </c>
      <c r="C122" s="329" t="n">
        <v>0</v>
      </c>
      <c r="D122" s="355" t="n">
        <f aca="false">D4</f>
        <v>0</v>
      </c>
      <c r="E122" s="329" t="n">
        <v>0</v>
      </c>
      <c r="F122" s="355" t="n">
        <f aca="false">F4</f>
        <v>0</v>
      </c>
      <c r="G122" s="356" t="n">
        <v>0</v>
      </c>
      <c r="H122" s="330"/>
      <c r="J122" s="0"/>
      <c r="K122" s="344"/>
      <c r="L122" s="344"/>
      <c r="M122" s="344"/>
      <c r="N122" s="344"/>
      <c r="O122" s="344"/>
      <c r="P122" s="344"/>
      <c r="Q122" s="344"/>
      <c r="R122" s="0"/>
      <c r="S122" s="0"/>
      <c r="T122" s="344"/>
      <c r="U122" s="344"/>
      <c r="V122" s="344"/>
      <c r="W122" s="344"/>
      <c r="X122" s="344"/>
      <c r="Y122" s="344"/>
      <c r="Z122" s="344"/>
      <c r="AA122" s="0"/>
      <c r="AB122" s="0"/>
      <c r="AC122" s="344"/>
      <c r="AD122" s="344"/>
      <c r="AE122" s="344"/>
      <c r="AF122" s="344"/>
      <c r="AG122" s="344"/>
      <c r="AH122" s="344"/>
      <c r="AI122" s="344"/>
    </row>
    <row r="123" customFormat="false" ht="17.35" hidden="false" customHeight="false" outlineLevel="0" collapsed="false">
      <c r="A123" s="221" t="s">
        <v>7</v>
      </c>
      <c r="B123" s="357" t="n">
        <f aca="false">B5</f>
        <v>0</v>
      </c>
      <c r="C123" s="354" t="n">
        <v>0</v>
      </c>
      <c r="D123" s="357" t="n">
        <f aca="false">D5</f>
        <v>0</v>
      </c>
      <c r="E123" s="354" t="n">
        <v>0</v>
      </c>
      <c r="F123" s="357" t="n">
        <f aca="false">F5</f>
        <v>0</v>
      </c>
      <c r="G123" s="3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1" t="s">
        <v>8</v>
      </c>
      <c r="B124" s="357" t="n">
        <f aca="false">(B121*B122)+B123</f>
        <v>0</v>
      </c>
      <c r="C124" s="203" t="n">
        <f aca="false">(C121*C122/100)+C123</f>
        <v>0</v>
      </c>
      <c r="D124" s="357" t="n">
        <f aca="false">(D121*D122)+D123</f>
        <v>0</v>
      </c>
      <c r="E124" s="203" t="n">
        <f aca="false">(E121*E122/100)+E123</f>
        <v>0</v>
      </c>
      <c r="F124" s="357" t="n">
        <f aca="false">(F121*F122)+F123</f>
        <v>0</v>
      </c>
      <c r="G124" s="203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9" t="s">
        <v>9</v>
      </c>
      <c r="B125" s="358" t="n">
        <f aca="false">B121-B124</f>
        <v>46854.17</v>
      </c>
      <c r="C125" s="185" t="n">
        <f aca="false">C121-C124</f>
        <v>46854.17</v>
      </c>
      <c r="D125" s="358" t="n">
        <f aca="false">D121-D124</f>
        <v>0</v>
      </c>
      <c r="E125" s="185" t="n">
        <f aca="false">E121-E124</f>
        <v>0</v>
      </c>
      <c r="F125" s="358" t="n">
        <f aca="false">F121-F124</f>
        <v>833.33</v>
      </c>
      <c r="G125" s="185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1"/>
      <c r="B126" s="331"/>
      <c r="C126" s="331"/>
      <c r="D126" s="331"/>
      <c r="E126" s="331"/>
      <c r="F126" s="331"/>
      <c r="G126" s="331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4"/>
      <c r="B127" s="359"/>
      <c r="C127" s="359"/>
      <c r="D127" s="359"/>
      <c r="E127" s="359"/>
      <c r="F127" s="359"/>
      <c r="G127" s="332" t="s">
        <v>234</v>
      </c>
      <c r="H127" s="296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7" t="s">
        <v>236</v>
      </c>
      <c r="B128" s="298"/>
      <c r="C128" s="298"/>
      <c r="D128" s="298"/>
      <c r="E128" s="298"/>
      <c r="F128" s="298"/>
      <c r="G128" s="299" t="n">
        <f aca="false">H121</f>
        <v>0</v>
      </c>
      <c r="H128" s="300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1"/>
      <c r="B129" s="331"/>
      <c r="C129" s="331"/>
      <c r="D129" s="331"/>
      <c r="E129" s="331"/>
      <c r="F129" s="331"/>
      <c r="G129" s="304"/>
      <c r="H129" s="302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3" t="s">
        <v>237</v>
      </c>
      <c r="B130" s="304" t="s">
        <v>238</v>
      </c>
      <c r="C130" s="304"/>
      <c r="D130" s="304" t="s">
        <v>239</v>
      </c>
      <c r="E130" s="304"/>
      <c r="F130" s="304" t="s">
        <v>7</v>
      </c>
      <c r="G130" s="304"/>
      <c r="H130" s="302" t="s">
        <v>235</v>
      </c>
      <c r="J130" s="0"/>
      <c r="K130" s="340"/>
      <c r="L130" s="340"/>
      <c r="M130" s="340"/>
      <c r="N130" s="340"/>
      <c r="O130" s="340"/>
      <c r="P130" s="340"/>
      <c r="Q130" s="0"/>
      <c r="R130" s="0"/>
      <c r="S130" s="0"/>
      <c r="T130" s="340"/>
      <c r="U130" s="340"/>
      <c r="V130" s="340"/>
      <c r="W130" s="340"/>
      <c r="X130" s="340"/>
      <c r="Y130" s="340"/>
      <c r="Z130" s="0"/>
      <c r="AA130" s="0"/>
      <c r="AB130" s="0"/>
      <c r="AC130" s="340"/>
      <c r="AD130" s="340"/>
      <c r="AE130" s="340"/>
      <c r="AF130" s="340"/>
      <c r="AG130" s="340"/>
      <c r="AH130" s="340"/>
      <c r="AI130" s="0"/>
    </row>
    <row r="131" customFormat="false" ht="17.35" hidden="false" customHeight="false" outlineLevel="0" collapsed="false">
      <c r="A131" s="221" t="s">
        <v>240</v>
      </c>
      <c r="B131" s="306" t="n">
        <f aca="false">G128</f>
        <v>0</v>
      </c>
      <c r="C131" s="306"/>
      <c r="D131" s="307" t="n">
        <v>0</v>
      </c>
      <c r="E131" s="307"/>
      <c r="F131" s="306" t="n">
        <v>0</v>
      </c>
      <c r="G131" s="306"/>
      <c r="H131" s="308" t="n">
        <f aca="false">(B131-(B131*D131))-F131</f>
        <v>0</v>
      </c>
      <c r="J131" s="0"/>
      <c r="K131" s="340"/>
      <c r="L131" s="340"/>
      <c r="M131" s="344"/>
      <c r="N131" s="344"/>
      <c r="O131" s="340"/>
      <c r="P131" s="340"/>
      <c r="Q131" s="0"/>
      <c r="R131" s="0"/>
      <c r="S131" s="0"/>
      <c r="T131" s="340"/>
      <c r="U131" s="340"/>
      <c r="V131" s="344"/>
      <c r="W131" s="344"/>
      <c r="X131" s="340"/>
      <c r="Y131" s="340"/>
      <c r="Z131" s="0"/>
      <c r="AA131" s="0"/>
      <c r="AB131" s="0"/>
      <c r="AC131" s="340"/>
      <c r="AD131" s="340"/>
      <c r="AE131" s="344"/>
      <c r="AF131" s="344"/>
      <c r="AG131" s="340"/>
      <c r="AH131" s="340"/>
      <c r="AI131" s="0"/>
    </row>
    <row r="132" customFormat="false" ht="17.35" hidden="false" customHeight="false" outlineLevel="0" collapsed="false">
      <c r="A132" s="221" t="s">
        <v>241</v>
      </c>
      <c r="B132" s="306" t="n">
        <v>0</v>
      </c>
      <c r="C132" s="306"/>
      <c r="D132" s="307" t="n">
        <v>0</v>
      </c>
      <c r="E132" s="307"/>
      <c r="F132" s="306" t="n">
        <v>0</v>
      </c>
      <c r="G132" s="306"/>
      <c r="H132" s="308" t="n">
        <f aca="false">(B132-(B132*D132))-F132</f>
        <v>0</v>
      </c>
      <c r="J132" s="0"/>
      <c r="K132" s="340"/>
      <c r="L132" s="340"/>
      <c r="M132" s="344"/>
      <c r="N132" s="344"/>
      <c r="O132" s="340"/>
      <c r="P132" s="340"/>
      <c r="Q132" s="0"/>
      <c r="R132" s="0"/>
      <c r="S132" s="0"/>
      <c r="T132" s="340"/>
      <c r="U132" s="340"/>
      <c r="V132" s="344"/>
      <c r="W132" s="344"/>
      <c r="X132" s="340"/>
      <c r="Y132" s="340"/>
      <c r="Z132" s="0"/>
      <c r="AA132" s="0"/>
      <c r="AB132" s="0"/>
      <c r="AC132" s="340"/>
      <c r="AD132" s="340"/>
      <c r="AE132" s="344"/>
      <c r="AF132" s="344"/>
      <c r="AG132" s="340"/>
      <c r="AH132" s="340"/>
      <c r="AI132" s="0"/>
    </row>
    <row r="133" customFormat="false" ht="17.35" hidden="false" customHeight="false" outlineLevel="0" collapsed="false">
      <c r="A133" s="221" t="s">
        <v>242</v>
      </c>
      <c r="B133" s="306" t="n">
        <v>0</v>
      </c>
      <c r="C133" s="306"/>
      <c r="D133" s="307" t="n">
        <v>0</v>
      </c>
      <c r="E133" s="307"/>
      <c r="F133" s="306" t="n">
        <v>0</v>
      </c>
      <c r="G133" s="306"/>
      <c r="H133" s="308" t="n">
        <f aca="false">(B133-(B133*D133))-F133</f>
        <v>0</v>
      </c>
      <c r="J133" s="0"/>
      <c r="K133" s="340"/>
      <c r="L133" s="340"/>
      <c r="M133" s="344"/>
      <c r="N133" s="344"/>
      <c r="O133" s="340"/>
      <c r="P133" s="340"/>
      <c r="Q133" s="0"/>
      <c r="R133" s="0"/>
      <c r="S133" s="0"/>
      <c r="T133" s="340"/>
      <c r="U133" s="340"/>
      <c r="V133" s="344"/>
      <c r="W133" s="344"/>
      <c r="X133" s="340"/>
      <c r="Y133" s="340"/>
      <c r="Z133" s="0"/>
      <c r="AA133" s="0"/>
      <c r="AB133" s="0"/>
      <c r="AC133" s="340"/>
      <c r="AD133" s="340"/>
      <c r="AE133" s="344"/>
      <c r="AF133" s="344"/>
      <c r="AG133" s="340"/>
      <c r="AH133" s="340"/>
      <c r="AI133" s="0"/>
    </row>
    <row r="134" customFormat="false" ht="17.35" hidden="false" customHeight="false" outlineLevel="0" collapsed="false">
      <c r="A134" s="221"/>
      <c r="B134" s="331"/>
      <c r="C134" s="331"/>
      <c r="D134" s="331"/>
      <c r="E134" s="331"/>
      <c r="F134" s="331"/>
      <c r="G134" s="304"/>
      <c r="H134" s="302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6" t="s">
        <v>10</v>
      </c>
      <c r="B135" s="226"/>
      <c r="C135" s="226"/>
      <c r="D135" s="226"/>
      <c r="E135" s="226"/>
      <c r="F135" s="226"/>
      <c r="G135" s="332" t="n">
        <f aca="false">H9</f>
        <v>47687.5</v>
      </c>
      <c r="H135" s="309" t="n">
        <f aca="false">C125+E125+G125+H128</f>
        <v>46854.17</v>
      </c>
      <c r="J135" s="340"/>
      <c r="K135" s="340"/>
      <c r="L135" s="340"/>
      <c r="M135" s="340"/>
      <c r="N135" s="340"/>
      <c r="O135" s="340"/>
      <c r="P135" s="0"/>
      <c r="Q135" s="0"/>
      <c r="R135" s="0"/>
      <c r="S135" s="340"/>
      <c r="T135" s="340"/>
      <c r="U135" s="340"/>
      <c r="V135" s="340"/>
      <c r="W135" s="340"/>
      <c r="X135" s="340"/>
      <c r="Y135" s="0"/>
      <c r="Z135" s="0"/>
      <c r="AA135" s="0"/>
      <c r="AB135" s="340"/>
      <c r="AC135" s="340"/>
      <c r="AD135" s="340"/>
      <c r="AE135" s="340"/>
      <c r="AF135" s="340"/>
      <c r="AG135" s="340"/>
      <c r="AH135" s="0"/>
      <c r="AI135" s="0"/>
    </row>
    <row r="136" customFormat="false" ht="17.35" hidden="false" customHeight="false" outlineLevel="0" collapsed="false">
      <c r="A136" s="229" t="s">
        <v>11</v>
      </c>
      <c r="B136" s="229"/>
      <c r="C136" s="229"/>
      <c r="D136" s="229"/>
      <c r="E136" s="229"/>
      <c r="F136" s="229"/>
      <c r="G136" s="40" t="n">
        <f aca="false">H10</f>
        <v>550</v>
      </c>
      <c r="H136" s="11" t="n">
        <f aca="false">G136</f>
        <v>550</v>
      </c>
      <c r="J136" s="340"/>
      <c r="K136" s="340"/>
      <c r="L136" s="340"/>
      <c r="M136" s="340"/>
      <c r="N136" s="340"/>
      <c r="O136" s="340"/>
      <c r="P136" s="0"/>
      <c r="Q136" s="0"/>
      <c r="R136" s="0"/>
      <c r="S136" s="340"/>
      <c r="T136" s="340"/>
      <c r="U136" s="340"/>
      <c r="V136" s="340"/>
      <c r="W136" s="340"/>
      <c r="X136" s="340"/>
      <c r="Y136" s="0"/>
      <c r="Z136" s="0"/>
      <c r="AA136" s="0"/>
      <c r="AB136" s="340"/>
      <c r="AC136" s="340"/>
      <c r="AD136" s="340"/>
      <c r="AE136" s="340"/>
      <c r="AF136" s="340"/>
      <c r="AG136" s="340"/>
      <c r="AH136" s="0"/>
      <c r="AI136" s="0"/>
    </row>
    <row r="137" customFormat="false" ht="17.35" hidden="false" customHeight="false" outlineLevel="0" collapsed="false">
      <c r="A137" s="229" t="s">
        <v>12</v>
      </c>
      <c r="B137" s="229"/>
      <c r="C137" s="229"/>
      <c r="D137" s="229"/>
      <c r="E137" s="229"/>
      <c r="F137" s="229"/>
      <c r="G137" s="40" t="n">
        <f aca="false">H11</f>
        <v>9647.5</v>
      </c>
      <c r="H137" s="11" t="n">
        <f aca="false">(H135+H136)*20%</f>
        <v>9480.834</v>
      </c>
      <c r="J137" s="340"/>
      <c r="K137" s="340"/>
      <c r="L137" s="340"/>
      <c r="M137" s="340"/>
      <c r="N137" s="340"/>
      <c r="O137" s="340"/>
      <c r="P137" s="0"/>
      <c r="Q137" s="0"/>
      <c r="R137" s="0"/>
      <c r="S137" s="340"/>
      <c r="T137" s="340"/>
      <c r="U137" s="340"/>
      <c r="V137" s="340"/>
      <c r="W137" s="340"/>
      <c r="X137" s="340"/>
      <c r="Y137" s="0"/>
      <c r="Z137" s="0"/>
      <c r="AA137" s="0"/>
      <c r="AB137" s="340"/>
      <c r="AC137" s="340"/>
      <c r="AD137" s="340"/>
      <c r="AE137" s="340"/>
      <c r="AF137" s="340"/>
      <c r="AG137" s="340"/>
      <c r="AH137" s="0"/>
      <c r="AI137" s="0"/>
    </row>
    <row r="138" customFormat="false" ht="17.35" hidden="false" customHeight="false" outlineLevel="0" collapsed="false">
      <c r="A138" s="229" t="s">
        <v>13</v>
      </c>
      <c r="B138" s="229"/>
      <c r="C138" s="229"/>
      <c r="D138" s="229"/>
      <c r="E138" s="229"/>
      <c r="F138" s="229"/>
      <c r="G138" s="40" t="n">
        <f aca="false">H12</f>
        <v>0</v>
      </c>
      <c r="H138" s="11" t="n">
        <v>0</v>
      </c>
      <c r="J138" s="340"/>
      <c r="K138" s="340"/>
      <c r="L138" s="340"/>
      <c r="M138" s="340"/>
      <c r="N138" s="340"/>
      <c r="O138" s="340"/>
      <c r="P138" s="0"/>
      <c r="Q138" s="0"/>
      <c r="R138" s="0"/>
      <c r="S138" s="340"/>
      <c r="T138" s="340"/>
      <c r="U138" s="340"/>
      <c r="V138" s="340"/>
      <c r="W138" s="340"/>
      <c r="X138" s="340"/>
      <c r="Y138" s="0"/>
      <c r="Z138" s="0"/>
      <c r="AA138" s="0"/>
      <c r="AB138" s="340"/>
      <c r="AC138" s="340"/>
      <c r="AD138" s="340"/>
      <c r="AE138" s="340"/>
      <c r="AF138" s="340"/>
      <c r="AG138" s="340"/>
      <c r="AH138" s="0"/>
      <c r="AI138" s="0"/>
    </row>
    <row r="139" customFormat="false" ht="17.35" hidden="false" customHeight="false" outlineLevel="0" collapsed="false">
      <c r="A139" s="229" t="s">
        <v>14</v>
      </c>
      <c r="B139" s="229"/>
      <c r="C139" s="229"/>
      <c r="D139" s="229"/>
      <c r="E139" s="229"/>
      <c r="F139" s="229"/>
      <c r="G139" s="40" t="n">
        <f aca="false">H13</f>
        <v>585</v>
      </c>
      <c r="H139" s="11" t="n">
        <f aca="false">G139</f>
        <v>585</v>
      </c>
      <c r="J139" s="340"/>
      <c r="K139" s="340"/>
      <c r="L139" s="340"/>
      <c r="M139" s="340"/>
      <c r="N139" s="340"/>
      <c r="O139" s="340"/>
      <c r="P139" s="0"/>
      <c r="Q139" s="0"/>
      <c r="R139" s="0"/>
      <c r="S139" s="340"/>
      <c r="T139" s="340"/>
      <c r="U139" s="340"/>
      <c r="V139" s="340"/>
      <c r="W139" s="340"/>
      <c r="X139" s="340"/>
      <c r="Y139" s="0"/>
      <c r="Z139" s="0"/>
      <c r="AA139" s="0"/>
      <c r="AB139" s="340"/>
      <c r="AC139" s="340"/>
      <c r="AD139" s="340"/>
      <c r="AE139" s="340"/>
      <c r="AF139" s="340"/>
      <c r="AG139" s="340"/>
      <c r="AH139" s="0"/>
      <c r="AI139" s="0"/>
    </row>
    <row r="140" customFormat="false" ht="17.35" hidden="false" customHeight="false" outlineLevel="0" collapsed="false">
      <c r="A140" s="229" t="s">
        <v>15</v>
      </c>
      <c r="B140" s="229"/>
      <c r="C140" s="229"/>
      <c r="D140" s="229"/>
      <c r="E140" s="229"/>
      <c r="F140" s="229"/>
      <c r="G140" s="40" t="n">
        <f aca="false">H14</f>
        <v>55</v>
      </c>
      <c r="H140" s="11" t="n">
        <v>55</v>
      </c>
      <c r="J140" s="340"/>
      <c r="K140" s="340"/>
      <c r="L140" s="340"/>
      <c r="M140" s="340"/>
      <c r="N140" s="340"/>
      <c r="O140" s="340"/>
      <c r="P140" s="0"/>
      <c r="Q140" s="0"/>
      <c r="R140" s="0"/>
      <c r="S140" s="340"/>
      <c r="T140" s="340"/>
      <c r="U140" s="340"/>
      <c r="V140" s="340"/>
      <c r="W140" s="340"/>
      <c r="X140" s="340"/>
      <c r="Y140" s="0"/>
      <c r="Z140" s="0"/>
      <c r="AA140" s="0"/>
      <c r="AB140" s="340"/>
      <c r="AC140" s="340"/>
      <c r="AD140" s="340"/>
      <c r="AE140" s="340"/>
      <c r="AF140" s="340"/>
      <c r="AG140" s="340"/>
      <c r="AH140" s="0"/>
      <c r="AI140" s="0"/>
    </row>
    <row r="141" customFormat="false" ht="19.7" hidden="false" customHeight="false" outlineLevel="0" collapsed="false">
      <c r="A141" s="229" t="s">
        <v>17</v>
      </c>
      <c r="B141" s="229"/>
      <c r="C141" s="229"/>
      <c r="D141" s="229"/>
      <c r="E141" s="229"/>
      <c r="F141" s="229"/>
      <c r="G141" s="360" t="n">
        <f aca="false">H15</f>
        <v>58525</v>
      </c>
      <c r="H141" s="311" t="n">
        <f aca="false">(H135+H136+H139+H140+H137)-H138</f>
        <v>57525.004</v>
      </c>
      <c r="J141" s="340"/>
      <c r="K141" s="340"/>
      <c r="L141" s="340"/>
      <c r="M141" s="340"/>
      <c r="N141" s="340"/>
      <c r="O141" s="340"/>
      <c r="P141" s="0"/>
      <c r="Q141" s="0"/>
      <c r="R141" s="0"/>
      <c r="S141" s="340"/>
      <c r="T141" s="340"/>
      <c r="U141" s="340"/>
      <c r="V141" s="340"/>
      <c r="W141" s="340"/>
      <c r="X141" s="340"/>
      <c r="Y141" s="0"/>
      <c r="Z141" s="0"/>
      <c r="AA141" s="0"/>
      <c r="AB141" s="340"/>
      <c r="AC141" s="340"/>
      <c r="AD141" s="340"/>
      <c r="AE141" s="340"/>
      <c r="AF141" s="340"/>
      <c r="AG141" s="340"/>
      <c r="AH141" s="0"/>
      <c r="AI141" s="0"/>
    </row>
    <row r="142" customFormat="false" ht="17.35" hidden="false" customHeight="false" outlineLevel="0" collapsed="false">
      <c r="A142" s="229" t="s">
        <v>18</v>
      </c>
      <c r="B142" s="229"/>
      <c r="C142" s="229"/>
      <c r="D142" s="229"/>
      <c r="E142" s="229"/>
      <c r="F142" s="229"/>
      <c r="G142" s="40" t="n">
        <f aca="false">H16</f>
        <v>0</v>
      </c>
      <c r="H142" s="242" t="n">
        <f aca="false">G142</f>
        <v>0</v>
      </c>
      <c r="J142" s="340"/>
      <c r="K142" s="340"/>
      <c r="L142" s="340"/>
      <c r="M142" s="340"/>
      <c r="N142" s="340"/>
      <c r="O142" s="340"/>
      <c r="P142" s="0"/>
      <c r="Q142" s="0"/>
      <c r="R142" s="0"/>
      <c r="S142" s="340"/>
      <c r="T142" s="340"/>
      <c r="U142" s="340"/>
      <c r="V142" s="340"/>
      <c r="W142" s="340"/>
      <c r="X142" s="340"/>
      <c r="Y142" s="0"/>
      <c r="Z142" s="0"/>
      <c r="AA142" s="0"/>
      <c r="AB142" s="340"/>
      <c r="AC142" s="340"/>
      <c r="AD142" s="340"/>
      <c r="AE142" s="340"/>
      <c r="AF142" s="340"/>
      <c r="AG142" s="340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5"/>
      <c r="H143" s="11"/>
      <c r="J143" s="340"/>
      <c r="K143" s="340"/>
      <c r="L143" s="340"/>
      <c r="M143" s="340"/>
      <c r="N143" s="340"/>
      <c r="O143" s="340"/>
      <c r="P143" s="0"/>
      <c r="Q143" s="0"/>
      <c r="R143" s="0"/>
      <c r="S143" s="340"/>
      <c r="T143" s="340"/>
      <c r="U143" s="340"/>
      <c r="V143" s="340"/>
      <c r="W143" s="340"/>
      <c r="X143" s="340"/>
      <c r="Y143" s="0"/>
      <c r="Z143" s="0"/>
      <c r="AA143" s="0"/>
      <c r="AB143" s="340"/>
      <c r="AC143" s="340"/>
      <c r="AD143" s="340"/>
      <c r="AE143" s="340"/>
      <c r="AF143" s="340"/>
      <c r="AG143" s="340"/>
      <c r="AH143" s="0"/>
      <c r="AI143" s="0"/>
    </row>
    <row r="144" customFormat="false" ht="17.35" hidden="false" customHeight="false" outlineLevel="0" collapsed="false">
      <c r="A144" s="232" t="s">
        <v>19</v>
      </c>
      <c r="B144" s="233" t="n">
        <v>0</v>
      </c>
      <c r="C144" s="233"/>
      <c r="D144" s="233"/>
      <c r="E144" s="233"/>
      <c r="F144" s="233"/>
      <c r="G144" s="40" t="n">
        <f aca="false">H18</f>
        <v>0</v>
      </c>
      <c r="H144" s="242" t="n">
        <v>0</v>
      </c>
      <c r="J144" s="0"/>
      <c r="K144" s="340"/>
      <c r="L144" s="340"/>
      <c r="M144" s="340"/>
      <c r="N144" s="340"/>
      <c r="O144" s="340"/>
      <c r="P144" s="0"/>
      <c r="Q144" s="0"/>
      <c r="R144" s="0"/>
      <c r="S144" s="0"/>
      <c r="T144" s="340"/>
      <c r="U144" s="340"/>
      <c r="V144" s="340"/>
      <c r="W144" s="340"/>
      <c r="X144" s="340"/>
      <c r="Y144" s="0"/>
      <c r="Z144" s="0"/>
      <c r="AA144" s="0"/>
      <c r="AB144" s="0"/>
      <c r="AC144" s="340"/>
      <c r="AD144" s="340"/>
      <c r="AE144" s="340"/>
      <c r="AF144" s="340"/>
      <c r="AG144" s="340"/>
      <c r="AH144" s="0"/>
      <c r="AI144" s="0"/>
    </row>
    <row r="145" customFormat="false" ht="17.35" hidden="false" customHeight="false" outlineLevel="0" collapsed="false">
      <c r="A145" s="232" t="s">
        <v>22</v>
      </c>
      <c r="B145" s="233" t="s">
        <v>23</v>
      </c>
      <c r="C145" s="233"/>
      <c r="D145" s="233"/>
      <c r="E145" s="233"/>
      <c r="F145" s="233"/>
      <c r="G145" s="40" t="n">
        <f aca="false">H19</f>
        <v>0</v>
      </c>
      <c r="H145" s="242" t="n">
        <v>0</v>
      </c>
      <c r="I145" s="216" t="n">
        <f aca="false">(G142+G145+G146+G144)</f>
        <v>0</v>
      </c>
      <c r="J145" s="0"/>
      <c r="K145" s="340"/>
      <c r="L145" s="340"/>
      <c r="M145" s="340"/>
      <c r="N145" s="340"/>
      <c r="O145" s="340"/>
      <c r="P145" s="0"/>
      <c r="Q145" s="0"/>
      <c r="R145" s="0"/>
      <c r="S145" s="0"/>
      <c r="T145" s="340"/>
      <c r="U145" s="340"/>
      <c r="V145" s="340"/>
      <c r="W145" s="340"/>
      <c r="X145" s="340"/>
      <c r="Y145" s="0"/>
      <c r="Z145" s="0"/>
      <c r="AA145" s="0"/>
      <c r="AB145" s="0"/>
      <c r="AC145" s="340"/>
      <c r="AD145" s="340"/>
      <c r="AE145" s="340"/>
      <c r="AF145" s="340"/>
      <c r="AG145" s="340"/>
      <c r="AH145" s="0"/>
      <c r="AI145" s="0"/>
    </row>
    <row r="146" customFormat="false" ht="17.35" hidden="false" customHeight="false" outlineLevel="0" collapsed="false">
      <c r="A146" s="313" t="s">
        <v>24</v>
      </c>
      <c r="B146" s="314" t="s">
        <v>23</v>
      </c>
      <c r="C146" s="314"/>
      <c r="D146" s="314"/>
      <c r="E146" s="314"/>
      <c r="F146" s="314"/>
      <c r="G146" s="40" t="n">
        <f aca="false">H20</f>
        <v>0</v>
      </c>
      <c r="H146" s="242" t="n">
        <v>0</v>
      </c>
      <c r="I146" s="216" t="n">
        <f aca="false">(H142+H144+H145+H146)</f>
        <v>0</v>
      </c>
      <c r="J146" s="0"/>
      <c r="K146" s="340"/>
      <c r="L146" s="340"/>
      <c r="M146" s="340"/>
      <c r="N146" s="340"/>
      <c r="O146" s="340"/>
      <c r="P146" s="0"/>
      <c r="Q146" s="0"/>
      <c r="R146" s="0"/>
      <c r="S146" s="0"/>
      <c r="T146" s="340"/>
      <c r="U146" s="340"/>
      <c r="V146" s="340"/>
      <c r="W146" s="340"/>
      <c r="X146" s="340"/>
      <c r="Y146" s="0"/>
      <c r="Z146" s="0"/>
      <c r="AA146" s="0"/>
      <c r="AB146" s="0"/>
      <c r="AC146" s="340"/>
      <c r="AD146" s="340"/>
      <c r="AE146" s="340"/>
      <c r="AF146" s="340"/>
      <c r="AG146" s="340"/>
      <c r="AH146" s="0"/>
      <c r="AI146" s="0"/>
    </row>
    <row r="147" customFormat="false" ht="19.7" hidden="false" customHeight="false" outlineLevel="0" collapsed="false">
      <c r="A147" s="229" t="s">
        <v>27</v>
      </c>
      <c r="B147" s="229"/>
      <c r="C147" s="229"/>
      <c r="D147" s="229"/>
      <c r="E147" s="229"/>
      <c r="F147" s="229"/>
      <c r="G147" s="360" t="n">
        <f aca="false">G141-((G144*1.2)+(G145*1.2)+(G146*1.2)+(G142*1.2))</f>
        <v>58525</v>
      </c>
      <c r="H147" s="315" t="n">
        <f aca="false">H141-((H144*1.2)+(H145*1.2)+(H146*1.2)+(H142*1.2))</f>
        <v>57525.004</v>
      </c>
      <c r="J147" s="340"/>
      <c r="K147" s="340"/>
      <c r="L147" s="340"/>
      <c r="M147" s="340"/>
      <c r="N147" s="340"/>
      <c r="O147" s="340"/>
      <c r="P147" s="0"/>
      <c r="Q147" s="0"/>
      <c r="R147" s="0"/>
      <c r="S147" s="340"/>
      <c r="T147" s="340"/>
      <c r="U147" s="340"/>
      <c r="V147" s="340"/>
      <c r="W147" s="340"/>
      <c r="X147" s="340"/>
      <c r="Y147" s="0"/>
      <c r="Z147" s="0"/>
      <c r="AA147" s="0"/>
      <c r="AB147" s="340"/>
      <c r="AC147" s="340"/>
      <c r="AD147" s="340"/>
      <c r="AE147" s="340"/>
      <c r="AF147" s="340"/>
      <c r="AG147" s="340"/>
      <c r="AH147" s="0"/>
      <c r="AI147" s="0"/>
    </row>
    <row r="148" customFormat="false" ht="17.35" hidden="false" customHeight="false" outlineLevel="0" collapsed="false">
      <c r="A148" s="229" t="s">
        <v>243</v>
      </c>
      <c r="B148" s="229"/>
      <c r="C148" s="229"/>
      <c r="D148" s="229"/>
      <c r="E148" s="229"/>
      <c r="F148" s="229"/>
      <c r="G148" s="40"/>
      <c r="H148" s="242" t="n">
        <f aca="false">((H147-G147)-(H137-G137))+((I146-I145)*0.2)</f>
        <v>-833.33</v>
      </c>
      <c r="I148" s="216" t="n">
        <f aca="false">(H148-G81)/1.2</f>
        <v>-694.441666666667</v>
      </c>
      <c r="J148" s="340"/>
      <c r="K148" s="340"/>
      <c r="L148" s="340"/>
      <c r="M148" s="340"/>
      <c r="N148" s="340"/>
      <c r="O148" s="340"/>
      <c r="P148" s="0"/>
      <c r="Q148" s="0"/>
      <c r="R148" s="0"/>
      <c r="S148" s="340"/>
      <c r="T148" s="340"/>
      <c r="U148" s="340"/>
      <c r="V148" s="340"/>
      <c r="W148" s="340"/>
      <c r="X148" s="340"/>
      <c r="Y148" s="0"/>
      <c r="Z148" s="0"/>
      <c r="AA148" s="0"/>
      <c r="AB148" s="340"/>
      <c r="AC148" s="340"/>
      <c r="AD148" s="340"/>
      <c r="AE148" s="340"/>
      <c r="AF148" s="340"/>
      <c r="AG148" s="340"/>
      <c r="AH148" s="0"/>
      <c r="AI148" s="0"/>
    </row>
    <row r="149" customFormat="false" ht="17.35" hidden="false" customHeight="false" outlineLevel="0" collapsed="false">
      <c r="A149" s="221"/>
      <c r="B149" s="331"/>
      <c r="C149" s="331"/>
      <c r="D149" s="331"/>
      <c r="E149" s="236"/>
      <c r="F149" s="236"/>
      <c r="G149" s="236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40" t="s">
        <v>244</v>
      </c>
      <c r="B150" s="240"/>
      <c r="C150" s="240"/>
      <c r="D150" s="240"/>
      <c r="E150" s="240"/>
      <c r="F150" s="240"/>
      <c r="G150" s="240"/>
      <c r="H150" s="240"/>
      <c r="J150" s="340"/>
      <c r="K150" s="340"/>
      <c r="L150" s="340"/>
      <c r="M150" s="340"/>
      <c r="N150" s="340"/>
      <c r="O150" s="340"/>
      <c r="P150" s="340"/>
      <c r="Q150" s="340"/>
      <c r="R150" s="0"/>
      <c r="S150" s="340"/>
      <c r="T150" s="340"/>
      <c r="U150" s="340"/>
      <c r="V150" s="340"/>
      <c r="W150" s="340"/>
      <c r="X150" s="340"/>
      <c r="Y150" s="340"/>
      <c r="Z150" s="340"/>
      <c r="AA150" s="0"/>
      <c r="AB150" s="340"/>
      <c r="AC150" s="340"/>
      <c r="AD150" s="340"/>
      <c r="AE150" s="340"/>
      <c r="AF150" s="340"/>
      <c r="AG150" s="340"/>
      <c r="AH150" s="340"/>
      <c r="AI150" s="340"/>
    </row>
    <row r="151" customFormat="false" ht="17.35" hidden="false" customHeight="false" outlineLevel="0" collapsed="false">
      <c r="A151" s="221"/>
      <c r="B151" s="331"/>
      <c r="C151" s="331"/>
      <c r="D151" s="331"/>
      <c r="E151" s="236"/>
      <c r="F151" s="236"/>
      <c r="G151" s="236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1" t="s">
        <v>138</v>
      </c>
      <c r="B152" s="331"/>
      <c r="C152" s="331"/>
      <c r="D152" s="236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40"/>
      <c r="O152" s="340"/>
      <c r="P152" s="340"/>
      <c r="Q152" s="340"/>
      <c r="R152" s="0"/>
      <c r="S152" s="0"/>
      <c r="T152" s="0"/>
      <c r="U152" s="0"/>
      <c r="V152" s="0"/>
      <c r="W152" s="340"/>
      <c r="X152" s="340"/>
      <c r="Y152" s="340"/>
      <c r="Z152" s="340"/>
      <c r="AA152" s="0"/>
      <c r="AB152" s="0"/>
      <c r="AC152" s="0"/>
      <c r="AD152" s="0"/>
      <c r="AE152" s="0"/>
      <c r="AF152" s="340"/>
      <c r="AG152" s="340"/>
      <c r="AH152" s="340"/>
      <c r="AI152" s="340"/>
    </row>
    <row r="153" customFormat="false" ht="17.35" hidden="false" customHeight="false" outlineLevel="0" collapsed="false">
      <c r="A153" s="221" t="s">
        <v>139</v>
      </c>
      <c r="B153" s="331"/>
      <c r="C153" s="331"/>
      <c r="D153" s="236"/>
      <c r="E153" s="210" t="n">
        <f aca="false">G153</f>
        <v>0</v>
      </c>
      <c r="F153" s="210"/>
      <c r="G153" s="112" t="n">
        <v>0</v>
      </c>
      <c r="H153" s="112"/>
      <c r="J153" s="0"/>
      <c r="K153" s="0"/>
      <c r="L153" s="0"/>
      <c r="M153" s="0"/>
      <c r="N153" s="340"/>
      <c r="O153" s="340"/>
      <c r="P153" s="340"/>
      <c r="Q153" s="340"/>
      <c r="R153" s="0"/>
      <c r="S153" s="0"/>
      <c r="T153" s="0"/>
      <c r="U153" s="0"/>
      <c r="V153" s="0"/>
      <c r="W153" s="340"/>
      <c r="X153" s="340"/>
      <c r="Y153" s="340"/>
      <c r="Z153" s="340"/>
      <c r="AA153" s="0"/>
      <c r="AB153" s="0"/>
      <c r="AC153" s="0"/>
      <c r="AD153" s="0"/>
      <c r="AE153" s="0"/>
      <c r="AF153" s="340"/>
      <c r="AG153" s="340"/>
      <c r="AH153" s="340"/>
      <c r="AI153" s="340"/>
    </row>
    <row r="154" customFormat="false" ht="17.35" hidden="false" customHeight="false" outlineLevel="0" collapsed="false">
      <c r="A154" s="221" t="s">
        <v>140</v>
      </c>
      <c r="B154" s="331"/>
      <c r="C154" s="331"/>
      <c r="D154" s="236"/>
      <c r="E154" s="210" t="n">
        <f aca="false">E152-E153</f>
        <v>0</v>
      </c>
      <c r="F154" s="210"/>
      <c r="G154" s="115" t="n">
        <f aca="false">G152-G153</f>
        <v>0</v>
      </c>
      <c r="H154" s="115"/>
      <c r="J154" s="0"/>
      <c r="K154" s="0"/>
      <c r="L154" s="0"/>
      <c r="M154" s="0"/>
      <c r="N154" s="340"/>
      <c r="O154" s="340"/>
      <c r="P154" s="340"/>
      <c r="Q154" s="340"/>
      <c r="R154" s="0"/>
      <c r="S154" s="0"/>
      <c r="T154" s="0"/>
      <c r="U154" s="0"/>
      <c r="V154" s="0"/>
      <c r="W154" s="340"/>
      <c r="X154" s="340"/>
      <c r="Y154" s="340"/>
      <c r="Z154" s="340"/>
      <c r="AA154" s="0"/>
      <c r="AB154" s="0"/>
      <c r="AC154" s="0"/>
      <c r="AD154" s="0"/>
      <c r="AE154" s="0"/>
      <c r="AF154" s="340"/>
      <c r="AG154" s="340"/>
      <c r="AH154" s="340"/>
      <c r="AI154" s="340"/>
    </row>
    <row r="155" customFormat="false" ht="17.35" hidden="false" customHeight="false" outlineLevel="0" collapsed="false">
      <c r="A155" s="221" t="s">
        <v>141</v>
      </c>
      <c r="B155" s="331"/>
      <c r="C155" s="331"/>
      <c r="D155" s="236"/>
      <c r="E155" s="210" t="n">
        <f aca="false">E154-G154</f>
        <v>0</v>
      </c>
      <c r="F155" s="210"/>
      <c r="G155" s="236"/>
      <c r="H155" s="11"/>
      <c r="J155" s="0"/>
      <c r="K155" s="0"/>
      <c r="L155" s="0"/>
      <c r="M155" s="0"/>
      <c r="N155" s="340"/>
      <c r="O155" s="340"/>
      <c r="P155" s="0"/>
      <c r="Q155" s="0"/>
      <c r="R155" s="0"/>
      <c r="S155" s="0"/>
      <c r="T155" s="0"/>
      <c r="U155" s="0"/>
      <c r="V155" s="0"/>
      <c r="W155" s="340"/>
      <c r="X155" s="340"/>
      <c r="Y155" s="0"/>
      <c r="Z155" s="0"/>
      <c r="AA155" s="0"/>
      <c r="AB155" s="0"/>
      <c r="AC155" s="0"/>
      <c r="AD155" s="0"/>
      <c r="AE155" s="0"/>
      <c r="AF155" s="340"/>
      <c r="AG155" s="340"/>
      <c r="AH155" s="0"/>
      <c r="AI155" s="0"/>
    </row>
    <row r="156" customFormat="false" ht="17.35" hidden="false" customHeight="false" outlineLevel="0" collapsed="false">
      <c r="A156" s="221"/>
      <c r="B156" s="331"/>
      <c r="C156" s="331"/>
      <c r="D156" s="236"/>
      <c r="E156" s="331"/>
      <c r="F156" s="236"/>
      <c r="G156" s="236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8" t="s">
        <v>245</v>
      </c>
      <c r="B157" s="239"/>
      <c r="C157" s="239"/>
      <c r="D157" s="262"/>
      <c r="E157" s="239"/>
      <c r="F157" s="262"/>
      <c r="G157" s="317" t="n">
        <f aca="false">A114</f>
        <v>0</v>
      </c>
      <c r="H157" s="317"/>
      <c r="J157" s="0"/>
      <c r="K157" s="0"/>
      <c r="L157" s="0"/>
      <c r="M157" s="0"/>
      <c r="N157" s="0"/>
      <c r="O157" s="0"/>
      <c r="P157" s="340"/>
      <c r="Q157" s="340"/>
      <c r="R157" s="0"/>
      <c r="S157" s="0"/>
      <c r="T157" s="0"/>
      <c r="U157" s="0"/>
      <c r="V157" s="0"/>
      <c r="W157" s="0"/>
      <c r="X157" s="0"/>
      <c r="Y157" s="340"/>
      <c r="Z157" s="340"/>
      <c r="AA157" s="0"/>
      <c r="AB157" s="0"/>
      <c r="AC157" s="0"/>
      <c r="AD157" s="0"/>
      <c r="AE157" s="0"/>
      <c r="AF157" s="0"/>
      <c r="AG157" s="0"/>
      <c r="AH157" s="340"/>
      <c r="AI157" s="340"/>
    </row>
    <row r="158" customFormat="false" ht="19.7" hidden="false" customHeight="false" outlineLevel="0" collapsed="false">
      <c r="A158" s="318" t="s">
        <v>246</v>
      </c>
      <c r="B158" s="331"/>
      <c r="C158" s="331"/>
      <c r="D158" s="342"/>
      <c r="E158" s="331"/>
      <c r="F158" s="342"/>
      <c r="G158" s="319" t="n">
        <f aca="false">H147-G154-G157</f>
        <v>57525.004</v>
      </c>
      <c r="H158" s="319"/>
      <c r="J158" s="0"/>
      <c r="K158" s="0"/>
      <c r="L158" s="0"/>
      <c r="M158" s="0"/>
      <c r="N158" s="0"/>
      <c r="O158" s="0"/>
      <c r="P158" s="340"/>
      <c r="Q158" s="340"/>
      <c r="R158" s="0"/>
      <c r="S158" s="0"/>
      <c r="T158" s="0"/>
      <c r="U158" s="0"/>
      <c r="V158" s="0"/>
      <c r="W158" s="0"/>
      <c r="X158" s="0"/>
      <c r="Y158" s="340"/>
      <c r="Z158" s="340"/>
      <c r="AA158" s="0"/>
      <c r="AB158" s="0"/>
      <c r="AC158" s="0"/>
      <c r="AD158" s="0"/>
      <c r="AE158" s="0"/>
      <c r="AF158" s="0"/>
      <c r="AG158" s="0"/>
      <c r="AH158" s="340"/>
      <c r="AI158" s="340"/>
    </row>
    <row r="159" customFormat="false" ht="17.35" hidden="false" customHeight="false" outlineLevel="0" collapsed="false">
      <c r="A159" s="249" t="s">
        <v>52</v>
      </c>
      <c r="B159" s="250"/>
      <c r="C159" s="250"/>
      <c r="D159" s="278"/>
      <c r="E159" s="250"/>
      <c r="F159" s="278"/>
      <c r="G159" s="320" t="str">
        <f aca="false">B114</f>
        <v>199.99</v>
      </c>
      <c r="H159" s="320"/>
      <c r="J159" s="0"/>
      <c r="K159" s="0"/>
      <c r="L159" s="0"/>
      <c r="M159" s="0"/>
      <c r="N159" s="0"/>
      <c r="O159" s="0"/>
      <c r="P159" s="340"/>
      <c r="Q159" s="340"/>
      <c r="R159" s="0"/>
      <c r="S159" s="0"/>
      <c r="T159" s="0"/>
      <c r="U159" s="0"/>
      <c r="V159" s="0"/>
      <c r="W159" s="0"/>
      <c r="X159" s="0"/>
      <c r="Y159" s="340"/>
      <c r="Z159" s="340"/>
      <c r="AA159" s="0"/>
      <c r="AB159" s="0"/>
      <c r="AC159" s="0"/>
      <c r="AD159" s="0"/>
      <c r="AE159" s="0"/>
      <c r="AF159" s="0"/>
      <c r="AG159" s="0"/>
      <c r="AH159" s="340"/>
      <c r="AI159" s="340"/>
    </row>
    <row r="160" customFormat="false" ht="17.35" hidden="false" customHeight="false" outlineLevel="0" collapsed="false">
      <c r="A160" s="221"/>
      <c r="B160" s="331"/>
      <c r="C160" s="331"/>
      <c r="D160" s="331"/>
      <c r="E160" s="236"/>
      <c r="F160" s="236"/>
      <c r="G160" s="236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1"/>
      <c r="B161" s="331"/>
      <c r="C161" s="331"/>
      <c r="D161" s="331"/>
      <c r="E161" s="236"/>
      <c r="F161" s="236"/>
      <c r="G161" s="236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40" t="s">
        <v>247</v>
      </c>
      <c r="B162" s="240"/>
      <c r="C162" s="240"/>
      <c r="D162" s="240"/>
      <c r="E162" s="240"/>
      <c r="F162" s="240"/>
      <c r="G162" s="240"/>
      <c r="H162" s="240"/>
      <c r="J162" s="340"/>
      <c r="K162" s="340"/>
      <c r="L162" s="340"/>
      <c r="M162" s="340"/>
      <c r="N162" s="340"/>
      <c r="O162" s="340"/>
      <c r="P162" s="340"/>
      <c r="Q162" s="340"/>
      <c r="R162" s="0"/>
      <c r="S162" s="340"/>
      <c r="T162" s="340"/>
      <c r="U162" s="340"/>
      <c r="V162" s="340"/>
      <c r="W162" s="340"/>
      <c r="X162" s="340"/>
      <c r="Y162" s="340"/>
      <c r="Z162" s="340"/>
      <c r="AA162" s="0"/>
      <c r="AB162" s="340"/>
      <c r="AC162" s="340"/>
      <c r="AD162" s="340"/>
      <c r="AE162" s="340"/>
      <c r="AF162" s="340"/>
      <c r="AG162" s="340"/>
      <c r="AH162" s="340"/>
      <c r="AI162" s="340"/>
    </row>
    <row r="163" customFormat="false" ht="17.35" hidden="false" customHeight="false" outlineLevel="0" collapsed="false">
      <c r="A163" s="221"/>
      <c r="B163" s="331"/>
      <c r="C163" s="331"/>
      <c r="D163" s="331"/>
      <c r="E163" s="236"/>
      <c r="F163" s="236"/>
      <c r="G163" s="236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1" t="s">
        <v>145</v>
      </c>
      <c r="B164" s="117" t="n">
        <v>0</v>
      </c>
      <c r="C164" s="117"/>
      <c r="D164" s="331"/>
      <c r="E164" s="236"/>
      <c r="F164" s="236"/>
      <c r="G164" s="236"/>
      <c r="H164" s="11"/>
      <c r="J164" s="0"/>
      <c r="K164" s="340"/>
      <c r="L164" s="340"/>
      <c r="M164" s="0"/>
      <c r="N164" s="0"/>
      <c r="O164" s="0"/>
      <c r="P164" s="0"/>
      <c r="Q164" s="0"/>
      <c r="R164" s="0"/>
      <c r="S164" s="0"/>
      <c r="T164" s="340"/>
      <c r="U164" s="340"/>
      <c r="V164" s="0"/>
      <c r="W164" s="0"/>
      <c r="X164" s="0"/>
      <c r="Y164" s="0"/>
      <c r="Z164" s="0"/>
      <c r="AA164" s="0"/>
      <c r="AB164" s="0"/>
      <c r="AC164" s="340"/>
      <c r="AD164" s="340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1"/>
      <c r="B165" s="331"/>
      <c r="C165" s="331"/>
      <c r="D165" s="331"/>
      <c r="E165" s="236"/>
      <c r="F165" s="236"/>
      <c r="G165" s="236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1" t="s">
        <v>248</v>
      </c>
      <c r="B166" s="361" t="s">
        <v>249</v>
      </c>
      <c r="C166" s="361"/>
      <c r="D166" s="361"/>
      <c r="E166" s="361" t="s">
        <v>250</v>
      </c>
      <c r="F166" s="236"/>
      <c r="G166" s="236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3" t="n">
        <f aca="false">B95</f>
        <v>1639.88541555755</v>
      </c>
      <c r="B167" s="214" t="n">
        <f aca="false">B94</f>
        <v>21.15</v>
      </c>
      <c r="C167" s="361"/>
      <c r="D167" s="361"/>
      <c r="E167" s="214" t="n">
        <f aca="false">B96</f>
        <v>1661.03541555755</v>
      </c>
      <c r="F167" s="236"/>
      <c r="G167" s="236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1"/>
      <c r="B168" s="331"/>
      <c r="C168" s="331"/>
      <c r="D168" s="331"/>
      <c r="E168" s="236"/>
      <c r="F168" s="236"/>
      <c r="G168" s="236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1" t="s">
        <v>81</v>
      </c>
      <c r="B169" s="331" t="s">
        <v>82</v>
      </c>
      <c r="C169" s="331"/>
      <c r="D169" s="236"/>
      <c r="E169" s="331" t="s">
        <v>251</v>
      </c>
      <c r="F169" s="236"/>
      <c r="G169" s="236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4" t="n">
        <f aca="false">K29</f>
        <v>0</v>
      </c>
      <c r="B170" s="118" t="n">
        <f aca="false">K30</f>
        <v>0</v>
      </c>
      <c r="C170" s="362"/>
      <c r="D170" s="236"/>
      <c r="E170" s="60" t="str">
        <f aca="false">IF(A111="YES", A40, 0)</f>
        <v>Monthly maintenance rental (Ex. VAT)</v>
      </c>
      <c r="F170" s="236"/>
      <c r="G170" s="236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1"/>
      <c r="B171" s="331"/>
      <c r="C171" s="331"/>
      <c r="D171" s="236"/>
      <c r="E171" s="331"/>
      <c r="F171" s="236"/>
      <c r="G171" s="236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1" t="s">
        <v>252</v>
      </c>
      <c r="B172" s="331" t="s">
        <v>253</v>
      </c>
      <c r="C172" s="331"/>
      <c r="D172" s="236"/>
      <c r="E172" s="331" t="s">
        <v>254</v>
      </c>
      <c r="F172" s="236"/>
      <c r="G172" s="236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5" t="n">
        <f aca="false">H137</f>
        <v>9480.834</v>
      </c>
      <c r="C173" s="363"/>
      <c r="D173" s="236"/>
      <c r="E173" s="60" t="n">
        <f aca="false">H139+H140</f>
        <v>640</v>
      </c>
      <c r="F173" s="236"/>
      <c r="G173" s="236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1"/>
      <c r="B174" s="331"/>
      <c r="C174" s="331"/>
      <c r="D174" s="236"/>
      <c r="E174" s="331"/>
      <c r="F174" s="236"/>
      <c r="G174" s="236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1" t="s">
        <v>255</v>
      </c>
      <c r="B175" s="331" t="s">
        <v>142</v>
      </c>
      <c r="C175" s="331"/>
      <c r="D175" s="236"/>
      <c r="E175" s="331" t="s">
        <v>231</v>
      </c>
      <c r="F175" s="236"/>
      <c r="G175" s="236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5" t="n">
        <f aca="false">B111</f>
        <v>0</v>
      </c>
      <c r="C176" s="215"/>
      <c r="D176" s="236"/>
      <c r="E176" s="215" t="n">
        <f aca="false">E111</f>
        <v>0</v>
      </c>
      <c r="F176" s="236"/>
      <c r="G176" s="236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1"/>
      <c r="B177" s="331"/>
      <c r="C177" s="331"/>
      <c r="D177" s="236"/>
      <c r="E177" s="331"/>
      <c r="F177" s="236"/>
      <c r="G177" s="236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1" t="s">
        <v>232</v>
      </c>
      <c r="B178" s="331" t="s">
        <v>138</v>
      </c>
      <c r="C178" s="331"/>
      <c r="D178" s="236"/>
      <c r="E178" s="331" t="s">
        <v>246</v>
      </c>
      <c r="F178" s="236"/>
      <c r="G178" s="236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5" t="n">
        <f aca="false">G154</f>
        <v>0</v>
      </c>
      <c r="C179" s="215"/>
      <c r="D179" s="236"/>
      <c r="E179" s="215" t="n">
        <f aca="false">A176-A179-B179</f>
        <v>57525.004</v>
      </c>
      <c r="F179" s="236"/>
      <c r="G179" s="236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1"/>
      <c r="B180" s="331"/>
      <c r="C180" s="331"/>
      <c r="D180" s="236"/>
      <c r="E180" s="331"/>
      <c r="F180" s="236"/>
      <c r="G180" s="236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1" t="s">
        <v>256</v>
      </c>
      <c r="B181" s="331" t="s">
        <v>52</v>
      </c>
      <c r="C181" s="331"/>
      <c r="D181" s="236"/>
      <c r="E181" s="331" t="s">
        <v>257</v>
      </c>
      <c r="F181" s="236"/>
      <c r="G181" s="236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5" t="str">
        <f aca="false">B114</f>
        <v>199.99</v>
      </c>
      <c r="C182" s="215"/>
      <c r="D182" s="236"/>
      <c r="E182" s="215" t="n">
        <f aca="false">E179+A182+B182+A185</f>
        <v>58234.994</v>
      </c>
      <c r="F182" s="236"/>
      <c r="G182" s="236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1" t="n">
        <v>3</v>
      </c>
      <c r="B183" s="331"/>
      <c r="C183" s="331"/>
      <c r="D183" s="236"/>
      <c r="E183" s="331"/>
      <c r="F183" s="236"/>
      <c r="G183" s="236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1" t="s">
        <v>258</v>
      </c>
      <c r="B184" s="331" t="s">
        <v>259</v>
      </c>
      <c r="C184" s="331"/>
      <c r="D184" s="236"/>
      <c r="E184" s="331" t="s">
        <v>260</v>
      </c>
      <c r="F184" s="236"/>
      <c r="G184" s="236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5" t="n">
        <f aca="false">A179+B182</f>
        <v>199.99</v>
      </c>
      <c r="C185" s="215"/>
      <c r="D185" s="236"/>
      <c r="E185" s="215" t="e">
        <f aca="false">E170+A185</f>
        <v>#VALUE!</v>
      </c>
      <c r="F185" s="236"/>
      <c r="G185" s="236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1"/>
      <c r="B186" s="331"/>
      <c r="C186" s="331"/>
      <c r="D186" s="331"/>
      <c r="E186" s="236"/>
      <c r="F186" s="236"/>
      <c r="G186" s="236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1" t="s">
        <v>261</v>
      </c>
      <c r="B187" s="331" t="s">
        <v>262</v>
      </c>
      <c r="C187" s="331"/>
      <c r="D187" s="331"/>
      <c r="E187" s="210" t="s">
        <v>263</v>
      </c>
      <c r="F187" s="236"/>
      <c r="G187" s="236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5" t="n">
        <f aca="false">(G158*B67)</f>
        <v>143.81251</v>
      </c>
      <c r="C188" s="331"/>
      <c r="D188" s="331"/>
      <c r="E188" s="215" t="n">
        <f aca="false">(E40*A108)*0.1</f>
        <v>0</v>
      </c>
      <c r="F188" s="236"/>
      <c r="G188" s="236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5"/>
      <c r="C189" s="331"/>
      <c r="D189" s="331"/>
      <c r="E189" s="236"/>
      <c r="F189" s="236"/>
      <c r="G189" s="236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10" t="s">
        <v>265</v>
      </c>
      <c r="C190" s="331"/>
      <c r="D190" s="331"/>
      <c r="E190" s="210" t="s">
        <v>266</v>
      </c>
      <c r="F190" s="236"/>
      <c r="G190" s="236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5" t="n">
        <f aca="false">B188+E188+A191</f>
        <v>243.80251</v>
      </c>
      <c r="C191" s="331"/>
      <c r="D191" s="331"/>
      <c r="E191" s="215" t="n">
        <f aca="false">H148</f>
        <v>-833.33</v>
      </c>
      <c r="F191" s="236"/>
      <c r="G191" s="236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1"/>
      <c r="B192" s="331"/>
      <c r="C192" s="331"/>
      <c r="D192" s="331"/>
      <c r="E192" s="236"/>
      <c r="F192" s="236"/>
      <c r="G192" s="236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4" t="s">
        <v>267</v>
      </c>
      <c r="B193" s="331"/>
      <c r="C193" s="331"/>
      <c r="D193" s="255"/>
      <c r="E193" s="255"/>
      <c r="F193" s="255"/>
      <c r="G193" s="255"/>
      <c r="H193" s="256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1"/>
      <c r="B194" s="257"/>
      <c r="C194" s="257"/>
      <c r="D194" s="331"/>
      <c r="E194" s="236"/>
      <c r="F194" s="236"/>
      <c r="G194" s="236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6" t="s">
        <v>81</v>
      </c>
      <c r="B195" s="259" t="s">
        <v>82</v>
      </c>
      <c r="C195" s="259"/>
      <c r="D195" s="259"/>
      <c r="E195" s="236"/>
      <c r="F195" s="236"/>
      <c r="G195" s="236"/>
      <c r="H195" s="11"/>
      <c r="J195" s="340"/>
      <c r="K195" s="340"/>
      <c r="L195" s="340"/>
      <c r="M195" s="340"/>
      <c r="N195" s="0"/>
      <c r="O195" s="0"/>
      <c r="P195" s="0"/>
      <c r="Q195" s="0"/>
      <c r="R195" s="0"/>
      <c r="S195" s="340"/>
      <c r="T195" s="340"/>
      <c r="U195" s="340"/>
      <c r="V195" s="340"/>
      <c r="W195" s="0"/>
      <c r="X195" s="0"/>
      <c r="Y195" s="0"/>
      <c r="Z195" s="0"/>
      <c r="AA195" s="0"/>
      <c r="AB195" s="340"/>
      <c r="AC195" s="340"/>
      <c r="AD195" s="340"/>
      <c r="AE195" s="340"/>
      <c r="AF195" s="0"/>
      <c r="AG195" s="0"/>
      <c r="AH195" s="0"/>
      <c r="AI195" s="0"/>
    </row>
    <row r="196" customFormat="false" ht="19.5" hidden="false" customHeight="true" outlineLevel="0" collapsed="false">
      <c r="A196" s="326"/>
      <c r="B196" s="260" t="n">
        <f aca="false">K30</f>
        <v>0</v>
      </c>
      <c r="C196" s="260"/>
      <c r="D196" s="260"/>
      <c r="E196" s="236"/>
      <c r="F196" s="236"/>
      <c r="G196" s="236"/>
      <c r="H196" s="11"/>
      <c r="J196" s="340"/>
      <c r="K196" s="340"/>
      <c r="L196" s="340"/>
      <c r="M196" s="340"/>
      <c r="N196" s="0"/>
      <c r="O196" s="0"/>
      <c r="P196" s="0"/>
      <c r="Q196" s="0"/>
      <c r="R196" s="0"/>
      <c r="S196" s="340"/>
      <c r="T196" s="340"/>
      <c r="U196" s="340"/>
      <c r="V196" s="340"/>
      <c r="W196" s="0"/>
      <c r="X196" s="0"/>
      <c r="Y196" s="0"/>
      <c r="Z196" s="0"/>
      <c r="AA196" s="0"/>
      <c r="AB196" s="340"/>
      <c r="AC196" s="340"/>
      <c r="AD196" s="340"/>
      <c r="AE196" s="340"/>
      <c r="AF196" s="0"/>
      <c r="AG196" s="0"/>
      <c r="AH196" s="0"/>
      <c r="AI196" s="0"/>
    </row>
    <row r="197" customFormat="false" ht="17.35" hidden="false" customHeight="false" outlineLevel="0" collapsed="false">
      <c r="A197" s="261" t="n">
        <f aca="false">K29</f>
        <v>0</v>
      </c>
      <c r="B197" s="75" t="n">
        <f aca="false">B96</f>
        <v>1661.03541555755</v>
      </c>
      <c r="C197" s="75"/>
      <c r="D197" s="75"/>
      <c r="E197" s="236"/>
      <c r="F197" s="236"/>
      <c r="G197" s="236"/>
      <c r="H197" s="11"/>
      <c r="J197" s="0"/>
      <c r="K197" s="340"/>
      <c r="L197" s="340"/>
      <c r="M197" s="340"/>
      <c r="N197" s="0"/>
      <c r="O197" s="0"/>
      <c r="P197" s="0"/>
      <c r="Q197" s="0"/>
      <c r="R197" s="0"/>
      <c r="S197" s="0"/>
      <c r="T197" s="340"/>
      <c r="U197" s="340"/>
      <c r="V197" s="340"/>
      <c r="W197" s="0"/>
      <c r="X197" s="0"/>
      <c r="Y197" s="0"/>
      <c r="Z197" s="0"/>
      <c r="AA197" s="0"/>
      <c r="AB197" s="0"/>
      <c r="AC197" s="340"/>
      <c r="AD197" s="340"/>
      <c r="AE197" s="340"/>
      <c r="AF197" s="0"/>
      <c r="AG197" s="0"/>
      <c r="AH197" s="0"/>
      <c r="AI197" s="0"/>
    </row>
    <row r="198" customFormat="false" ht="17.35" hidden="false" customHeight="false" outlineLevel="0" collapsed="false">
      <c r="A198" s="221"/>
      <c r="B198" s="331"/>
      <c r="C198" s="331"/>
      <c r="D198" s="331"/>
      <c r="E198" s="236"/>
      <c r="F198" s="236"/>
      <c r="G198" s="236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1"/>
      <c r="B199" s="331"/>
      <c r="C199" s="331"/>
      <c r="D199" s="331"/>
      <c r="E199" s="236"/>
      <c r="F199" s="236"/>
      <c r="G199" s="236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1"/>
      <c r="B200" s="331"/>
      <c r="C200" s="331"/>
      <c r="D200" s="331"/>
      <c r="E200" s="236"/>
      <c r="F200" s="236"/>
      <c r="G200" s="236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1"/>
      <c r="B201" s="331"/>
      <c r="C201" s="331"/>
      <c r="D201" s="331"/>
      <c r="E201" s="236"/>
      <c r="F201" s="236"/>
      <c r="G201" s="236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9"/>
      <c r="B202" s="250"/>
      <c r="C202" s="250"/>
      <c r="D202" s="250"/>
      <c r="E202" s="250"/>
      <c r="F202" s="250"/>
      <c r="G202" s="250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34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min="1" max="1" customWidth="true" hidden="false" style="216" width="41.67" collapsed="false" outlineLevel="0"/>
    <col min="2" max="6" customWidth="true" hidden="false" style="216" width="18.88" collapsed="false" outlineLevel="0"/>
    <col min="7" max="7" customWidth="true" hidden="false" style="216" width="23.13" collapsed="false" outlineLevel="0"/>
    <col min="8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2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2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2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 t="n">
        <v>0</v>
      </c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329" t="n">
        <v>0</v>
      </c>
      <c r="C4" s="329" t="n">
        <v>0</v>
      </c>
      <c r="D4" s="329" t="n">
        <v>0</v>
      </c>
      <c r="E4" s="329"/>
      <c r="F4" s="329" t="n">
        <v>0</v>
      </c>
      <c r="G4" s="329"/>
      <c r="H4" s="330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 t="n">
        <v>0</v>
      </c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331"/>
      <c r="C8" s="331"/>
      <c r="D8" s="331"/>
      <c r="E8" s="331"/>
      <c r="F8" s="331"/>
      <c r="G8" s="331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 t="n">
        <f aca="false">(B7+C7+D7+E3)</f>
        <v>46854.17</v>
      </c>
      <c r="F9" s="226"/>
      <c r="G9" s="332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 t="n">
        <v>50</v>
      </c>
      <c r="F10" s="229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 t="n">
        <v>585</v>
      </c>
      <c r="F13" s="229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 t="n">
        <v>55</v>
      </c>
      <c r="F14" s="229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 t="n">
        <v>120</v>
      </c>
      <c r="F16" s="229"/>
      <c r="G16" s="4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5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210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210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210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  <c r="P22" s="333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  <c r="P23" s="333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0"/>
      <c r="J24" s="0"/>
      <c r="K24" s="0"/>
      <c r="P24" s="333"/>
    </row>
    <row r="25" customFormat="false" ht="17.35" hidden="false" customHeight="false" outlineLevel="0" collapsed="false">
      <c r="A25" s="138"/>
      <c r="B25" s="145"/>
      <c r="C25" s="145"/>
      <c r="D25" s="145"/>
      <c r="E25" s="146"/>
      <c r="F25" s="135"/>
      <c r="G25" s="135"/>
      <c r="H25" s="135"/>
      <c r="I25" s="0"/>
      <c r="J25" s="0"/>
      <c r="K25" s="0"/>
      <c r="P25" s="333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0"/>
      <c r="J26" s="0"/>
      <c r="K26" s="0"/>
      <c r="P26" s="333"/>
    </row>
    <row r="27" customFormat="false" ht="17.35" hidden="false" customHeight="fals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3"/>
    </row>
    <row r="28" customFormat="false" ht="31.8" hidden="false" customHeight="fals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3"/>
    </row>
    <row r="29" customFormat="false" ht="17.35" hidden="false" customHeight="fals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33</v>
      </c>
      <c r="I29" s="0"/>
      <c r="J29" s="0"/>
      <c r="K29" s="0"/>
      <c r="P29" s="333"/>
    </row>
    <row r="30" customFormat="false" ht="17.35" hidden="false" customHeight="fals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0"/>
      <c r="J30" s="0"/>
      <c r="K30" s="0"/>
      <c r="P30" s="333"/>
    </row>
    <row r="31" customFormat="false" ht="31.8" hidden="false" customHeight="fals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0"/>
      <c r="J31" s="0"/>
      <c r="K31" s="0"/>
      <c r="P31" s="333"/>
    </row>
    <row r="32" customFormat="false" ht="17.35" hidden="false" customHeight="fals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n">
        <f aca="false">IF(A32=Z103,A41,IF(A32=Z104,A41,IF(A32=Z105,(A41*3),IF(A32=Z106,(A41*6),IF(A32=Z107,(A41*9),IF(A32=Z108,(A41*12),IF(A32=Z109,A41,IF(A32=Z110,A41,IF(A32=Z111,A41,0)))))))))</f>
        <v>14.2424242424242</v>
      </c>
      <c r="E32" s="159"/>
      <c r="F32" s="135"/>
      <c r="G32" s="160" t="s">
        <v>177</v>
      </c>
      <c r="H32" s="158" t="n">
        <f aca="false">A41</f>
        <v>14.2424242424242</v>
      </c>
      <c r="I32" s="0"/>
      <c r="J32" s="334" t="s">
        <v>268</v>
      </c>
      <c r="K32" s="335" t="s">
        <v>269</v>
      </c>
      <c r="P32" s="333"/>
    </row>
    <row r="33" customFormat="false" ht="17.35" hidden="false" customHeight="fals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n">
        <f aca="false">D41</f>
        <v>6000</v>
      </c>
      <c r="I33" s="0"/>
      <c r="J33" s="334"/>
      <c r="K33" s="336"/>
      <c r="P33" s="333"/>
    </row>
    <row r="34" customFormat="false" ht="17.35" hidden="false" customHeight="fals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12</v>
      </c>
      <c r="I34" s="0"/>
      <c r="J34" s="334" t="s">
        <v>270</v>
      </c>
      <c r="K34" s="337" t="s">
        <v>49</v>
      </c>
      <c r="P34" s="333"/>
    </row>
    <row r="35" customFormat="false" ht="17.35" hidden="false" customHeight="false" outlineLevel="0" collapsed="false">
      <c r="A35" s="159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5"/>
      <c r="G35" s="162"/>
      <c r="H35" s="163"/>
      <c r="I35" s="0"/>
      <c r="J35" s="334"/>
      <c r="K35" s="336"/>
      <c r="P35" s="333"/>
    </row>
    <row r="36" customFormat="false" ht="17.35" hidden="false" customHeight="false" outlineLevel="0" collapsed="false">
      <c r="A36" s="138"/>
      <c r="B36" s="145"/>
      <c r="C36" s="145"/>
      <c r="D36" s="145"/>
      <c r="E36" s="146"/>
      <c r="F36" s="135"/>
      <c r="G36" s="135" t="s">
        <v>271</v>
      </c>
      <c r="H36" s="338" t="s">
        <v>272</v>
      </c>
      <c r="I36" s="0"/>
      <c r="J36" s="334" t="s">
        <v>273</v>
      </c>
      <c r="K36" s="339" t="n">
        <f aca="false">K32-K34</f>
        <v>47877.5</v>
      </c>
      <c r="P36" s="333"/>
    </row>
    <row r="37" customFormat="false" ht="17.35" hidden="false" customHeight="fals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0"/>
      <c r="J37" s="0"/>
      <c r="K37" s="0"/>
      <c r="P37" s="333"/>
    </row>
    <row r="38" customFormat="false" ht="17.35" hidden="false" customHeight="false" outlineLevel="0" collapsed="false">
      <c r="A38" s="164" t="n">
        <f aca="false">(B35/12)*D35</f>
        <v>13750</v>
      </c>
      <c r="B38" s="37" t="s">
        <v>25</v>
      </c>
      <c r="C38" s="37"/>
      <c r="D38" s="42" t="s">
        <v>55</v>
      </c>
      <c r="E38" s="42"/>
      <c r="F38" s="135"/>
      <c r="G38" s="135"/>
      <c r="H38" s="135"/>
      <c r="I38" s="0"/>
      <c r="J38" s="340"/>
      <c r="K38" s="340"/>
      <c r="L38" s="50"/>
      <c r="N38" s="216" t="n">
        <f aca="false">80.88*36</f>
        <v>2911.68</v>
      </c>
      <c r="P38" s="333"/>
    </row>
    <row r="39" customFormat="false" ht="17.35" hidden="false" customHeight="false" outlineLevel="0" collapsed="false">
      <c r="A39" s="57"/>
      <c r="B39" s="45"/>
      <c r="C39" s="45"/>
      <c r="D39" s="145"/>
      <c r="E39" s="146"/>
      <c r="F39" s="135"/>
      <c r="G39" s="135"/>
      <c r="H39" s="165"/>
      <c r="I39" s="0"/>
      <c r="J39" s="0"/>
      <c r="K39" s="0"/>
      <c r="L39" s="50"/>
      <c r="N39" s="216" t="n">
        <f aca="false">K39-L39</f>
        <v>0</v>
      </c>
      <c r="P39" s="333"/>
    </row>
    <row r="40" customFormat="false" ht="17.35" hidden="false" customHeight="fals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0"/>
      <c r="J40" s="0"/>
      <c r="K40" s="0"/>
      <c r="L40" s="50"/>
      <c r="N40" s="216" t="n">
        <f aca="false">N38-N39</f>
        <v>2911.68</v>
      </c>
      <c r="P40" s="333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5"/>
      <c r="G41" s="135"/>
      <c r="H41" s="167"/>
      <c r="J41" s="50"/>
      <c r="K41" s="50"/>
      <c r="L41" s="50"/>
      <c r="P41" s="333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J42" s="50"/>
      <c r="K42" s="50"/>
      <c r="L42" s="50"/>
      <c r="P42" s="333"/>
    </row>
    <row r="43" customFormat="false" ht="17.35" hidden="false" customHeight="fals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500.363636363636</v>
      </c>
      <c r="J43" s="50"/>
      <c r="K43" s="50"/>
      <c r="L43" s="50"/>
      <c r="P43" s="333"/>
    </row>
    <row r="44" customFormat="false" ht="17.35" hidden="false" customHeight="false" outlineLevel="0" collapsed="false">
      <c r="A44" s="42" t="s">
        <v>44</v>
      </c>
      <c r="B44" s="166" t="n">
        <v>0</v>
      </c>
      <c r="C44" s="166"/>
      <c r="D44" s="166" t="n">
        <v>0</v>
      </c>
      <c r="E44" s="166"/>
      <c r="F44" s="135"/>
      <c r="G44" s="135" t="s">
        <v>185</v>
      </c>
      <c r="H44" s="165" t="n">
        <f aca="false">H32</f>
        <v>14.2424242424242</v>
      </c>
      <c r="J44" s="50"/>
      <c r="K44" s="50"/>
      <c r="L44" s="50"/>
      <c r="P44" s="333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514.606060606061</v>
      </c>
      <c r="J45" s="50"/>
      <c r="K45" s="50"/>
      <c r="L45" s="50"/>
      <c r="P45" s="333"/>
    </row>
    <row r="46" customFormat="false" ht="17.35" hidden="false" customHeight="fals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500.363636363636</v>
      </c>
      <c r="J46" s="50"/>
      <c r="K46" s="50"/>
      <c r="L46" s="50"/>
      <c r="P46" s="333"/>
    </row>
    <row r="47" customFormat="false" ht="17.35" hidden="false" customHeight="false" outlineLevel="0" collapsed="false">
      <c r="A47" s="170" t="n">
        <v>0</v>
      </c>
      <c r="B47" s="171" t="n">
        <v>0</v>
      </c>
      <c r="C47" s="171"/>
      <c r="D47" s="166" t="n">
        <v>0</v>
      </c>
      <c r="E47" s="166"/>
      <c r="F47" s="135"/>
      <c r="G47" s="135"/>
      <c r="H47" s="165"/>
      <c r="J47" s="50"/>
      <c r="K47" s="50"/>
      <c r="L47" s="50"/>
      <c r="P47" s="333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5"/>
      <c r="G48" s="135"/>
      <c r="H48" s="165"/>
      <c r="J48" s="63"/>
      <c r="K48" s="50"/>
      <c r="L48" s="50"/>
      <c r="P48" s="333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5"/>
      <c r="G49" s="135"/>
      <c r="H49" s="165"/>
      <c r="J49" s="50"/>
      <c r="K49" s="50"/>
      <c r="L49" s="50"/>
      <c r="P49" s="333"/>
    </row>
    <row r="50" customFormat="false" ht="17.35" hidden="false" customHeight="false" outlineLevel="0" collapsed="false">
      <c r="A50" s="138"/>
      <c r="B50" s="175"/>
      <c r="C50" s="175"/>
      <c r="D50" s="145"/>
      <c r="E50" s="146"/>
      <c r="F50" s="0"/>
      <c r="G50" s="0"/>
      <c r="H50" s="0"/>
      <c r="I50" s="50"/>
      <c r="J50" s="50"/>
      <c r="K50" s="50"/>
      <c r="P50" s="333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5"/>
      <c r="E51" s="146"/>
      <c r="F51" s="0"/>
      <c r="G51" s="0"/>
      <c r="H51" s="0"/>
      <c r="I51" s="50"/>
      <c r="J51" s="50"/>
      <c r="K51" s="50"/>
      <c r="P51" s="333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5"/>
      <c r="E52" s="146"/>
      <c r="F52" s="0"/>
      <c r="G52" s="0"/>
      <c r="H52" s="0"/>
      <c r="I52" s="50"/>
      <c r="J52" s="50"/>
      <c r="K52" s="50"/>
      <c r="P52" s="333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5"/>
      <c r="E53" s="146"/>
      <c r="F53" s="0"/>
      <c r="G53" s="0"/>
      <c r="H53" s="0"/>
      <c r="I53" s="50"/>
      <c r="J53" s="50"/>
      <c r="K53" s="50"/>
      <c r="P53" s="333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3"/>
    </row>
    <row r="55" customFormat="false" ht="17.35" hidden="false" customHeight="false" outlineLevel="0" collapsed="false">
      <c r="A55" s="236"/>
      <c r="B55" s="236"/>
      <c r="C55" s="236"/>
      <c r="D55" s="236"/>
      <c r="E55" s="236"/>
      <c r="F55" s="236"/>
      <c r="G55" s="236"/>
      <c r="H55" s="236"/>
      <c r="J55" s="50"/>
      <c r="K55" s="50"/>
      <c r="P55" s="333"/>
    </row>
    <row r="56" customFormat="false" ht="17.35" hidden="false" customHeight="false" outlineLevel="0" collapsed="false">
      <c r="A56" s="236"/>
      <c r="B56" s="236"/>
      <c r="C56" s="236"/>
      <c r="D56" s="236"/>
      <c r="E56" s="236"/>
      <c r="F56" s="236"/>
      <c r="G56" s="236"/>
      <c r="H56" s="236"/>
      <c r="J56" s="50"/>
      <c r="K56" s="50"/>
      <c r="P56" s="333"/>
    </row>
    <row r="57" customFormat="false" ht="17.35" hidden="false" customHeight="false" outlineLevel="0" collapsed="false">
      <c r="A57" s="238"/>
      <c r="B57" s="239"/>
      <c r="C57" s="239"/>
      <c r="D57" s="239"/>
      <c r="E57" s="262"/>
      <c r="F57" s="262"/>
      <c r="G57" s="262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1" t="s">
        <v>83</v>
      </c>
      <c r="B58" s="331" t="n">
        <v>1</v>
      </c>
      <c r="C58" s="341"/>
      <c r="D58" s="331"/>
      <c r="E58" s="342"/>
      <c r="F58" s="342"/>
      <c r="G58" s="34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1" t="s">
        <v>84</v>
      </c>
      <c r="B59" s="331" t="n">
        <f aca="false">B35-B58</f>
        <v>32</v>
      </c>
      <c r="C59" s="341"/>
      <c r="D59" s="331"/>
      <c r="E59" s="342"/>
      <c r="F59" s="342"/>
      <c r="G59" s="34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3" t="s">
        <v>206</v>
      </c>
      <c r="B60" s="88" t="n">
        <v>10</v>
      </c>
      <c r="C60" s="341"/>
      <c r="D60" s="331"/>
      <c r="E60" s="342"/>
      <c r="F60" s="342"/>
      <c r="G60" s="34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1" t="s">
        <v>21</v>
      </c>
      <c r="B61" s="331" t="n">
        <f aca="false">J18</f>
        <v>57225</v>
      </c>
      <c r="C61" s="341"/>
      <c r="D61" s="331"/>
      <c r="E61" s="342"/>
      <c r="F61" s="342"/>
      <c r="G61" s="34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4" t="s">
        <v>207</v>
      </c>
      <c r="B62" s="343" t="n">
        <v>0</v>
      </c>
      <c r="C62" s="341"/>
      <c r="D62" s="331"/>
      <c r="E62" s="342"/>
      <c r="F62" s="342"/>
      <c r="G62" s="342"/>
      <c r="H62" s="11"/>
      <c r="J62" s="0"/>
      <c r="K62" s="344"/>
      <c r="L62" s="0"/>
      <c r="M62" s="0"/>
      <c r="N62" s="0"/>
      <c r="O62" s="0"/>
      <c r="P62" s="0"/>
      <c r="Q62" s="0"/>
      <c r="R62" s="0"/>
      <c r="S62" s="0"/>
      <c r="T62" s="344"/>
      <c r="U62" s="0"/>
      <c r="V62" s="0"/>
      <c r="W62" s="0"/>
      <c r="X62" s="0"/>
      <c r="Y62" s="0"/>
      <c r="Z62" s="0"/>
      <c r="AA62" s="0"/>
      <c r="AB62" s="0"/>
      <c r="AC62" s="344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8" t="s">
        <v>208</v>
      </c>
      <c r="B63" s="345" t="n">
        <v>0.065</v>
      </c>
      <c r="C63" s="341"/>
      <c r="D63" s="331"/>
      <c r="E63" s="342"/>
      <c r="F63" s="342"/>
      <c r="G63" s="342"/>
      <c r="H63" s="11"/>
      <c r="J63" s="0"/>
      <c r="K63" s="344"/>
      <c r="L63" s="0"/>
      <c r="M63" s="0"/>
      <c r="N63" s="0"/>
      <c r="O63" s="0"/>
      <c r="P63" s="0"/>
      <c r="Q63" s="0"/>
      <c r="R63" s="0"/>
      <c r="S63" s="0"/>
      <c r="T63" s="344"/>
      <c r="U63" s="0"/>
      <c r="V63" s="0"/>
      <c r="W63" s="0"/>
      <c r="X63" s="0"/>
      <c r="Y63" s="0"/>
      <c r="Z63" s="0"/>
      <c r="AA63" s="0"/>
      <c r="AB63" s="0"/>
      <c r="AC63" s="344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7" t="s">
        <v>209</v>
      </c>
      <c r="B64" s="346" t="n">
        <v>0.072</v>
      </c>
      <c r="C64" s="331"/>
      <c r="D64" s="331"/>
      <c r="E64" s="342"/>
      <c r="F64" s="342"/>
      <c r="G64" s="342"/>
      <c r="H64" s="11"/>
      <c r="J64" s="0"/>
      <c r="K64" s="344"/>
      <c r="L64" s="0"/>
      <c r="M64" s="0"/>
      <c r="N64" s="0"/>
      <c r="O64" s="0"/>
      <c r="P64" s="0"/>
      <c r="Q64" s="0"/>
      <c r="R64" s="0"/>
      <c r="S64" s="0"/>
      <c r="T64" s="344"/>
      <c r="U64" s="0"/>
      <c r="V64" s="0"/>
      <c r="W64" s="0"/>
      <c r="X64" s="0"/>
      <c r="Y64" s="0"/>
      <c r="Z64" s="0"/>
      <c r="AA64" s="0"/>
      <c r="AB64" s="0"/>
      <c r="AC64" s="344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9" t="s">
        <v>87</v>
      </c>
      <c r="B65" s="84" t="n">
        <f aca="false">(B89*B59)-B53</f>
        <v>51961.7272372354</v>
      </c>
      <c r="C65" s="331"/>
      <c r="D65" s="331"/>
      <c r="E65" s="342"/>
      <c r="F65" s="342"/>
      <c r="G65" s="34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4" t="s">
        <v>88</v>
      </c>
      <c r="B66" s="343" t="n">
        <v>0.005</v>
      </c>
      <c r="C66" s="331"/>
      <c r="D66" s="331"/>
      <c r="E66" s="342"/>
      <c r="F66" s="342"/>
      <c r="G66" s="342"/>
      <c r="H66" s="11"/>
      <c r="J66" s="0"/>
      <c r="K66" s="344"/>
      <c r="L66" s="0"/>
      <c r="M66" s="0"/>
      <c r="N66" s="0"/>
      <c r="O66" s="0"/>
      <c r="P66" s="0"/>
      <c r="Q66" s="0"/>
      <c r="R66" s="0"/>
      <c r="S66" s="0"/>
      <c r="T66" s="344"/>
      <c r="U66" s="0"/>
      <c r="V66" s="0"/>
      <c r="W66" s="0"/>
      <c r="X66" s="0"/>
      <c r="Y66" s="0"/>
      <c r="Z66" s="0"/>
      <c r="AA66" s="0"/>
      <c r="AB66" s="0"/>
      <c r="AC66" s="344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1" t="s">
        <v>89</v>
      </c>
      <c r="B67" s="347" t="n">
        <f aca="false">B66+(B66*0.5*(K29/12-1))</f>
        <v>0.0025</v>
      </c>
      <c r="C67" s="331"/>
      <c r="D67" s="331"/>
      <c r="E67" s="342"/>
      <c r="F67" s="342"/>
      <c r="G67" s="342"/>
      <c r="H67" s="11"/>
      <c r="J67" s="0"/>
      <c r="K67" s="344"/>
      <c r="L67" s="0"/>
      <c r="M67" s="0"/>
      <c r="N67" s="0"/>
      <c r="O67" s="0"/>
      <c r="P67" s="0"/>
      <c r="Q67" s="0"/>
      <c r="R67" s="0"/>
      <c r="S67" s="0"/>
      <c r="T67" s="344"/>
      <c r="U67" s="0"/>
      <c r="V67" s="0"/>
      <c r="W67" s="0"/>
      <c r="X67" s="0"/>
      <c r="Y67" s="0"/>
      <c r="Z67" s="0"/>
      <c r="AA67" s="0"/>
      <c r="AB67" s="0"/>
      <c r="AC67" s="344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9" t="s">
        <v>90</v>
      </c>
      <c r="B68" s="84" t="n">
        <f aca="false">(G158*B67)</f>
        <v>143.81251</v>
      </c>
      <c r="C68" s="331"/>
      <c r="D68" s="331"/>
      <c r="E68" s="342"/>
      <c r="F68" s="342"/>
      <c r="G68" s="34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4" t="s">
        <v>91</v>
      </c>
      <c r="B69" s="343" t="n">
        <v>0</v>
      </c>
      <c r="C69" s="348"/>
      <c r="D69" s="331"/>
      <c r="E69" s="342"/>
      <c r="F69" s="342"/>
      <c r="G69" s="342"/>
      <c r="H69" s="11"/>
      <c r="J69" s="0"/>
      <c r="K69" s="344"/>
      <c r="L69" s="0"/>
      <c r="M69" s="0"/>
      <c r="N69" s="0"/>
      <c r="O69" s="0"/>
      <c r="P69" s="0"/>
      <c r="Q69" s="0"/>
      <c r="R69" s="0"/>
      <c r="S69" s="0"/>
      <c r="T69" s="344"/>
      <c r="U69" s="0"/>
      <c r="V69" s="0"/>
      <c r="W69" s="0"/>
      <c r="X69" s="0"/>
      <c r="Y69" s="0"/>
      <c r="Z69" s="0"/>
      <c r="AA69" s="0"/>
      <c r="AB69" s="0"/>
      <c r="AC69" s="344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8" t="s">
        <v>92</v>
      </c>
      <c r="B70" s="345" t="n">
        <v>0</v>
      </c>
      <c r="C70" s="348"/>
      <c r="D70" s="331"/>
      <c r="E70" s="342"/>
      <c r="F70" s="342"/>
      <c r="G70" s="342"/>
      <c r="H70" s="11"/>
      <c r="J70" s="0"/>
      <c r="K70" s="344"/>
      <c r="L70" s="0"/>
      <c r="M70" s="0"/>
      <c r="N70" s="0"/>
      <c r="O70" s="0"/>
      <c r="P70" s="0"/>
      <c r="Q70" s="0"/>
      <c r="R70" s="0"/>
      <c r="S70" s="0"/>
      <c r="T70" s="344"/>
      <c r="U70" s="0"/>
      <c r="V70" s="0"/>
      <c r="W70" s="0"/>
      <c r="X70" s="0"/>
      <c r="Y70" s="0"/>
      <c r="Z70" s="0"/>
      <c r="AA70" s="0"/>
      <c r="AB70" s="0"/>
      <c r="AC70" s="344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9" t="s">
        <v>93</v>
      </c>
      <c r="B71" s="349" t="n">
        <f aca="false">B69*(1+B70)</f>
        <v>0</v>
      </c>
      <c r="C71" s="348"/>
      <c r="D71" s="331"/>
      <c r="E71" s="342"/>
      <c r="F71" s="342"/>
      <c r="G71" s="342"/>
      <c r="H71" s="11"/>
      <c r="J71" s="0"/>
      <c r="K71" s="344"/>
      <c r="L71" s="0"/>
      <c r="M71" s="0"/>
      <c r="N71" s="0"/>
      <c r="O71" s="0"/>
      <c r="P71" s="0"/>
      <c r="Q71" s="0"/>
      <c r="R71" s="0"/>
      <c r="S71" s="0"/>
      <c r="T71" s="344"/>
      <c r="U71" s="0"/>
      <c r="V71" s="0"/>
      <c r="W71" s="0"/>
      <c r="X71" s="0"/>
      <c r="Y71" s="0"/>
      <c r="Z71" s="0"/>
      <c r="AA71" s="0"/>
      <c r="AB71" s="0"/>
      <c r="AC71" s="344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4" t="s">
        <v>94</v>
      </c>
      <c r="B72" s="87" t="n">
        <v>0</v>
      </c>
      <c r="C72" s="348"/>
      <c r="D72" s="331"/>
      <c r="E72" s="342"/>
      <c r="F72" s="342"/>
      <c r="G72" s="34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8" t="s">
        <v>95</v>
      </c>
      <c r="B73" s="88" t="n">
        <v>0</v>
      </c>
      <c r="C73" s="348"/>
      <c r="D73" s="331"/>
      <c r="E73" s="342"/>
      <c r="F73" s="342"/>
      <c r="G73" s="34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9" t="s">
        <v>96</v>
      </c>
      <c r="B74" s="84" t="n">
        <f aca="false">B73*B35</f>
        <v>0</v>
      </c>
      <c r="C74" s="348"/>
      <c r="D74" s="331" t="n">
        <f aca="false">B74+B72</f>
        <v>0</v>
      </c>
      <c r="E74" s="342"/>
      <c r="F74" s="342"/>
      <c r="G74" s="34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8" t="s">
        <v>103</v>
      </c>
      <c r="B75" s="88" t="n">
        <v>0</v>
      </c>
      <c r="C75" s="348"/>
      <c r="D75" s="331" t="n">
        <f aca="false">B75</f>
        <v>0</v>
      </c>
      <c r="E75" s="342"/>
      <c r="F75" s="342"/>
      <c r="G75" s="34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7" t="s">
        <v>104</v>
      </c>
      <c r="B76" s="97" t="n">
        <v>0</v>
      </c>
      <c r="C76" s="348"/>
      <c r="D76" s="331" t="n">
        <f aca="false">B76</f>
        <v>0</v>
      </c>
      <c r="E76" s="342"/>
      <c r="F76" s="331"/>
      <c r="G76" s="34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1" t="s">
        <v>105</v>
      </c>
      <c r="B77" s="272" t="n">
        <f aca="false">SUM(D65:D76)</f>
        <v>0</v>
      </c>
      <c r="C77" s="331"/>
      <c r="D77" s="331"/>
      <c r="E77" s="342"/>
      <c r="F77" s="331"/>
      <c r="G77" s="331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1" t="s">
        <v>106</v>
      </c>
      <c r="B78" s="11" t="n">
        <f aca="false">B77/B35</f>
        <v>0</v>
      </c>
      <c r="C78" s="331"/>
      <c r="D78" s="331"/>
      <c r="E78" s="342"/>
      <c r="F78" s="342"/>
      <c r="G78" s="34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3" t="s">
        <v>107</v>
      </c>
      <c r="B79" s="101" t="n">
        <f aca="false">H46</f>
        <v>500.363636363636</v>
      </c>
      <c r="C79" s="331"/>
      <c r="D79" s="331"/>
      <c r="E79" s="342"/>
      <c r="F79" s="342"/>
      <c r="G79" s="34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1"/>
      <c r="B80" s="331"/>
      <c r="C80" s="331"/>
      <c r="D80" s="331"/>
      <c r="E80" s="342"/>
      <c r="F80" s="342"/>
      <c r="G80" s="34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8" t="s">
        <v>210</v>
      </c>
      <c r="B81" s="102" t="n">
        <f aca="false">K36</f>
        <v>47877.5</v>
      </c>
      <c r="C81" s="331"/>
      <c r="D81" s="331"/>
      <c r="E81" s="342"/>
      <c r="F81" s="342"/>
      <c r="G81" s="34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1" t="s">
        <v>211</v>
      </c>
      <c r="B82" s="11" t="n">
        <v>6000</v>
      </c>
      <c r="C82" s="331"/>
      <c r="D82" s="331"/>
      <c r="E82" s="342"/>
      <c r="F82" s="342"/>
      <c r="G82" s="34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1" t="s">
        <v>212</v>
      </c>
      <c r="B83" s="350" t="n">
        <f aca="false">B62+B63+B64</f>
        <v>0.137</v>
      </c>
      <c r="C83" s="331"/>
      <c r="D83" s="331"/>
      <c r="E83" s="342"/>
      <c r="F83" s="342"/>
      <c r="G83" s="342"/>
      <c r="H83" s="11"/>
      <c r="J83" s="0"/>
      <c r="K83" s="344"/>
      <c r="L83" s="0"/>
      <c r="M83" s="0"/>
      <c r="N83" s="0"/>
      <c r="O83" s="0"/>
      <c r="P83" s="0"/>
      <c r="Q83" s="0"/>
      <c r="R83" s="0"/>
      <c r="S83" s="0"/>
      <c r="T83" s="344"/>
      <c r="U83" s="0"/>
      <c r="V83" s="0"/>
      <c r="W83" s="0"/>
      <c r="X83" s="0"/>
      <c r="Y83" s="0"/>
      <c r="Z83" s="0"/>
      <c r="AA83" s="0"/>
      <c r="AB83" s="0"/>
      <c r="AC83" s="344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1" t="s">
        <v>213</v>
      </c>
      <c r="B84" s="347" t="n">
        <f aca="false">B83/12</f>
        <v>0.0114166666666667</v>
      </c>
      <c r="C84" s="331"/>
      <c r="D84" s="331"/>
      <c r="E84" s="342"/>
      <c r="F84" s="342"/>
      <c r="G84" s="342"/>
      <c r="H84" s="11"/>
      <c r="J84" s="0"/>
      <c r="K84" s="344"/>
      <c r="L84" s="0"/>
      <c r="M84" s="0"/>
      <c r="N84" s="0"/>
      <c r="O84" s="0"/>
      <c r="P84" s="0"/>
      <c r="Q84" s="0"/>
      <c r="R84" s="0"/>
      <c r="S84" s="0"/>
      <c r="T84" s="344"/>
      <c r="U84" s="0"/>
      <c r="V84" s="0"/>
      <c r="W84" s="0"/>
      <c r="X84" s="0"/>
      <c r="Y84" s="0"/>
      <c r="Z84" s="0"/>
      <c r="AA84" s="0"/>
      <c r="AB84" s="0"/>
      <c r="AC84" s="344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1" t="s">
        <v>214</v>
      </c>
      <c r="B85" s="11" t="n">
        <f aca="false">IF(B82=0, (B59+B58), (B59))</f>
        <v>32</v>
      </c>
      <c r="C85" s="331"/>
      <c r="D85" s="331"/>
      <c r="E85" s="342"/>
      <c r="F85" s="342"/>
      <c r="G85" s="34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1" t="s">
        <v>215</v>
      </c>
      <c r="B86" s="11" t="n">
        <f aca="false">(B82/((1+B84)^(B85+1)))</f>
        <v>4125.32107917265</v>
      </c>
      <c r="C86" s="331" t="n">
        <f aca="false">(B82/((1+B84)^(B85+1)))</f>
        <v>4125.32107917265</v>
      </c>
      <c r="D86" s="331"/>
      <c r="E86" s="342"/>
      <c r="F86" s="342"/>
      <c r="G86" s="34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1" t="s">
        <v>216</v>
      </c>
      <c r="B87" s="11" t="n">
        <f aca="false">((1-(1/((1+B84)^B85)))/B84)</f>
        <v>26.6800219733353</v>
      </c>
      <c r="C87" s="331" t="n">
        <f aca="false">((1-(1/((1+B84)^B85)))/B84)</f>
        <v>26.6800219733353</v>
      </c>
      <c r="D87" s="331"/>
      <c r="E87" s="342"/>
      <c r="F87" s="342"/>
      <c r="G87" s="34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1" t="s">
        <v>217</v>
      </c>
      <c r="B88" s="11" t="n">
        <f aca="false">B81-B86</f>
        <v>43752.1789208274</v>
      </c>
      <c r="C88" s="331" t="n">
        <f aca="false">B81-B86</f>
        <v>43752.1789208274</v>
      </c>
      <c r="D88" s="331"/>
      <c r="E88" s="342"/>
      <c r="F88" s="342"/>
      <c r="G88" s="34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1" t="s">
        <v>218</v>
      </c>
      <c r="B89" s="11" t="n">
        <f aca="false">(B88/B87)</f>
        <v>1639.88541555755</v>
      </c>
      <c r="C89" s="331" t="n">
        <f aca="false">(B88/B87)</f>
        <v>1639.88541555755</v>
      </c>
      <c r="D89" s="331"/>
      <c r="E89" s="342"/>
      <c r="F89" s="342"/>
      <c r="G89" s="34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1" t="s">
        <v>108</v>
      </c>
      <c r="B90" s="11" t="n">
        <f aca="false">((B89*(B85))+B77)</f>
        <v>52476.3332978415</v>
      </c>
      <c r="C90" s="331"/>
      <c r="D90" s="331"/>
      <c r="E90" s="342"/>
      <c r="F90" s="342"/>
      <c r="G90" s="34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1" t="s">
        <v>109</v>
      </c>
      <c r="B91" s="11" t="n">
        <f aca="false">(((B89*(B85))+B77)/(1-B71))*B71</f>
        <v>0</v>
      </c>
      <c r="C91" s="331"/>
      <c r="D91" s="331"/>
      <c r="E91" s="342"/>
      <c r="F91" s="342"/>
      <c r="G91" s="34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9" t="s">
        <v>110</v>
      </c>
      <c r="B92" s="84" t="n">
        <f aca="false">(B90+B91)</f>
        <v>52476.3332978415</v>
      </c>
      <c r="C92" s="331"/>
      <c r="D92" s="331"/>
      <c r="E92" s="342"/>
      <c r="F92" s="342"/>
      <c r="G92" s="34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1"/>
      <c r="B93" s="331"/>
      <c r="C93" s="331"/>
      <c r="D93" s="331"/>
      <c r="E93" s="342"/>
      <c r="F93" s="342"/>
      <c r="G93" s="34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1" t="s">
        <v>65</v>
      </c>
      <c r="B94" s="351" t="n">
        <f aca="false">IF(B38="YES",((H36/B85)*(1+A108)),"0")</f>
        <v>17.625</v>
      </c>
      <c r="C94" s="331"/>
      <c r="D94" s="331"/>
      <c r="E94" s="342"/>
      <c r="F94" s="342"/>
      <c r="G94" s="34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4" t="s">
        <v>111</v>
      </c>
      <c r="B95" s="275" t="n">
        <f aca="false">B92/(B85)</f>
        <v>1639.88541555755</v>
      </c>
      <c r="C95" s="331"/>
      <c r="D95" s="331"/>
      <c r="E95" s="342"/>
      <c r="F95" s="342"/>
      <c r="G95" s="34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6" t="s">
        <v>112</v>
      </c>
      <c r="B96" s="277" t="n">
        <f aca="false">B94+B95</f>
        <v>1657.51041555755</v>
      </c>
      <c r="C96" s="331"/>
      <c r="D96" s="331"/>
      <c r="E96" s="342"/>
      <c r="F96" s="342"/>
      <c r="G96" s="34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9"/>
      <c r="B97" s="250"/>
      <c r="C97" s="250"/>
      <c r="D97" s="250"/>
      <c r="E97" s="278"/>
      <c r="F97" s="278"/>
      <c r="G97" s="278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6"/>
      <c r="B98" s="236"/>
      <c r="C98" s="236"/>
      <c r="D98" s="236"/>
      <c r="E98" s="236"/>
      <c r="F98" s="236"/>
      <c r="G98" s="236"/>
      <c r="H98" s="236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6"/>
      <c r="B99" s="236"/>
      <c r="C99" s="236"/>
      <c r="D99" s="236"/>
      <c r="E99" s="236"/>
      <c r="F99" s="236"/>
      <c r="G99" s="236"/>
      <c r="H99" s="236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7" t="s">
        <v>222</v>
      </c>
      <c r="B100" s="217"/>
      <c r="C100" s="217"/>
      <c r="D100" s="217"/>
      <c r="E100" s="217"/>
      <c r="F100" s="217"/>
      <c r="G100" s="217"/>
      <c r="H100" s="217"/>
      <c r="J100" s="340"/>
      <c r="K100" s="340"/>
      <c r="L100" s="340"/>
      <c r="M100" s="340"/>
      <c r="N100" s="340"/>
      <c r="O100" s="340"/>
      <c r="P100" s="340"/>
      <c r="Q100" s="340"/>
      <c r="R100" s="0"/>
      <c r="S100" s="340"/>
      <c r="T100" s="340"/>
      <c r="U100" s="340"/>
      <c r="V100" s="340"/>
      <c r="W100" s="340"/>
      <c r="X100" s="340"/>
      <c r="Y100" s="340"/>
      <c r="Z100" s="340"/>
      <c r="AA100" s="0"/>
      <c r="AB100" s="340"/>
      <c r="AC100" s="340"/>
      <c r="AD100" s="340"/>
      <c r="AE100" s="340"/>
      <c r="AF100" s="340"/>
      <c r="AG100" s="340"/>
      <c r="AH100" s="340"/>
      <c r="AI100" s="340"/>
    </row>
    <row r="101" customFormat="false" ht="17.35" hidden="false" customHeight="false" outlineLevel="0" collapsed="false">
      <c r="A101" s="238"/>
      <c r="B101" s="239"/>
      <c r="C101" s="239"/>
      <c r="D101" s="239"/>
      <c r="E101" s="262"/>
      <c r="F101" s="262"/>
      <c r="G101" s="262"/>
      <c r="H101" s="279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40" t="s">
        <v>116</v>
      </c>
      <c r="B102" s="240"/>
      <c r="C102" s="240"/>
      <c r="D102" s="240"/>
      <c r="E102" s="240"/>
      <c r="F102" s="240"/>
      <c r="G102" s="240"/>
      <c r="H102" s="240"/>
      <c r="J102" s="340"/>
      <c r="K102" s="340"/>
      <c r="L102" s="340"/>
      <c r="M102" s="340"/>
      <c r="N102" s="340"/>
      <c r="O102" s="340"/>
      <c r="P102" s="340"/>
      <c r="Q102" s="340"/>
      <c r="R102" s="0"/>
      <c r="S102" s="340"/>
      <c r="T102" s="340"/>
      <c r="U102" s="340"/>
      <c r="V102" s="340"/>
      <c r="W102" s="340"/>
      <c r="X102" s="340"/>
      <c r="Y102" s="340"/>
      <c r="Z102" s="340"/>
      <c r="AA102" s="0"/>
      <c r="AB102" s="340"/>
      <c r="AC102" s="340"/>
      <c r="AD102" s="340"/>
      <c r="AE102" s="340"/>
      <c r="AF102" s="340"/>
      <c r="AG102" s="340"/>
      <c r="AH102" s="340"/>
      <c r="AI102" s="340"/>
    </row>
    <row r="103" customFormat="false" ht="17.35" hidden="false" customHeight="false" outlineLevel="0" collapsed="false">
      <c r="A103" s="221"/>
      <c r="B103" s="331"/>
      <c r="C103" s="331"/>
      <c r="D103" s="331"/>
      <c r="E103" s="342"/>
      <c r="F103" s="342"/>
      <c r="G103" s="342"/>
      <c r="H103" s="28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5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1" t="s">
        <v>118</v>
      </c>
      <c r="B104" s="331" t="s">
        <v>30</v>
      </c>
      <c r="C104" s="331"/>
      <c r="D104" s="331"/>
      <c r="E104" s="331" t="s">
        <v>130</v>
      </c>
      <c r="F104" s="331"/>
      <c r="G104" s="331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5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1" t="s">
        <v>224</v>
      </c>
      <c r="B105" s="215" t="s">
        <v>117</v>
      </c>
      <c r="C105" s="215"/>
      <c r="D105" s="215"/>
      <c r="E105" s="42" t="s">
        <v>26</v>
      </c>
      <c r="F105" s="42"/>
      <c r="G105" s="42"/>
      <c r="H105" s="280"/>
      <c r="J105" s="0"/>
      <c r="K105" s="340"/>
      <c r="L105" s="340"/>
      <c r="M105" s="340"/>
      <c r="N105" s="340"/>
      <c r="O105" s="340"/>
      <c r="P105" s="340"/>
      <c r="Q105" s="0"/>
      <c r="R105" s="0"/>
      <c r="S105" s="0"/>
      <c r="T105" s="340"/>
      <c r="U105" s="340"/>
      <c r="V105" s="340"/>
      <c r="W105" s="340"/>
      <c r="X105" s="340"/>
      <c r="Y105" s="340"/>
      <c r="Z105" s="135" t="s">
        <v>124</v>
      </c>
      <c r="AA105" s="0"/>
      <c r="AB105" s="0"/>
      <c r="AC105" s="340"/>
      <c r="AD105" s="340"/>
      <c r="AE105" s="340"/>
      <c r="AF105" s="340"/>
      <c r="AG105" s="340"/>
      <c r="AH105" s="340"/>
      <c r="AI105" s="0"/>
    </row>
    <row r="106" customFormat="false" ht="17.35" hidden="false" customHeight="false" outlineLevel="0" collapsed="false">
      <c r="A106" s="221"/>
      <c r="B106" s="331"/>
      <c r="C106" s="331"/>
      <c r="D106" s="342"/>
      <c r="E106" s="331"/>
      <c r="F106" s="331"/>
      <c r="G106" s="34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5" t="s">
        <v>125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1" t="s">
        <v>131</v>
      </c>
      <c r="B107" s="331" t="s">
        <v>225</v>
      </c>
      <c r="C107" s="331"/>
      <c r="D107" s="342"/>
      <c r="E107" s="331" t="s">
        <v>226</v>
      </c>
      <c r="F107" s="331"/>
      <c r="G107" s="342"/>
      <c r="H107" s="28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5" t="s">
        <v>129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2" t="n">
        <v>0.2</v>
      </c>
      <c r="B108" s="112" t="s">
        <v>219</v>
      </c>
      <c r="C108" s="112"/>
      <c r="D108" s="112"/>
      <c r="E108" s="282" t="n">
        <f aca="false">B83</f>
        <v>0.137</v>
      </c>
      <c r="F108" s="282"/>
      <c r="G108" s="282"/>
      <c r="H108" s="246"/>
      <c r="J108" s="344"/>
      <c r="K108" s="340"/>
      <c r="L108" s="340"/>
      <c r="M108" s="340"/>
      <c r="N108" s="344"/>
      <c r="O108" s="344"/>
      <c r="P108" s="344"/>
      <c r="Q108" s="0"/>
      <c r="R108" s="0"/>
      <c r="S108" s="344"/>
      <c r="T108" s="340"/>
      <c r="U108" s="340"/>
      <c r="V108" s="340"/>
      <c r="W108" s="344"/>
      <c r="X108" s="344"/>
      <c r="Y108" s="344"/>
      <c r="Z108" s="135" t="s">
        <v>123</v>
      </c>
      <c r="AA108" s="0"/>
      <c r="AB108" s="344"/>
      <c r="AC108" s="340"/>
      <c r="AD108" s="340"/>
      <c r="AE108" s="340"/>
      <c r="AF108" s="344"/>
      <c r="AG108" s="344"/>
      <c r="AH108" s="344"/>
      <c r="AI108" s="0"/>
      <c r="AP108" s="216" t="s">
        <v>229</v>
      </c>
    </row>
    <row r="109" customFormat="false" ht="17.35" hidden="false" customHeight="false" outlineLevel="0" collapsed="false">
      <c r="A109" s="221"/>
      <c r="B109" s="331"/>
      <c r="C109" s="331"/>
      <c r="D109" s="331"/>
      <c r="E109" s="331"/>
      <c r="F109" s="331"/>
      <c r="G109" s="331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5" t="s">
        <v>122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6" t="s">
        <v>227</v>
      </c>
    </row>
    <row r="110" customFormat="false" ht="17.35" hidden="false" customHeight="false" outlineLevel="0" collapsed="false">
      <c r="A110" s="221" t="s">
        <v>230</v>
      </c>
      <c r="B110" s="331" t="s">
        <v>142</v>
      </c>
      <c r="C110" s="331"/>
      <c r="D110" s="331"/>
      <c r="E110" s="331" t="s">
        <v>231</v>
      </c>
      <c r="F110" s="331"/>
      <c r="G110" s="331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5" t="s">
        <v>133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2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80"/>
      <c r="J111" s="0"/>
      <c r="K111" s="340"/>
      <c r="L111" s="340"/>
      <c r="M111" s="340"/>
      <c r="N111" s="340"/>
      <c r="O111" s="340"/>
      <c r="P111" s="340"/>
      <c r="Q111" s="0"/>
      <c r="R111" s="0"/>
      <c r="S111" s="0"/>
      <c r="T111" s="340"/>
      <c r="U111" s="340"/>
      <c r="V111" s="340"/>
      <c r="W111" s="340"/>
      <c r="X111" s="340"/>
      <c r="Y111" s="340"/>
      <c r="Z111" s="135" t="s">
        <v>134</v>
      </c>
      <c r="AA111" s="0"/>
      <c r="AB111" s="0"/>
      <c r="AC111" s="340"/>
      <c r="AD111" s="340"/>
      <c r="AE111" s="340"/>
      <c r="AF111" s="340"/>
      <c r="AG111" s="340"/>
      <c r="AH111" s="340"/>
      <c r="AI111" s="0"/>
    </row>
    <row r="112" customFormat="false" ht="17.35" hidden="false" customHeight="false" outlineLevel="0" collapsed="false">
      <c r="A112" s="221"/>
      <c r="B112" s="331"/>
      <c r="C112" s="331"/>
      <c r="D112" s="331"/>
      <c r="E112" s="331"/>
      <c r="F112" s="331"/>
      <c r="G112" s="342"/>
      <c r="H112" s="28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1" t="s">
        <v>163</v>
      </c>
      <c r="C113" s="331"/>
      <c r="D113" s="331"/>
      <c r="E113" s="331" t="s">
        <v>132</v>
      </c>
      <c r="F113" s="331"/>
      <c r="G113" s="342"/>
      <c r="H113" s="28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80"/>
      <c r="J114" s="0"/>
      <c r="K114" s="340"/>
      <c r="L114" s="340"/>
      <c r="M114" s="340"/>
      <c r="N114" s="340"/>
      <c r="O114" s="340"/>
      <c r="P114" s="340"/>
      <c r="Q114" s="0"/>
      <c r="R114" s="0"/>
      <c r="S114" s="0"/>
      <c r="T114" s="340"/>
      <c r="U114" s="340"/>
      <c r="V114" s="340"/>
      <c r="W114" s="340"/>
      <c r="X114" s="340"/>
      <c r="Y114" s="340"/>
      <c r="Z114" s="0"/>
      <c r="AA114" s="0"/>
      <c r="AB114" s="0"/>
      <c r="AC114" s="340"/>
      <c r="AD114" s="340"/>
      <c r="AE114" s="340"/>
      <c r="AF114" s="340"/>
      <c r="AG114" s="340"/>
      <c r="AH114" s="340"/>
      <c r="AI114" s="0"/>
    </row>
    <row r="115" customFormat="false" ht="13.8" hidden="false" customHeight="false" outlineLevel="0" collapsed="false">
      <c r="A115" s="284"/>
      <c r="B115" s="342"/>
      <c r="C115" s="342"/>
      <c r="D115" s="342"/>
      <c r="E115" s="342"/>
      <c r="F115" s="342"/>
      <c r="G115" s="342"/>
      <c r="H115" s="28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4"/>
      <c r="B116" s="342"/>
      <c r="C116" s="342"/>
      <c r="D116" s="342"/>
      <c r="E116" s="342"/>
      <c r="F116" s="342"/>
      <c r="G116" s="342"/>
      <c r="H116" s="28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40" t="s">
        <v>233</v>
      </c>
      <c r="B117" s="240"/>
      <c r="C117" s="240"/>
      <c r="D117" s="240"/>
      <c r="E117" s="240"/>
      <c r="F117" s="240"/>
      <c r="G117" s="240"/>
      <c r="H117" s="240"/>
      <c r="J117" s="340"/>
      <c r="K117" s="340"/>
      <c r="L117" s="340"/>
      <c r="M117" s="340"/>
      <c r="N117" s="340"/>
      <c r="O117" s="340"/>
      <c r="P117" s="340"/>
      <c r="Q117" s="340"/>
      <c r="R117" s="0"/>
      <c r="S117" s="340"/>
      <c r="T117" s="340"/>
      <c r="U117" s="340"/>
      <c r="V117" s="340"/>
      <c r="W117" s="340"/>
      <c r="X117" s="340"/>
      <c r="Y117" s="340"/>
      <c r="Z117" s="340"/>
      <c r="AA117" s="0"/>
      <c r="AB117" s="340"/>
      <c r="AC117" s="340"/>
      <c r="AD117" s="340"/>
      <c r="AE117" s="340"/>
      <c r="AF117" s="340"/>
      <c r="AG117" s="340"/>
      <c r="AH117" s="340"/>
      <c r="AI117" s="340"/>
    </row>
    <row r="118" customFormat="false" ht="13.8" hidden="false" customHeight="false" outlineLevel="0" collapsed="false">
      <c r="A118" s="284"/>
      <c r="B118" s="342"/>
      <c r="C118" s="342"/>
      <c r="D118" s="342"/>
      <c r="E118" s="342"/>
      <c r="F118" s="342"/>
      <c r="G118" s="342"/>
      <c r="H118" s="28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4"/>
      <c r="B119" s="285" t="s">
        <v>1</v>
      </c>
      <c r="C119" s="285"/>
      <c r="D119" s="285" t="s">
        <v>2</v>
      </c>
      <c r="E119" s="285"/>
      <c r="F119" s="285" t="s">
        <v>3</v>
      </c>
      <c r="G119" s="285"/>
      <c r="H119" s="286" t="s">
        <v>4</v>
      </c>
      <c r="J119" s="0"/>
      <c r="K119" s="340"/>
      <c r="L119" s="340"/>
      <c r="M119" s="340"/>
      <c r="N119" s="340"/>
      <c r="O119" s="340"/>
      <c r="P119" s="340"/>
      <c r="Q119" s="0"/>
      <c r="R119" s="0"/>
      <c r="S119" s="0"/>
      <c r="T119" s="340"/>
      <c r="U119" s="340"/>
      <c r="V119" s="340"/>
      <c r="W119" s="340"/>
      <c r="X119" s="340"/>
      <c r="Y119" s="340"/>
      <c r="Z119" s="0"/>
      <c r="AA119" s="0"/>
      <c r="AB119" s="0"/>
      <c r="AC119" s="340"/>
      <c r="AD119" s="340"/>
      <c r="AE119" s="340"/>
      <c r="AF119" s="340"/>
      <c r="AG119" s="340"/>
      <c r="AH119" s="340"/>
      <c r="AI119" s="0"/>
    </row>
    <row r="120" customFormat="false" ht="19.7" hidden="false" customHeight="false" outlineLevel="0" collapsed="false">
      <c r="A120" s="218"/>
      <c r="B120" s="287" t="s">
        <v>234</v>
      </c>
      <c r="C120" s="288" t="s">
        <v>235</v>
      </c>
      <c r="D120" s="287" t="s">
        <v>234</v>
      </c>
      <c r="E120" s="289" t="s">
        <v>235</v>
      </c>
      <c r="F120" s="287" t="s">
        <v>234</v>
      </c>
      <c r="G120" s="289" t="s">
        <v>235</v>
      </c>
      <c r="H120" s="29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8" t="s">
        <v>5</v>
      </c>
      <c r="B121" s="353" t="n">
        <f aca="false">B3</f>
        <v>46854.17</v>
      </c>
      <c r="C121" s="354" t="n">
        <f aca="false">B121</f>
        <v>46854.17</v>
      </c>
      <c r="D121" s="353" t="n">
        <f aca="false">D3</f>
        <v>0</v>
      </c>
      <c r="E121" s="354" t="n">
        <f aca="false">D121</f>
        <v>0</v>
      </c>
      <c r="F121" s="353" t="n">
        <f aca="false">F3</f>
        <v>833.33</v>
      </c>
      <c r="G121" s="354" t="n">
        <v>0</v>
      </c>
      <c r="H121" s="291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1" t="s">
        <v>6</v>
      </c>
      <c r="B122" s="355" t="n">
        <f aca="false">B4</f>
        <v>0</v>
      </c>
      <c r="C122" s="329" t="n">
        <v>0</v>
      </c>
      <c r="D122" s="355" t="n">
        <f aca="false">D4</f>
        <v>0</v>
      </c>
      <c r="E122" s="329" t="n">
        <v>0</v>
      </c>
      <c r="F122" s="355" t="n">
        <f aca="false">F4</f>
        <v>0</v>
      </c>
      <c r="G122" s="356" t="n">
        <v>0</v>
      </c>
      <c r="H122" s="330"/>
      <c r="J122" s="0"/>
      <c r="K122" s="344"/>
      <c r="L122" s="344"/>
      <c r="M122" s="344"/>
      <c r="N122" s="344"/>
      <c r="O122" s="344"/>
      <c r="P122" s="344"/>
      <c r="Q122" s="344"/>
      <c r="R122" s="0"/>
      <c r="S122" s="0"/>
      <c r="T122" s="344"/>
      <c r="U122" s="344"/>
      <c r="V122" s="344"/>
      <c r="W122" s="344"/>
      <c r="X122" s="344"/>
      <c r="Y122" s="344"/>
      <c r="Z122" s="344"/>
      <c r="AA122" s="0"/>
      <c r="AB122" s="0"/>
      <c r="AC122" s="344"/>
      <c r="AD122" s="344"/>
      <c r="AE122" s="344"/>
      <c r="AF122" s="344"/>
      <c r="AG122" s="344"/>
      <c r="AH122" s="344"/>
      <c r="AI122" s="344"/>
    </row>
    <row r="123" customFormat="false" ht="17.35" hidden="false" customHeight="false" outlineLevel="0" collapsed="false">
      <c r="A123" s="221" t="s">
        <v>7</v>
      </c>
      <c r="B123" s="357" t="n">
        <f aca="false">B5</f>
        <v>0</v>
      </c>
      <c r="C123" s="354" t="n">
        <v>0</v>
      </c>
      <c r="D123" s="357" t="n">
        <f aca="false">D5</f>
        <v>0</v>
      </c>
      <c r="E123" s="354" t="n">
        <v>0</v>
      </c>
      <c r="F123" s="357" t="n">
        <f aca="false">F5</f>
        <v>0</v>
      </c>
      <c r="G123" s="3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1" t="s">
        <v>8</v>
      </c>
      <c r="B124" s="357" t="n">
        <f aca="false">(B121*B122)+B123</f>
        <v>0</v>
      </c>
      <c r="C124" s="203" t="n">
        <f aca="false">(C121*C122/100)+C123</f>
        <v>0</v>
      </c>
      <c r="D124" s="357" t="n">
        <f aca="false">(D121*D122)+D123</f>
        <v>0</v>
      </c>
      <c r="E124" s="203" t="n">
        <f aca="false">(E121*E122/100)+E123</f>
        <v>0</v>
      </c>
      <c r="F124" s="357" t="n">
        <f aca="false">(F121*F122)+F123</f>
        <v>0</v>
      </c>
      <c r="G124" s="203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9" t="s">
        <v>9</v>
      </c>
      <c r="B125" s="358" t="n">
        <f aca="false">B121-B124</f>
        <v>46854.17</v>
      </c>
      <c r="C125" s="185" t="n">
        <f aca="false">C121-C124</f>
        <v>46854.17</v>
      </c>
      <c r="D125" s="358" t="n">
        <f aca="false">D121-D124</f>
        <v>0</v>
      </c>
      <c r="E125" s="185" t="n">
        <f aca="false">E121-E124</f>
        <v>0</v>
      </c>
      <c r="F125" s="358" t="n">
        <f aca="false">F121-F124</f>
        <v>833.33</v>
      </c>
      <c r="G125" s="185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1"/>
      <c r="B126" s="331"/>
      <c r="C126" s="331"/>
      <c r="D126" s="331"/>
      <c r="E126" s="331"/>
      <c r="F126" s="331"/>
      <c r="G126" s="331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4"/>
      <c r="B127" s="359"/>
      <c r="C127" s="359"/>
      <c r="D127" s="359"/>
      <c r="E127" s="359"/>
      <c r="F127" s="359"/>
      <c r="G127" s="332" t="s">
        <v>234</v>
      </c>
      <c r="H127" s="296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7" t="s">
        <v>236</v>
      </c>
      <c r="B128" s="298"/>
      <c r="C128" s="298"/>
      <c r="D128" s="298"/>
      <c r="E128" s="298"/>
      <c r="F128" s="298"/>
      <c r="G128" s="299" t="n">
        <f aca="false">H121</f>
        <v>0</v>
      </c>
      <c r="H128" s="300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1"/>
      <c r="B129" s="331"/>
      <c r="C129" s="331"/>
      <c r="D129" s="331"/>
      <c r="E129" s="331"/>
      <c r="F129" s="331"/>
      <c r="G129" s="304"/>
      <c r="H129" s="302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3" t="s">
        <v>237</v>
      </c>
      <c r="B130" s="304" t="s">
        <v>238</v>
      </c>
      <c r="C130" s="304"/>
      <c r="D130" s="304" t="s">
        <v>239</v>
      </c>
      <c r="E130" s="304"/>
      <c r="F130" s="304" t="s">
        <v>7</v>
      </c>
      <c r="G130" s="304"/>
      <c r="H130" s="302" t="s">
        <v>235</v>
      </c>
      <c r="J130" s="0"/>
      <c r="K130" s="340"/>
      <c r="L130" s="340"/>
      <c r="M130" s="340"/>
      <c r="N130" s="340"/>
      <c r="O130" s="340"/>
      <c r="P130" s="340"/>
      <c r="Q130" s="0"/>
      <c r="R130" s="0"/>
      <c r="S130" s="0"/>
      <c r="T130" s="340"/>
      <c r="U130" s="340"/>
      <c r="V130" s="340"/>
      <c r="W130" s="340"/>
      <c r="X130" s="340"/>
      <c r="Y130" s="340"/>
      <c r="Z130" s="0"/>
      <c r="AA130" s="0"/>
      <c r="AB130" s="0"/>
      <c r="AC130" s="340"/>
      <c r="AD130" s="340"/>
      <c r="AE130" s="340"/>
      <c r="AF130" s="340"/>
      <c r="AG130" s="340"/>
      <c r="AH130" s="340"/>
      <c r="AI130" s="0"/>
    </row>
    <row r="131" customFormat="false" ht="17.35" hidden="false" customHeight="false" outlineLevel="0" collapsed="false">
      <c r="A131" s="221" t="s">
        <v>240</v>
      </c>
      <c r="B131" s="306" t="n">
        <f aca="false">G128</f>
        <v>0</v>
      </c>
      <c r="C131" s="306"/>
      <c r="D131" s="307" t="n">
        <v>0</v>
      </c>
      <c r="E131" s="307"/>
      <c r="F131" s="306" t="n">
        <v>0</v>
      </c>
      <c r="G131" s="306"/>
      <c r="H131" s="308" t="n">
        <f aca="false">(B131-(B131*D131))-F131</f>
        <v>0</v>
      </c>
      <c r="J131" s="0"/>
      <c r="K131" s="340"/>
      <c r="L131" s="340"/>
      <c r="M131" s="344"/>
      <c r="N131" s="344"/>
      <c r="O131" s="340"/>
      <c r="P131" s="340"/>
      <c r="Q131" s="0"/>
      <c r="R131" s="0"/>
      <c r="S131" s="0"/>
      <c r="T131" s="340"/>
      <c r="U131" s="340"/>
      <c r="V131" s="344"/>
      <c r="W131" s="344"/>
      <c r="X131" s="340"/>
      <c r="Y131" s="340"/>
      <c r="Z131" s="0"/>
      <c r="AA131" s="0"/>
      <c r="AB131" s="0"/>
      <c r="AC131" s="340"/>
      <c r="AD131" s="340"/>
      <c r="AE131" s="344"/>
      <c r="AF131" s="344"/>
      <c r="AG131" s="340"/>
      <c r="AH131" s="340"/>
      <c r="AI131" s="0"/>
    </row>
    <row r="132" customFormat="false" ht="17.35" hidden="false" customHeight="false" outlineLevel="0" collapsed="false">
      <c r="A132" s="221" t="s">
        <v>241</v>
      </c>
      <c r="B132" s="306" t="n">
        <v>0</v>
      </c>
      <c r="C132" s="306"/>
      <c r="D132" s="307" t="n">
        <v>0</v>
      </c>
      <c r="E132" s="307"/>
      <c r="F132" s="306" t="n">
        <v>0</v>
      </c>
      <c r="G132" s="306"/>
      <c r="H132" s="308" t="n">
        <f aca="false">(B132-(B132*D132))-F132</f>
        <v>0</v>
      </c>
      <c r="J132" s="0"/>
      <c r="K132" s="340"/>
      <c r="L132" s="340"/>
      <c r="M132" s="344"/>
      <c r="N132" s="344"/>
      <c r="O132" s="340"/>
      <c r="P132" s="340"/>
      <c r="Q132" s="0"/>
      <c r="R132" s="0"/>
      <c r="S132" s="0"/>
      <c r="T132" s="340"/>
      <c r="U132" s="340"/>
      <c r="V132" s="344"/>
      <c r="W132" s="344"/>
      <c r="X132" s="340"/>
      <c r="Y132" s="340"/>
      <c r="Z132" s="0"/>
      <c r="AA132" s="0"/>
      <c r="AB132" s="0"/>
      <c r="AC132" s="340"/>
      <c r="AD132" s="340"/>
      <c r="AE132" s="344"/>
      <c r="AF132" s="344"/>
      <c r="AG132" s="340"/>
      <c r="AH132" s="340"/>
      <c r="AI132" s="0"/>
    </row>
    <row r="133" customFormat="false" ht="17.35" hidden="false" customHeight="false" outlineLevel="0" collapsed="false">
      <c r="A133" s="221" t="s">
        <v>242</v>
      </c>
      <c r="B133" s="306" t="n">
        <v>0</v>
      </c>
      <c r="C133" s="306"/>
      <c r="D133" s="307" t="n">
        <v>0</v>
      </c>
      <c r="E133" s="307"/>
      <c r="F133" s="306" t="n">
        <v>0</v>
      </c>
      <c r="G133" s="306"/>
      <c r="H133" s="308" t="n">
        <f aca="false">(B133-(B133*D133))-F133</f>
        <v>0</v>
      </c>
      <c r="J133" s="0"/>
      <c r="K133" s="340"/>
      <c r="L133" s="340"/>
      <c r="M133" s="344"/>
      <c r="N133" s="344"/>
      <c r="O133" s="340"/>
      <c r="P133" s="340"/>
      <c r="Q133" s="0"/>
      <c r="R133" s="0"/>
      <c r="S133" s="0"/>
      <c r="T133" s="340"/>
      <c r="U133" s="340"/>
      <c r="V133" s="344"/>
      <c r="W133" s="344"/>
      <c r="X133" s="340"/>
      <c r="Y133" s="340"/>
      <c r="Z133" s="0"/>
      <c r="AA133" s="0"/>
      <c r="AB133" s="0"/>
      <c r="AC133" s="340"/>
      <c r="AD133" s="340"/>
      <c r="AE133" s="344"/>
      <c r="AF133" s="344"/>
      <c r="AG133" s="340"/>
      <c r="AH133" s="340"/>
      <c r="AI133" s="0"/>
    </row>
    <row r="134" customFormat="false" ht="17.35" hidden="false" customHeight="false" outlineLevel="0" collapsed="false">
      <c r="A134" s="221"/>
      <c r="B134" s="331"/>
      <c r="C134" s="331"/>
      <c r="D134" s="331"/>
      <c r="E134" s="331"/>
      <c r="F134" s="331"/>
      <c r="G134" s="304"/>
      <c r="H134" s="302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6" t="s">
        <v>10</v>
      </c>
      <c r="B135" s="226"/>
      <c r="C135" s="226"/>
      <c r="D135" s="226"/>
      <c r="E135" s="226"/>
      <c r="F135" s="226"/>
      <c r="G135" s="332" t="n">
        <f aca="false">H9</f>
        <v>47687.5</v>
      </c>
      <c r="H135" s="309" t="n">
        <f aca="false">C125+E125+G125+H128</f>
        <v>46854.17</v>
      </c>
      <c r="J135" s="340"/>
      <c r="K135" s="340"/>
      <c r="L135" s="340"/>
      <c r="M135" s="340"/>
      <c r="N135" s="340"/>
      <c r="O135" s="340"/>
      <c r="P135" s="0"/>
      <c r="Q135" s="0"/>
      <c r="R135" s="0"/>
      <c r="S135" s="340"/>
      <c r="T135" s="340"/>
      <c r="U135" s="340"/>
      <c r="V135" s="340"/>
      <c r="W135" s="340"/>
      <c r="X135" s="340"/>
      <c r="Y135" s="0"/>
      <c r="Z135" s="0"/>
      <c r="AA135" s="0"/>
      <c r="AB135" s="340"/>
      <c r="AC135" s="340"/>
      <c r="AD135" s="340"/>
      <c r="AE135" s="340"/>
      <c r="AF135" s="340"/>
      <c r="AG135" s="340"/>
      <c r="AH135" s="0"/>
      <c r="AI135" s="0"/>
    </row>
    <row r="136" customFormat="false" ht="17.35" hidden="false" customHeight="false" outlineLevel="0" collapsed="false">
      <c r="A136" s="229" t="s">
        <v>11</v>
      </c>
      <c r="B136" s="229"/>
      <c r="C136" s="229"/>
      <c r="D136" s="229"/>
      <c r="E136" s="229"/>
      <c r="F136" s="229"/>
      <c r="G136" s="40" t="n">
        <f aca="false">H10</f>
        <v>550</v>
      </c>
      <c r="H136" s="11" t="n">
        <f aca="false">G136</f>
        <v>550</v>
      </c>
      <c r="J136" s="340"/>
      <c r="K136" s="340"/>
      <c r="L136" s="340"/>
      <c r="M136" s="340"/>
      <c r="N136" s="340"/>
      <c r="O136" s="340"/>
      <c r="P136" s="0"/>
      <c r="Q136" s="0"/>
      <c r="R136" s="0"/>
      <c r="S136" s="340"/>
      <c r="T136" s="340"/>
      <c r="U136" s="340"/>
      <c r="V136" s="340"/>
      <c r="W136" s="340"/>
      <c r="X136" s="340"/>
      <c r="Y136" s="0"/>
      <c r="Z136" s="0"/>
      <c r="AA136" s="0"/>
      <c r="AB136" s="340"/>
      <c r="AC136" s="340"/>
      <c r="AD136" s="340"/>
      <c r="AE136" s="340"/>
      <c r="AF136" s="340"/>
      <c r="AG136" s="340"/>
      <c r="AH136" s="0"/>
      <c r="AI136" s="0"/>
    </row>
    <row r="137" customFormat="false" ht="17.35" hidden="false" customHeight="false" outlineLevel="0" collapsed="false">
      <c r="A137" s="229" t="s">
        <v>12</v>
      </c>
      <c r="B137" s="229"/>
      <c r="C137" s="229"/>
      <c r="D137" s="229"/>
      <c r="E137" s="229"/>
      <c r="F137" s="229"/>
      <c r="G137" s="40" t="n">
        <f aca="false">H11</f>
        <v>9647.5</v>
      </c>
      <c r="H137" s="11" t="n">
        <f aca="false">(H135+H136)*20%</f>
        <v>9480.834</v>
      </c>
      <c r="J137" s="340"/>
      <c r="K137" s="340"/>
      <c r="L137" s="340"/>
      <c r="M137" s="340"/>
      <c r="N137" s="340"/>
      <c r="O137" s="340"/>
      <c r="P137" s="0"/>
      <c r="Q137" s="0"/>
      <c r="R137" s="0"/>
      <c r="S137" s="340"/>
      <c r="T137" s="340"/>
      <c r="U137" s="340"/>
      <c r="V137" s="340"/>
      <c r="W137" s="340"/>
      <c r="X137" s="340"/>
      <c r="Y137" s="0"/>
      <c r="Z137" s="0"/>
      <c r="AA137" s="0"/>
      <c r="AB137" s="340"/>
      <c r="AC137" s="340"/>
      <c r="AD137" s="340"/>
      <c r="AE137" s="340"/>
      <c r="AF137" s="340"/>
      <c r="AG137" s="340"/>
      <c r="AH137" s="0"/>
      <c r="AI137" s="0"/>
    </row>
    <row r="138" customFormat="false" ht="17.35" hidden="false" customHeight="false" outlineLevel="0" collapsed="false">
      <c r="A138" s="229" t="s">
        <v>13</v>
      </c>
      <c r="B138" s="229"/>
      <c r="C138" s="229"/>
      <c r="D138" s="229"/>
      <c r="E138" s="229"/>
      <c r="F138" s="229"/>
      <c r="G138" s="40" t="n">
        <f aca="false">H12</f>
        <v>0</v>
      </c>
      <c r="H138" s="11" t="n">
        <v>0</v>
      </c>
      <c r="J138" s="340"/>
      <c r="K138" s="340"/>
      <c r="L138" s="340"/>
      <c r="M138" s="340"/>
      <c r="N138" s="340"/>
      <c r="O138" s="340"/>
      <c r="P138" s="0"/>
      <c r="Q138" s="0"/>
      <c r="R138" s="0"/>
      <c r="S138" s="340"/>
      <c r="T138" s="340"/>
      <c r="U138" s="340"/>
      <c r="V138" s="340"/>
      <c r="W138" s="340"/>
      <c r="X138" s="340"/>
      <c r="Y138" s="0"/>
      <c r="Z138" s="0"/>
      <c r="AA138" s="0"/>
      <c r="AB138" s="340"/>
      <c r="AC138" s="340"/>
      <c r="AD138" s="340"/>
      <c r="AE138" s="340"/>
      <c r="AF138" s="340"/>
      <c r="AG138" s="340"/>
      <c r="AH138" s="0"/>
      <c r="AI138" s="0"/>
    </row>
    <row r="139" customFormat="false" ht="17.35" hidden="false" customHeight="false" outlineLevel="0" collapsed="false">
      <c r="A139" s="229" t="s">
        <v>14</v>
      </c>
      <c r="B139" s="229"/>
      <c r="C139" s="229"/>
      <c r="D139" s="229"/>
      <c r="E139" s="229"/>
      <c r="F139" s="229"/>
      <c r="G139" s="40" t="n">
        <f aca="false">H13</f>
        <v>585</v>
      </c>
      <c r="H139" s="11" t="n">
        <f aca="false">G139</f>
        <v>585</v>
      </c>
      <c r="J139" s="340"/>
      <c r="K139" s="340"/>
      <c r="L139" s="340"/>
      <c r="M139" s="340"/>
      <c r="N139" s="340"/>
      <c r="O139" s="340"/>
      <c r="P139" s="0"/>
      <c r="Q139" s="0"/>
      <c r="R139" s="0"/>
      <c r="S139" s="340"/>
      <c r="T139" s="340"/>
      <c r="U139" s="340"/>
      <c r="V139" s="340"/>
      <c r="W139" s="340"/>
      <c r="X139" s="340"/>
      <c r="Y139" s="0"/>
      <c r="Z139" s="0"/>
      <c r="AA139" s="0"/>
      <c r="AB139" s="340"/>
      <c r="AC139" s="340"/>
      <c r="AD139" s="340"/>
      <c r="AE139" s="340"/>
      <c r="AF139" s="340"/>
      <c r="AG139" s="340"/>
      <c r="AH139" s="0"/>
      <c r="AI139" s="0"/>
    </row>
    <row r="140" customFormat="false" ht="17.35" hidden="false" customHeight="false" outlineLevel="0" collapsed="false">
      <c r="A140" s="229" t="s">
        <v>15</v>
      </c>
      <c r="B140" s="229"/>
      <c r="C140" s="229"/>
      <c r="D140" s="229"/>
      <c r="E140" s="229"/>
      <c r="F140" s="229"/>
      <c r="G140" s="40" t="n">
        <f aca="false">H14</f>
        <v>55</v>
      </c>
      <c r="H140" s="11" t="n">
        <v>55</v>
      </c>
      <c r="J140" s="340"/>
      <c r="K140" s="340"/>
      <c r="L140" s="340"/>
      <c r="M140" s="340"/>
      <c r="N140" s="340"/>
      <c r="O140" s="340"/>
      <c r="P140" s="0"/>
      <c r="Q140" s="0"/>
      <c r="R140" s="0"/>
      <c r="S140" s="340"/>
      <c r="T140" s="340"/>
      <c r="U140" s="340"/>
      <c r="V140" s="340"/>
      <c r="W140" s="340"/>
      <c r="X140" s="340"/>
      <c r="Y140" s="0"/>
      <c r="Z140" s="0"/>
      <c r="AA140" s="0"/>
      <c r="AB140" s="340"/>
      <c r="AC140" s="340"/>
      <c r="AD140" s="340"/>
      <c r="AE140" s="340"/>
      <c r="AF140" s="340"/>
      <c r="AG140" s="340"/>
      <c r="AH140" s="0"/>
      <c r="AI140" s="0"/>
    </row>
    <row r="141" customFormat="false" ht="19.7" hidden="false" customHeight="false" outlineLevel="0" collapsed="false">
      <c r="A141" s="229" t="s">
        <v>17</v>
      </c>
      <c r="B141" s="229"/>
      <c r="C141" s="229"/>
      <c r="D141" s="229"/>
      <c r="E141" s="229"/>
      <c r="F141" s="229"/>
      <c r="G141" s="360" t="n">
        <f aca="false">H15</f>
        <v>58525</v>
      </c>
      <c r="H141" s="311" t="n">
        <f aca="false">(H135+H136+H139+H140+H137)-H138</f>
        <v>57525.004</v>
      </c>
      <c r="J141" s="340"/>
      <c r="K141" s="340"/>
      <c r="L141" s="340"/>
      <c r="M141" s="340"/>
      <c r="N141" s="340"/>
      <c r="O141" s="340"/>
      <c r="P141" s="0"/>
      <c r="Q141" s="0"/>
      <c r="R141" s="0"/>
      <c r="S141" s="340"/>
      <c r="T141" s="340"/>
      <c r="U141" s="340"/>
      <c r="V141" s="340"/>
      <c r="W141" s="340"/>
      <c r="X141" s="340"/>
      <c r="Y141" s="0"/>
      <c r="Z141" s="0"/>
      <c r="AA141" s="0"/>
      <c r="AB141" s="340"/>
      <c r="AC141" s="340"/>
      <c r="AD141" s="340"/>
      <c r="AE141" s="340"/>
      <c r="AF141" s="340"/>
      <c r="AG141" s="340"/>
      <c r="AH141" s="0"/>
      <c r="AI141" s="0"/>
    </row>
    <row r="142" customFormat="false" ht="17.35" hidden="false" customHeight="false" outlineLevel="0" collapsed="false">
      <c r="A142" s="229" t="s">
        <v>18</v>
      </c>
      <c r="B142" s="229"/>
      <c r="C142" s="229"/>
      <c r="D142" s="229"/>
      <c r="E142" s="229"/>
      <c r="F142" s="229"/>
      <c r="G142" s="40" t="n">
        <f aca="false">H16</f>
        <v>0</v>
      </c>
      <c r="H142" s="242" t="n">
        <f aca="false">G142</f>
        <v>0</v>
      </c>
      <c r="J142" s="340"/>
      <c r="K142" s="340"/>
      <c r="L142" s="340"/>
      <c r="M142" s="340"/>
      <c r="N142" s="340"/>
      <c r="O142" s="340"/>
      <c r="P142" s="0"/>
      <c r="Q142" s="0"/>
      <c r="R142" s="0"/>
      <c r="S142" s="340"/>
      <c r="T142" s="340"/>
      <c r="U142" s="340"/>
      <c r="V142" s="340"/>
      <c r="W142" s="340"/>
      <c r="X142" s="340"/>
      <c r="Y142" s="0"/>
      <c r="Z142" s="0"/>
      <c r="AA142" s="0"/>
      <c r="AB142" s="340"/>
      <c r="AC142" s="340"/>
      <c r="AD142" s="340"/>
      <c r="AE142" s="340"/>
      <c r="AF142" s="340"/>
      <c r="AG142" s="340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5"/>
      <c r="H143" s="11"/>
      <c r="J143" s="340"/>
      <c r="K143" s="340"/>
      <c r="L143" s="340"/>
      <c r="M143" s="340"/>
      <c r="N143" s="340"/>
      <c r="O143" s="340"/>
      <c r="P143" s="0"/>
      <c r="Q143" s="0"/>
      <c r="R143" s="0"/>
      <c r="S143" s="340"/>
      <c r="T143" s="340"/>
      <c r="U143" s="340"/>
      <c r="V143" s="340"/>
      <c r="W143" s="340"/>
      <c r="X143" s="340"/>
      <c r="Y143" s="0"/>
      <c r="Z143" s="0"/>
      <c r="AA143" s="0"/>
      <c r="AB143" s="340"/>
      <c r="AC143" s="340"/>
      <c r="AD143" s="340"/>
      <c r="AE143" s="340"/>
      <c r="AF143" s="340"/>
      <c r="AG143" s="340"/>
      <c r="AH143" s="0"/>
      <c r="AI143" s="0"/>
    </row>
    <row r="144" customFormat="false" ht="17.35" hidden="false" customHeight="false" outlineLevel="0" collapsed="false">
      <c r="A144" s="232" t="s">
        <v>19</v>
      </c>
      <c r="B144" s="233" t="n">
        <v>0</v>
      </c>
      <c r="C144" s="233"/>
      <c r="D144" s="233"/>
      <c r="E144" s="233"/>
      <c r="F144" s="233"/>
      <c r="G144" s="40" t="n">
        <f aca="false">H18</f>
        <v>0</v>
      </c>
      <c r="H144" s="242" t="n">
        <v>0</v>
      </c>
      <c r="J144" s="0"/>
      <c r="K144" s="340"/>
      <c r="L144" s="340"/>
      <c r="M144" s="340"/>
      <c r="N144" s="340"/>
      <c r="O144" s="340"/>
      <c r="P144" s="0"/>
      <c r="Q144" s="0"/>
      <c r="R144" s="0"/>
      <c r="S144" s="0"/>
      <c r="T144" s="340"/>
      <c r="U144" s="340"/>
      <c r="V144" s="340"/>
      <c r="W144" s="340"/>
      <c r="X144" s="340"/>
      <c r="Y144" s="0"/>
      <c r="Z144" s="0"/>
      <c r="AA144" s="0"/>
      <c r="AB144" s="0"/>
      <c r="AC144" s="340"/>
      <c r="AD144" s="340"/>
      <c r="AE144" s="340"/>
      <c r="AF144" s="340"/>
      <c r="AG144" s="340"/>
      <c r="AH144" s="0"/>
      <c r="AI144" s="0"/>
    </row>
    <row r="145" customFormat="false" ht="17.35" hidden="false" customHeight="false" outlineLevel="0" collapsed="false">
      <c r="A145" s="232" t="s">
        <v>22</v>
      </c>
      <c r="B145" s="233" t="s">
        <v>23</v>
      </c>
      <c r="C145" s="233"/>
      <c r="D145" s="233"/>
      <c r="E145" s="233"/>
      <c r="F145" s="233"/>
      <c r="G145" s="40" t="n">
        <f aca="false">H19</f>
        <v>0</v>
      </c>
      <c r="H145" s="242" t="n">
        <v>0</v>
      </c>
      <c r="I145" s="216" t="n">
        <f aca="false">(G142+G145+G146+G144)</f>
        <v>0</v>
      </c>
      <c r="J145" s="0"/>
      <c r="K145" s="340"/>
      <c r="L145" s="340"/>
      <c r="M145" s="340"/>
      <c r="N145" s="340"/>
      <c r="O145" s="340"/>
      <c r="P145" s="0"/>
      <c r="Q145" s="0"/>
      <c r="R145" s="0"/>
      <c r="S145" s="0"/>
      <c r="T145" s="340"/>
      <c r="U145" s="340"/>
      <c r="V145" s="340"/>
      <c r="W145" s="340"/>
      <c r="X145" s="340"/>
      <c r="Y145" s="0"/>
      <c r="Z145" s="0"/>
      <c r="AA145" s="0"/>
      <c r="AB145" s="0"/>
      <c r="AC145" s="340"/>
      <c r="AD145" s="340"/>
      <c r="AE145" s="340"/>
      <c r="AF145" s="340"/>
      <c r="AG145" s="340"/>
      <c r="AH145" s="0"/>
      <c r="AI145" s="0"/>
    </row>
    <row r="146" customFormat="false" ht="17.35" hidden="false" customHeight="false" outlineLevel="0" collapsed="false">
      <c r="A146" s="313" t="s">
        <v>24</v>
      </c>
      <c r="B146" s="314" t="s">
        <v>23</v>
      </c>
      <c r="C146" s="314"/>
      <c r="D146" s="314"/>
      <c r="E146" s="314"/>
      <c r="F146" s="314"/>
      <c r="G146" s="40" t="n">
        <f aca="false">H20</f>
        <v>0</v>
      </c>
      <c r="H146" s="242" t="n">
        <v>0</v>
      </c>
      <c r="I146" s="216" t="n">
        <f aca="false">(H142+H144+H145+H146)</f>
        <v>0</v>
      </c>
      <c r="J146" s="0"/>
      <c r="K146" s="340"/>
      <c r="L146" s="340"/>
      <c r="M146" s="340"/>
      <c r="N146" s="340"/>
      <c r="O146" s="340"/>
      <c r="P146" s="0"/>
      <c r="Q146" s="0"/>
      <c r="R146" s="0"/>
      <c r="S146" s="0"/>
      <c r="T146" s="340"/>
      <c r="U146" s="340"/>
      <c r="V146" s="340"/>
      <c r="W146" s="340"/>
      <c r="X146" s="340"/>
      <c r="Y146" s="0"/>
      <c r="Z146" s="0"/>
      <c r="AA146" s="0"/>
      <c r="AB146" s="0"/>
      <c r="AC146" s="340"/>
      <c r="AD146" s="340"/>
      <c r="AE146" s="340"/>
      <c r="AF146" s="340"/>
      <c r="AG146" s="340"/>
      <c r="AH146" s="0"/>
      <c r="AI146" s="0"/>
    </row>
    <row r="147" customFormat="false" ht="19.7" hidden="false" customHeight="false" outlineLevel="0" collapsed="false">
      <c r="A147" s="229" t="s">
        <v>27</v>
      </c>
      <c r="B147" s="229"/>
      <c r="C147" s="229"/>
      <c r="D147" s="229"/>
      <c r="E147" s="229"/>
      <c r="F147" s="229"/>
      <c r="G147" s="360" t="n">
        <f aca="false">G141-((G144*1.2)+(G145*1.2)+(G146*1.2)+(G142*1.2))</f>
        <v>58525</v>
      </c>
      <c r="H147" s="315" t="n">
        <f aca="false">H141-((H144*1.2)+(H145*1.2)+(H146*1.2)+(H142*1.2))</f>
        <v>57525.004</v>
      </c>
      <c r="J147" s="340"/>
      <c r="K147" s="340"/>
      <c r="L147" s="340"/>
      <c r="M147" s="340"/>
      <c r="N147" s="340"/>
      <c r="O147" s="340"/>
      <c r="P147" s="0"/>
      <c r="Q147" s="0"/>
      <c r="R147" s="0"/>
      <c r="S147" s="340"/>
      <c r="T147" s="340"/>
      <c r="U147" s="340"/>
      <c r="V147" s="340"/>
      <c r="W147" s="340"/>
      <c r="X147" s="340"/>
      <c r="Y147" s="0"/>
      <c r="Z147" s="0"/>
      <c r="AA147" s="0"/>
      <c r="AB147" s="340"/>
      <c r="AC147" s="340"/>
      <c r="AD147" s="340"/>
      <c r="AE147" s="340"/>
      <c r="AF147" s="340"/>
      <c r="AG147" s="340"/>
      <c r="AH147" s="0"/>
      <c r="AI147" s="0"/>
    </row>
    <row r="148" customFormat="false" ht="17.35" hidden="false" customHeight="false" outlineLevel="0" collapsed="false">
      <c r="A148" s="229" t="s">
        <v>243</v>
      </c>
      <c r="B148" s="229"/>
      <c r="C148" s="229"/>
      <c r="D148" s="229"/>
      <c r="E148" s="229"/>
      <c r="F148" s="229"/>
      <c r="G148" s="40"/>
      <c r="H148" s="242" t="n">
        <f aca="false">((H147-G147)-(H137-G137))+((I146-I145)*0.2)</f>
        <v>-833.33</v>
      </c>
      <c r="I148" s="216" t="n">
        <f aca="false">(H148-G81)/1.2</f>
        <v>-694.441666666667</v>
      </c>
      <c r="J148" s="340"/>
      <c r="K148" s="340"/>
      <c r="L148" s="340"/>
      <c r="M148" s="340"/>
      <c r="N148" s="340"/>
      <c r="O148" s="340"/>
      <c r="P148" s="0"/>
      <c r="Q148" s="0"/>
      <c r="R148" s="0"/>
      <c r="S148" s="340"/>
      <c r="T148" s="340"/>
      <c r="U148" s="340"/>
      <c r="V148" s="340"/>
      <c r="W148" s="340"/>
      <c r="X148" s="340"/>
      <c r="Y148" s="0"/>
      <c r="Z148" s="0"/>
      <c r="AA148" s="0"/>
      <c r="AB148" s="340"/>
      <c r="AC148" s="340"/>
      <c r="AD148" s="340"/>
      <c r="AE148" s="340"/>
      <c r="AF148" s="340"/>
      <c r="AG148" s="340"/>
      <c r="AH148" s="0"/>
      <c r="AI148" s="0"/>
    </row>
    <row r="149" customFormat="false" ht="17.35" hidden="false" customHeight="false" outlineLevel="0" collapsed="false">
      <c r="A149" s="221"/>
      <c r="B149" s="331"/>
      <c r="C149" s="331"/>
      <c r="D149" s="331"/>
      <c r="E149" s="236"/>
      <c r="F149" s="236"/>
      <c r="G149" s="236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40" t="s">
        <v>244</v>
      </c>
      <c r="B150" s="240"/>
      <c r="C150" s="240"/>
      <c r="D150" s="240"/>
      <c r="E150" s="240"/>
      <c r="F150" s="240"/>
      <c r="G150" s="240"/>
      <c r="H150" s="240"/>
      <c r="J150" s="340"/>
      <c r="K150" s="340"/>
      <c r="L150" s="340"/>
      <c r="M150" s="340"/>
      <c r="N150" s="340"/>
      <c r="O150" s="340"/>
      <c r="P150" s="340"/>
      <c r="Q150" s="340"/>
      <c r="R150" s="0"/>
      <c r="S150" s="340"/>
      <c r="T150" s="340"/>
      <c r="U150" s="340"/>
      <c r="V150" s="340"/>
      <c r="W150" s="340"/>
      <c r="X150" s="340"/>
      <c r="Y150" s="340"/>
      <c r="Z150" s="340"/>
      <c r="AA150" s="0"/>
      <c r="AB150" s="340"/>
      <c r="AC150" s="340"/>
      <c r="AD150" s="340"/>
      <c r="AE150" s="340"/>
      <c r="AF150" s="340"/>
      <c r="AG150" s="340"/>
      <c r="AH150" s="340"/>
      <c r="AI150" s="340"/>
    </row>
    <row r="151" customFormat="false" ht="17.35" hidden="false" customHeight="false" outlineLevel="0" collapsed="false">
      <c r="A151" s="221"/>
      <c r="B151" s="331"/>
      <c r="C151" s="331"/>
      <c r="D151" s="331"/>
      <c r="E151" s="236"/>
      <c r="F151" s="236"/>
      <c r="G151" s="236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1" t="s">
        <v>138</v>
      </c>
      <c r="B152" s="331"/>
      <c r="C152" s="331"/>
      <c r="D152" s="236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40"/>
      <c r="O152" s="340"/>
      <c r="P152" s="340"/>
      <c r="Q152" s="340"/>
      <c r="R152" s="0"/>
      <c r="S152" s="0"/>
      <c r="T152" s="0"/>
      <c r="U152" s="0"/>
      <c r="V152" s="0"/>
      <c r="W152" s="340"/>
      <c r="X152" s="340"/>
      <c r="Y152" s="340"/>
      <c r="Z152" s="340"/>
      <c r="AA152" s="0"/>
      <c r="AB152" s="0"/>
      <c r="AC152" s="0"/>
      <c r="AD152" s="0"/>
      <c r="AE152" s="0"/>
      <c r="AF152" s="340"/>
      <c r="AG152" s="340"/>
      <c r="AH152" s="340"/>
      <c r="AI152" s="340"/>
    </row>
    <row r="153" customFormat="false" ht="17.35" hidden="false" customHeight="false" outlineLevel="0" collapsed="false">
      <c r="A153" s="221" t="s">
        <v>139</v>
      </c>
      <c r="B153" s="331"/>
      <c r="C153" s="331"/>
      <c r="D153" s="236"/>
      <c r="E153" s="210" t="n">
        <f aca="false">G153</f>
        <v>0</v>
      </c>
      <c r="F153" s="210"/>
      <c r="G153" s="112" t="n">
        <v>0</v>
      </c>
      <c r="H153" s="112"/>
      <c r="J153" s="0"/>
      <c r="K153" s="0"/>
      <c r="L153" s="0"/>
      <c r="M153" s="0"/>
      <c r="N153" s="340"/>
      <c r="O153" s="340"/>
      <c r="P153" s="340"/>
      <c r="Q153" s="340"/>
      <c r="R153" s="0"/>
      <c r="S153" s="0"/>
      <c r="T153" s="0"/>
      <c r="U153" s="0"/>
      <c r="V153" s="0"/>
      <c r="W153" s="340"/>
      <c r="X153" s="340"/>
      <c r="Y153" s="340"/>
      <c r="Z153" s="340"/>
      <c r="AA153" s="0"/>
      <c r="AB153" s="0"/>
      <c r="AC153" s="0"/>
      <c r="AD153" s="0"/>
      <c r="AE153" s="0"/>
      <c r="AF153" s="340"/>
      <c r="AG153" s="340"/>
      <c r="AH153" s="340"/>
      <c r="AI153" s="340"/>
    </row>
    <row r="154" customFormat="false" ht="17.35" hidden="false" customHeight="false" outlineLevel="0" collapsed="false">
      <c r="A154" s="221" t="s">
        <v>140</v>
      </c>
      <c r="B154" s="331"/>
      <c r="C154" s="331"/>
      <c r="D154" s="236"/>
      <c r="E154" s="210" t="n">
        <f aca="false">E152-E153</f>
        <v>0</v>
      </c>
      <c r="F154" s="210"/>
      <c r="G154" s="115" t="n">
        <f aca="false">G152-G153</f>
        <v>0</v>
      </c>
      <c r="H154" s="115"/>
      <c r="J154" s="0"/>
      <c r="K154" s="0"/>
      <c r="L154" s="0"/>
      <c r="M154" s="0"/>
      <c r="N154" s="340"/>
      <c r="O154" s="340"/>
      <c r="P154" s="340"/>
      <c r="Q154" s="340"/>
      <c r="R154" s="0"/>
      <c r="S154" s="0"/>
      <c r="T154" s="0"/>
      <c r="U154" s="0"/>
      <c r="V154" s="0"/>
      <c r="W154" s="340"/>
      <c r="X154" s="340"/>
      <c r="Y154" s="340"/>
      <c r="Z154" s="340"/>
      <c r="AA154" s="0"/>
      <c r="AB154" s="0"/>
      <c r="AC154" s="0"/>
      <c r="AD154" s="0"/>
      <c r="AE154" s="0"/>
      <c r="AF154" s="340"/>
      <c r="AG154" s="340"/>
      <c r="AH154" s="340"/>
      <c r="AI154" s="340"/>
    </row>
    <row r="155" customFormat="false" ht="17.35" hidden="false" customHeight="false" outlineLevel="0" collapsed="false">
      <c r="A155" s="221" t="s">
        <v>141</v>
      </c>
      <c r="B155" s="331"/>
      <c r="C155" s="331"/>
      <c r="D155" s="236"/>
      <c r="E155" s="210" t="n">
        <f aca="false">E154-G154</f>
        <v>0</v>
      </c>
      <c r="F155" s="210"/>
      <c r="G155" s="236"/>
      <c r="H155" s="11"/>
      <c r="J155" s="0"/>
      <c r="K155" s="0"/>
      <c r="L155" s="0"/>
      <c r="M155" s="0"/>
      <c r="N155" s="340"/>
      <c r="O155" s="340"/>
      <c r="P155" s="0"/>
      <c r="Q155" s="0"/>
      <c r="R155" s="0"/>
      <c r="S155" s="0"/>
      <c r="T155" s="0"/>
      <c r="U155" s="0"/>
      <c r="V155" s="0"/>
      <c r="W155" s="340"/>
      <c r="X155" s="340"/>
      <c r="Y155" s="0"/>
      <c r="Z155" s="0"/>
      <c r="AA155" s="0"/>
      <c r="AB155" s="0"/>
      <c r="AC155" s="0"/>
      <c r="AD155" s="0"/>
      <c r="AE155" s="0"/>
      <c r="AF155" s="340"/>
      <c r="AG155" s="340"/>
      <c r="AH155" s="0"/>
      <c r="AI155" s="0"/>
    </row>
    <row r="156" customFormat="false" ht="17.35" hidden="false" customHeight="false" outlineLevel="0" collapsed="false">
      <c r="A156" s="221"/>
      <c r="B156" s="331"/>
      <c r="C156" s="331"/>
      <c r="D156" s="236"/>
      <c r="E156" s="331"/>
      <c r="F156" s="236"/>
      <c r="G156" s="236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8" t="s">
        <v>245</v>
      </c>
      <c r="B157" s="239"/>
      <c r="C157" s="239"/>
      <c r="D157" s="262"/>
      <c r="E157" s="239"/>
      <c r="F157" s="262"/>
      <c r="G157" s="317" t="n">
        <f aca="false">A114</f>
        <v>0</v>
      </c>
      <c r="H157" s="317"/>
      <c r="J157" s="0"/>
      <c r="K157" s="0"/>
      <c r="L157" s="0"/>
      <c r="M157" s="0"/>
      <c r="N157" s="0"/>
      <c r="O157" s="0"/>
      <c r="P157" s="340"/>
      <c r="Q157" s="340"/>
      <c r="R157" s="0"/>
      <c r="S157" s="0"/>
      <c r="T157" s="0"/>
      <c r="U157" s="0"/>
      <c r="V157" s="0"/>
      <c r="W157" s="0"/>
      <c r="X157" s="0"/>
      <c r="Y157" s="340"/>
      <c r="Z157" s="340"/>
      <c r="AA157" s="0"/>
      <c r="AB157" s="0"/>
      <c r="AC157" s="0"/>
      <c r="AD157" s="0"/>
      <c r="AE157" s="0"/>
      <c r="AF157" s="0"/>
      <c r="AG157" s="0"/>
      <c r="AH157" s="340"/>
      <c r="AI157" s="340"/>
    </row>
    <row r="158" customFormat="false" ht="19.7" hidden="false" customHeight="false" outlineLevel="0" collapsed="false">
      <c r="A158" s="318" t="s">
        <v>246</v>
      </c>
      <c r="B158" s="331"/>
      <c r="C158" s="331"/>
      <c r="D158" s="342"/>
      <c r="E158" s="331"/>
      <c r="F158" s="342"/>
      <c r="G158" s="319" t="n">
        <f aca="false">H147-G154-G157</f>
        <v>57525.004</v>
      </c>
      <c r="H158" s="319"/>
      <c r="J158" s="0"/>
      <c r="K158" s="0"/>
      <c r="L158" s="0"/>
      <c r="M158" s="0"/>
      <c r="N158" s="0"/>
      <c r="O158" s="0"/>
      <c r="P158" s="340"/>
      <c r="Q158" s="340"/>
      <c r="R158" s="0"/>
      <c r="S158" s="0"/>
      <c r="T158" s="0"/>
      <c r="U158" s="0"/>
      <c r="V158" s="0"/>
      <c r="W158" s="0"/>
      <c r="X158" s="0"/>
      <c r="Y158" s="340"/>
      <c r="Z158" s="340"/>
      <c r="AA158" s="0"/>
      <c r="AB158" s="0"/>
      <c r="AC158" s="0"/>
      <c r="AD158" s="0"/>
      <c r="AE158" s="0"/>
      <c r="AF158" s="0"/>
      <c r="AG158" s="0"/>
      <c r="AH158" s="340"/>
      <c r="AI158" s="340"/>
    </row>
    <row r="159" customFormat="false" ht="17.35" hidden="false" customHeight="false" outlineLevel="0" collapsed="false">
      <c r="A159" s="249" t="s">
        <v>52</v>
      </c>
      <c r="B159" s="250"/>
      <c r="C159" s="250"/>
      <c r="D159" s="278"/>
      <c r="E159" s="250"/>
      <c r="F159" s="278"/>
      <c r="G159" s="320" t="str">
        <f aca="false">B114</f>
        <v>199.99</v>
      </c>
      <c r="H159" s="320"/>
      <c r="J159" s="0"/>
      <c r="K159" s="0"/>
      <c r="L159" s="0"/>
      <c r="M159" s="0"/>
      <c r="N159" s="0"/>
      <c r="O159" s="0"/>
      <c r="P159" s="340"/>
      <c r="Q159" s="340"/>
      <c r="R159" s="0"/>
      <c r="S159" s="0"/>
      <c r="T159" s="0"/>
      <c r="U159" s="0"/>
      <c r="V159" s="0"/>
      <c r="W159" s="0"/>
      <c r="X159" s="0"/>
      <c r="Y159" s="340"/>
      <c r="Z159" s="340"/>
      <c r="AA159" s="0"/>
      <c r="AB159" s="0"/>
      <c r="AC159" s="0"/>
      <c r="AD159" s="0"/>
      <c r="AE159" s="0"/>
      <c r="AF159" s="0"/>
      <c r="AG159" s="0"/>
      <c r="AH159" s="340"/>
      <c r="AI159" s="340"/>
    </row>
    <row r="160" customFormat="false" ht="17.35" hidden="false" customHeight="false" outlineLevel="0" collapsed="false">
      <c r="A160" s="221"/>
      <c r="B160" s="331"/>
      <c r="C160" s="331"/>
      <c r="D160" s="331"/>
      <c r="E160" s="236"/>
      <c r="F160" s="236"/>
      <c r="G160" s="236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1"/>
      <c r="B161" s="331"/>
      <c r="C161" s="331"/>
      <c r="D161" s="331"/>
      <c r="E161" s="236"/>
      <c r="F161" s="236"/>
      <c r="G161" s="236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40" t="s">
        <v>247</v>
      </c>
      <c r="B162" s="240"/>
      <c r="C162" s="240"/>
      <c r="D162" s="240"/>
      <c r="E162" s="240"/>
      <c r="F162" s="240"/>
      <c r="G162" s="240"/>
      <c r="H162" s="240"/>
      <c r="J162" s="340"/>
      <c r="K162" s="340"/>
      <c r="L162" s="340"/>
      <c r="M162" s="340"/>
      <c r="N162" s="340"/>
      <c r="O162" s="340"/>
      <c r="P162" s="340"/>
      <c r="Q162" s="340"/>
      <c r="R162" s="0"/>
      <c r="S162" s="340"/>
      <c r="T162" s="340"/>
      <c r="U162" s="340"/>
      <c r="V162" s="340"/>
      <c r="W162" s="340"/>
      <c r="X162" s="340"/>
      <c r="Y162" s="340"/>
      <c r="Z162" s="340"/>
      <c r="AA162" s="0"/>
      <c r="AB162" s="340"/>
      <c r="AC162" s="340"/>
      <c r="AD162" s="340"/>
      <c r="AE162" s="340"/>
      <c r="AF162" s="340"/>
      <c r="AG162" s="340"/>
      <c r="AH162" s="340"/>
      <c r="AI162" s="340"/>
    </row>
    <row r="163" customFormat="false" ht="17.35" hidden="false" customHeight="false" outlineLevel="0" collapsed="false">
      <c r="A163" s="221"/>
      <c r="B163" s="331"/>
      <c r="C163" s="331"/>
      <c r="D163" s="331"/>
      <c r="E163" s="236"/>
      <c r="F163" s="236"/>
      <c r="G163" s="236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1" t="s">
        <v>145</v>
      </c>
      <c r="B164" s="117" t="n">
        <v>0</v>
      </c>
      <c r="C164" s="117"/>
      <c r="D164" s="331"/>
      <c r="E164" s="236"/>
      <c r="F164" s="236"/>
      <c r="G164" s="236"/>
      <c r="H164" s="11"/>
      <c r="J164" s="0"/>
      <c r="K164" s="340"/>
      <c r="L164" s="340"/>
      <c r="M164" s="0"/>
      <c r="N164" s="0"/>
      <c r="O164" s="0"/>
      <c r="P164" s="0"/>
      <c r="Q164" s="0"/>
      <c r="R164" s="0"/>
      <c r="S164" s="0"/>
      <c r="T164" s="340"/>
      <c r="U164" s="340"/>
      <c r="V164" s="0"/>
      <c r="W164" s="0"/>
      <c r="X164" s="0"/>
      <c r="Y164" s="0"/>
      <c r="Z164" s="0"/>
      <c r="AA164" s="0"/>
      <c r="AB164" s="0"/>
      <c r="AC164" s="340"/>
      <c r="AD164" s="340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1"/>
      <c r="B165" s="331"/>
      <c r="C165" s="331"/>
      <c r="D165" s="331"/>
      <c r="E165" s="236"/>
      <c r="F165" s="236"/>
      <c r="G165" s="236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1" t="s">
        <v>248</v>
      </c>
      <c r="B166" s="361" t="s">
        <v>249</v>
      </c>
      <c r="C166" s="361"/>
      <c r="D166" s="361"/>
      <c r="E166" s="361" t="s">
        <v>250</v>
      </c>
      <c r="F166" s="236"/>
      <c r="G166" s="236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3" t="n">
        <f aca="false">B95</f>
        <v>1639.88541555755</v>
      </c>
      <c r="B167" s="214" t="n">
        <f aca="false">B94</f>
        <v>17.625</v>
      </c>
      <c r="C167" s="361"/>
      <c r="D167" s="361"/>
      <c r="E167" s="214" t="n">
        <f aca="false">B96</f>
        <v>1657.51041555755</v>
      </c>
      <c r="F167" s="236"/>
      <c r="G167" s="236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1"/>
      <c r="B168" s="331"/>
      <c r="C168" s="331"/>
      <c r="D168" s="331"/>
      <c r="E168" s="236"/>
      <c r="F168" s="236"/>
      <c r="G168" s="236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1" t="s">
        <v>81</v>
      </c>
      <c r="B169" s="331" t="s">
        <v>82</v>
      </c>
      <c r="C169" s="331"/>
      <c r="D169" s="236"/>
      <c r="E169" s="331" t="s">
        <v>251</v>
      </c>
      <c r="F169" s="236"/>
      <c r="G169" s="236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4" t="n">
        <f aca="false">K29</f>
        <v>0</v>
      </c>
      <c r="B170" s="118" t="n">
        <f aca="false">K30</f>
        <v>0</v>
      </c>
      <c r="C170" s="362"/>
      <c r="D170" s="236"/>
      <c r="E170" s="60" t="str">
        <f aca="false">IF(A111="YES", A40, 0)</f>
        <v>Monthly maintenance rental (Ex. VAT)</v>
      </c>
      <c r="F170" s="236"/>
      <c r="G170" s="236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1"/>
      <c r="B171" s="331"/>
      <c r="C171" s="331"/>
      <c r="D171" s="236"/>
      <c r="E171" s="331"/>
      <c r="F171" s="236"/>
      <c r="G171" s="236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1" t="s">
        <v>252</v>
      </c>
      <c r="B172" s="331" t="s">
        <v>253</v>
      </c>
      <c r="C172" s="331"/>
      <c r="D172" s="236"/>
      <c r="E172" s="331" t="s">
        <v>254</v>
      </c>
      <c r="F172" s="236"/>
      <c r="G172" s="236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5" t="n">
        <f aca="false">H137</f>
        <v>9480.834</v>
      </c>
      <c r="C173" s="363"/>
      <c r="D173" s="236"/>
      <c r="E173" s="60" t="n">
        <f aca="false">H139+H140</f>
        <v>640</v>
      </c>
      <c r="F173" s="236"/>
      <c r="G173" s="236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1"/>
      <c r="B174" s="331"/>
      <c r="C174" s="331"/>
      <c r="D174" s="236"/>
      <c r="E174" s="331"/>
      <c r="F174" s="236"/>
      <c r="G174" s="236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1" t="s">
        <v>255</v>
      </c>
      <c r="B175" s="331" t="s">
        <v>142</v>
      </c>
      <c r="C175" s="331"/>
      <c r="D175" s="236"/>
      <c r="E175" s="331" t="s">
        <v>231</v>
      </c>
      <c r="F175" s="236"/>
      <c r="G175" s="236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5" t="n">
        <f aca="false">B111</f>
        <v>0</v>
      </c>
      <c r="C176" s="215"/>
      <c r="D176" s="236"/>
      <c r="E176" s="215" t="n">
        <f aca="false">E111</f>
        <v>0</v>
      </c>
      <c r="F176" s="236"/>
      <c r="G176" s="236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1"/>
      <c r="B177" s="331"/>
      <c r="C177" s="331"/>
      <c r="D177" s="236"/>
      <c r="E177" s="331"/>
      <c r="F177" s="236"/>
      <c r="G177" s="236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1" t="s">
        <v>232</v>
      </c>
      <c r="B178" s="331" t="s">
        <v>138</v>
      </c>
      <c r="C178" s="331"/>
      <c r="D178" s="236"/>
      <c r="E178" s="331" t="s">
        <v>246</v>
      </c>
      <c r="F178" s="236"/>
      <c r="G178" s="236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5" t="n">
        <f aca="false">G154</f>
        <v>0</v>
      </c>
      <c r="C179" s="215"/>
      <c r="D179" s="236"/>
      <c r="E179" s="215" t="n">
        <f aca="false">A176-A179-B179</f>
        <v>57525.004</v>
      </c>
      <c r="F179" s="236"/>
      <c r="G179" s="236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1"/>
      <c r="B180" s="331"/>
      <c r="C180" s="331"/>
      <c r="D180" s="236"/>
      <c r="E180" s="331"/>
      <c r="F180" s="236"/>
      <c r="G180" s="236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1" t="s">
        <v>256</v>
      </c>
      <c r="B181" s="331" t="s">
        <v>52</v>
      </c>
      <c r="C181" s="331"/>
      <c r="D181" s="236"/>
      <c r="E181" s="331" t="s">
        <v>257</v>
      </c>
      <c r="F181" s="236"/>
      <c r="G181" s="236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5" t="str">
        <f aca="false">B114</f>
        <v>199.99</v>
      </c>
      <c r="C182" s="215"/>
      <c r="D182" s="236"/>
      <c r="E182" s="215" t="n">
        <f aca="false">E179+A182+B182+A185</f>
        <v>58234.994</v>
      </c>
      <c r="F182" s="236"/>
      <c r="G182" s="236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1" t="n">
        <v>3</v>
      </c>
      <c r="B183" s="331"/>
      <c r="C183" s="331"/>
      <c r="D183" s="236"/>
      <c r="E183" s="331"/>
      <c r="F183" s="236"/>
      <c r="G183" s="236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1" t="s">
        <v>258</v>
      </c>
      <c r="B184" s="331" t="s">
        <v>259</v>
      </c>
      <c r="C184" s="331"/>
      <c r="D184" s="236"/>
      <c r="E184" s="331" t="s">
        <v>260</v>
      </c>
      <c r="F184" s="236"/>
      <c r="G184" s="236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5" t="n">
        <f aca="false">A179+B182</f>
        <v>199.99</v>
      </c>
      <c r="C185" s="215"/>
      <c r="D185" s="236"/>
      <c r="E185" s="215" t="e">
        <f aca="false">E170+A185</f>
        <v>#VALUE!</v>
      </c>
      <c r="F185" s="236"/>
      <c r="G185" s="236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1"/>
      <c r="B186" s="331"/>
      <c r="C186" s="331"/>
      <c r="D186" s="331"/>
      <c r="E186" s="236"/>
      <c r="F186" s="236"/>
      <c r="G186" s="236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1" t="s">
        <v>261</v>
      </c>
      <c r="B187" s="331" t="s">
        <v>262</v>
      </c>
      <c r="C187" s="331"/>
      <c r="D187" s="331"/>
      <c r="E187" s="210" t="s">
        <v>263</v>
      </c>
      <c r="F187" s="236"/>
      <c r="G187" s="236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5" t="n">
        <f aca="false">(G158*B67)</f>
        <v>143.81251</v>
      </c>
      <c r="C188" s="331"/>
      <c r="D188" s="331"/>
      <c r="E188" s="215" t="n">
        <f aca="false">(E40*A108)*0.1</f>
        <v>0</v>
      </c>
      <c r="F188" s="236"/>
      <c r="G188" s="236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5"/>
      <c r="C189" s="331"/>
      <c r="D189" s="331"/>
      <c r="E189" s="236"/>
      <c r="F189" s="236"/>
      <c r="G189" s="236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10" t="s">
        <v>265</v>
      </c>
      <c r="C190" s="331"/>
      <c r="D190" s="331"/>
      <c r="E190" s="210" t="s">
        <v>266</v>
      </c>
      <c r="F190" s="236"/>
      <c r="G190" s="236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5" t="n">
        <f aca="false">B188+E188+A191</f>
        <v>243.80251</v>
      </c>
      <c r="C191" s="331"/>
      <c r="D191" s="331"/>
      <c r="E191" s="215" t="n">
        <f aca="false">H148</f>
        <v>-833.33</v>
      </c>
      <c r="F191" s="236"/>
      <c r="G191" s="236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1"/>
      <c r="B192" s="331"/>
      <c r="C192" s="331"/>
      <c r="D192" s="331"/>
      <c r="E192" s="236"/>
      <c r="F192" s="236"/>
      <c r="G192" s="236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4" t="s">
        <v>267</v>
      </c>
      <c r="B193" s="331"/>
      <c r="C193" s="331"/>
      <c r="D193" s="255"/>
      <c r="E193" s="255"/>
      <c r="F193" s="255"/>
      <c r="G193" s="255"/>
      <c r="H193" s="256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1"/>
      <c r="B194" s="257"/>
      <c r="C194" s="257"/>
      <c r="D194" s="331"/>
      <c r="E194" s="236"/>
      <c r="F194" s="236"/>
      <c r="G194" s="236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6" t="s">
        <v>81</v>
      </c>
      <c r="B195" s="259" t="s">
        <v>82</v>
      </c>
      <c r="C195" s="259"/>
      <c r="D195" s="259"/>
      <c r="E195" s="236"/>
      <c r="F195" s="236"/>
      <c r="G195" s="236"/>
      <c r="H195" s="11"/>
      <c r="J195" s="340"/>
      <c r="K195" s="340"/>
      <c r="L195" s="340"/>
      <c r="M195" s="340"/>
      <c r="N195" s="0"/>
      <c r="O195" s="0"/>
      <c r="P195" s="0"/>
      <c r="Q195" s="0"/>
      <c r="R195" s="0"/>
      <c r="S195" s="340"/>
      <c r="T195" s="340"/>
      <c r="U195" s="340"/>
      <c r="V195" s="340"/>
      <c r="W195" s="0"/>
      <c r="X195" s="0"/>
      <c r="Y195" s="0"/>
      <c r="Z195" s="0"/>
      <c r="AA195" s="0"/>
      <c r="AB195" s="340"/>
      <c r="AC195" s="340"/>
      <c r="AD195" s="340"/>
      <c r="AE195" s="340"/>
      <c r="AF195" s="0"/>
      <c r="AG195" s="0"/>
      <c r="AH195" s="0"/>
      <c r="AI195" s="0"/>
    </row>
    <row r="196" customFormat="false" ht="19.5" hidden="false" customHeight="true" outlineLevel="0" collapsed="false">
      <c r="A196" s="326"/>
      <c r="B196" s="260" t="n">
        <f aca="false">K30</f>
        <v>0</v>
      </c>
      <c r="C196" s="260"/>
      <c r="D196" s="260"/>
      <c r="E196" s="236"/>
      <c r="F196" s="236"/>
      <c r="G196" s="236"/>
      <c r="H196" s="11"/>
      <c r="J196" s="340"/>
      <c r="K196" s="340"/>
      <c r="L196" s="340"/>
      <c r="M196" s="340"/>
      <c r="N196" s="0"/>
      <c r="O196" s="0"/>
      <c r="P196" s="0"/>
      <c r="Q196" s="0"/>
      <c r="R196" s="0"/>
      <c r="S196" s="340"/>
      <c r="T196" s="340"/>
      <c r="U196" s="340"/>
      <c r="V196" s="340"/>
      <c r="W196" s="0"/>
      <c r="X196" s="0"/>
      <c r="Y196" s="0"/>
      <c r="Z196" s="0"/>
      <c r="AA196" s="0"/>
      <c r="AB196" s="340"/>
      <c r="AC196" s="340"/>
      <c r="AD196" s="340"/>
      <c r="AE196" s="340"/>
      <c r="AF196" s="0"/>
      <c r="AG196" s="0"/>
      <c r="AH196" s="0"/>
      <c r="AI196" s="0"/>
    </row>
    <row r="197" customFormat="false" ht="17.35" hidden="false" customHeight="false" outlineLevel="0" collapsed="false">
      <c r="A197" s="261" t="n">
        <f aca="false">K29</f>
        <v>0</v>
      </c>
      <c r="B197" s="75" t="n">
        <f aca="false">B96</f>
        <v>1657.51041555755</v>
      </c>
      <c r="C197" s="75"/>
      <c r="D197" s="75"/>
      <c r="E197" s="236"/>
      <c r="F197" s="236"/>
      <c r="G197" s="236"/>
      <c r="H197" s="11"/>
      <c r="J197" s="0"/>
      <c r="K197" s="340"/>
      <c r="L197" s="340"/>
      <c r="M197" s="340"/>
      <c r="N197" s="0"/>
      <c r="O197" s="0"/>
      <c r="P197" s="0"/>
      <c r="Q197" s="0"/>
      <c r="R197" s="0"/>
      <c r="S197" s="0"/>
      <c r="T197" s="340"/>
      <c r="U197" s="340"/>
      <c r="V197" s="340"/>
      <c r="W197" s="0"/>
      <c r="X197" s="0"/>
      <c r="Y197" s="0"/>
      <c r="Z197" s="0"/>
      <c r="AA197" s="0"/>
      <c r="AB197" s="0"/>
      <c r="AC197" s="340"/>
      <c r="AD197" s="340"/>
      <c r="AE197" s="340"/>
      <c r="AF197" s="0"/>
      <c r="AG197" s="0"/>
      <c r="AH197" s="0"/>
      <c r="AI197" s="0"/>
    </row>
    <row r="198" customFormat="false" ht="17.35" hidden="false" customHeight="false" outlineLevel="0" collapsed="false">
      <c r="A198" s="221"/>
      <c r="B198" s="331"/>
      <c r="C198" s="331"/>
      <c r="D198" s="331"/>
      <c r="E198" s="236"/>
      <c r="F198" s="236"/>
      <c r="G198" s="236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1"/>
      <c r="B199" s="331"/>
      <c r="C199" s="331"/>
      <c r="D199" s="331"/>
      <c r="E199" s="236"/>
      <c r="F199" s="236"/>
      <c r="G199" s="236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1"/>
      <c r="B200" s="331"/>
      <c r="C200" s="331"/>
      <c r="D200" s="331"/>
      <c r="E200" s="236"/>
      <c r="F200" s="236"/>
      <c r="G200" s="236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1"/>
      <c r="B201" s="331"/>
      <c r="C201" s="331"/>
      <c r="D201" s="331"/>
      <c r="E201" s="236"/>
      <c r="F201" s="236"/>
      <c r="G201" s="236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9"/>
      <c r="B202" s="250"/>
      <c r="C202" s="250"/>
      <c r="D202" s="250"/>
      <c r="E202" s="250"/>
      <c r="F202" s="250"/>
      <c r="G202" s="250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A95" activeCellId="0" sqref="A95"/>
    </sheetView>
  </sheetViews>
  <sheetFormatPr defaultColWidth="8.3125" defaultRowHeight="17.35" zeroHeight="false" outlineLevelRow="0" outlineLevelCol="0"/>
  <cols>
    <col min="1" max="1" customWidth="true" hidden="false" style="216" width="41.67" collapsed="false" outlineLevel="0"/>
    <col min="2" max="6" customWidth="true" hidden="false" style="216" width="18.88" collapsed="false" outlineLevel="0"/>
    <col min="7" max="7" customWidth="true" hidden="false" style="216" width="23.13" collapsed="false" outlineLevel="0"/>
    <col min="8" max="9" customWidth="true" hidden="false" style="216" width="18.88" collapsed="false" outlineLevel="0"/>
    <col min="10" max="10" customWidth="true" hidden="false" style="216" width="41.67" collapsed="false" outlineLevel="0"/>
    <col min="11" max="17" customWidth="true" hidden="false" style="216" width="18.88" collapsed="false" outlineLevel="0"/>
    <col min="18" max="18" customWidth="false" hidden="false" style="216" width="8.32" collapsed="false" outlineLevel="0"/>
    <col min="19" max="19" customWidth="true" hidden="false" style="216" width="41.67" collapsed="false" outlineLevel="0"/>
    <col min="20" max="24" customWidth="true" hidden="false" style="216" width="18.88" collapsed="false" outlineLevel="0"/>
    <col min="25" max="26" customWidth="true" hidden="false" style="50" width="18.88" collapsed="false" outlineLevel="0"/>
    <col min="27" max="27" customWidth="false" hidden="false" style="216" width="8.32" collapsed="false" outlineLevel="0"/>
    <col min="28" max="28" customWidth="true" hidden="false" style="216" width="41.67" collapsed="false" outlineLevel="0"/>
    <col min="29" max="35" customWidth="true" hidden="false" style="216" width="18.88" collapsed="false" outlineLevel="0"/>
    <col min="36" max="1024" customWidth="false" hidden="false" style="216" width="8.32" collapsed="false" outlineLevel="0"/>
  </cols>
  <sheetData>
    <row r="1" customFormat="false" ht="46.5" hidden="false" customHeight="true" outlineLevel="0" collapsed="false">
      <c r="A1" s="217" t="s">
        <v>0</v>
      </c>
      <c r="B1" s="217"/>
      <c r="C1" s="217"/>
      <c r="D1" s="217"/>
      <c r="E1" s="217"/>
      <c r="F1" s="217"/>
      <c r="G1" s="217"/>
      <c r="H1" s="217"/>
      <c r="I1" s="50"/>
      <c r="J1" s="50"/>
    </row>
    <row r="2" customFormat="false" ht="19.7" hidden="false" customHeight="false" outlineLevel="0" collapsed="false">
      <c r="A2" s="218"/>
      <c r="B2" s="219" t="s">
        <v>1</v>
      </c>
      <c r="C2" s="219"/>
      <c r="D2" s="219" t="s">
        <v>2</v>
      </c>
      <c r="E2" s="219"/>
      <c r="F2" s="219" t="s">
        <v>3</v>
      </c>
      <c r="G2" s="219"/>
      <c r="H2" s="220" t="s">
        <v>4</v>
      </c>
      <c r="I2" s="50"/>
      <c r="J2" s="50"/>
    </row>
    <row r="3" customFormat="false" ht="17.35" hidden="false" customHeight="false" outlineLevel="0" collapsed="false">
      <c r="A3" s="221" t="s">
        <v>5</v>
      </c>
      <c r="B3" s="222" t="n">
        <v>46854.17</v>
      </c>
      <c r="C3" s="222" t="n">
        <v>0</v>
      </c>
      <c r="D3" s="222" t="n">
        <v>0</v>
      </c>
      <c r="E3" s="222"/>
      <c r="F3" s="222" t="n">
        <v>833.33</v>
      </c>
      <c r="G3" s="222"/>
      <c r="H3" s="8" t="n">
        <v>0</v>
      </c>
      <c r="I3" s="50"/>
      <c r="J3" s="50"/>
    </row>
    <row r="4" customFormat="false" ht="17.35" hidden="false" customHeight="false" outlineLevel="0" collapsed="false">
      <c r="A4" s="221" t="s">
        <v>6</v>
      </c>
      <c r="B4" s="329" t="n">
        <v>0</v>
      </c>
      <c r="C4" s="329" t="n">
        <v>0</v>
      </c>
      <c r="D4" s="329" t="n">
        <v>0</v>
      </c>
      <c r="E4" s="329"/>
      <c r="F4" s="329" t="n">
        <v>0</v>
      </c>
      <c r="G4" s="329"/>
      <c r="H4" s="330"/>
      <c r="I4" s="50"/>
      <c r="J4" s="50"/>
    </row>
    <row r="5" customFormat="false" ht="17.35" hidden="false" customHeight="false" outlineLevel="0" collapsed="false">
      <c r="A5" s="221" t="s">
        <v>7</v>
      </c>
      <c r="B5" s="222" t="n">
        <v>0</v>
      </c>
      <c r="C5" s="222" t="n">
        <v>0</v>
      </c>
      <c r="D5" s="222" t="n">
        <v>0</v>
      </c>
      <c r="E5" s="222"/>
      <c r="F5" s="222" t="n">
        <v>0</v>
      </c>
      <c r="G5" s="222"/>
      <c r="H5" s="11"/>
      <c r="I5" s="50"/>
      <c r="J5" s="50"/>
    </row>
    <row r="6" customFormat="false" ht="17.35" hidden="false" customHeight="false" outlineLevel="0" collapsed="false">
      <c r="A6" s="221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1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1"/>
      <c r="B8" s="331"/>
      <c r="C8" s="331"/>
      <c r="D8" s="331"/>
      <c r="E8" s="331"/>
      <c r="F8" s="331"/>
      <c r="G8" s="331"/>
      <c r="H8" s="11"/>
      <c r="I8" s="50"/>
      <c r="J8" s="50"/>
    </row>
    <row r="9" customFormat="false" ht="19.7" hidden="false" customHeight="false" outlineLevel="0" collapsed="false">
      <c r="A9" s="226" t="s">
        <v>10</v>
      </c>
      <c r="B9" s="226"/>
      <c r="C9" s="226"/>
      <c r="D9" s="226"/>
      <c r="E9" s="226" t="n">
        <f aca="false">(B7+C7+D7+E3)</f>
        <v>46854.17</v>
      </c>
      <c r="F9" s="226"/>
      <c r="G9" s="332"/>
      <c r="H9" s="228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9" t="s">
        <v>11</v>
      </c>
      <c r="B10" s="229"/>
      <c r="C10" s="229"/>
      <c r="D10" s="229"/>
      <c r="E10" s="229" t="n">
        <v>50</v>
      </c>
      <c r="F10" s="229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9" t="s">
        <v>12</v>
      </c>
      <c r="B11" s="229"/>
      <c r="C11" s="229"/>
      <c r="D11" s="229"/>
      <c r="E11" s="229"/>
      <c r="F11" s="229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9" t="s">
        <v>13</v>
      </c>
      <c r="B12" s="229"/>
      <c r="C12" s="229"/>
      <c r="D12" s="229"/>
      <c r="E12" s="229"/>
      <c r="F12" s="229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9" t="s">
        <v>14</v>
      </c>
      <c r="B13" s="229"/>
      <c r="C13" s="229"/>
      <c r="D13" s="229"/>
      <c r="E13" s="229" t="n">
        <v>585</v>
      </c>
      <c r="F13" s="229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9" t="s">
        <v>15</v>
      </c>
      <c r="B14" s="229"/>
      <c r="C14" s="229"/>
      <c r="D14" s="229"/>
      <c r="E14" s="229" t="n">
        <v>55</v>
      </c>
      <c r="F14" s="229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9" t="s">
        <v>17</v>
      </c>
      <c r="B15" s="229"/>
      <c r="C15" s="229"/>
      <c r="D15" s="229"/>
      <c r="E15" s="229"/>
      <c r="F15" s="229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9" t="s">
        <v>18</v>
      </c>
      <c r="B16" s="229"/>
      <c r="C16" s="229"/>
      <c r="D16" s="229"/>
      <c r="E16" s="229" t="n">
        <v>120</v>
      </c>
      <c r="F16" s="229"/>
      <c r="G16" s="40"/>
      <c r="H16" s="8" t="n">
        <v>0</v>
      </c>
      <c r="I16" s="50"/>
      <c r="J16" s="50"/>
      <c r="Y16" s="231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5"/>
      <c r="H17" s="11"/>
      <c r="I17" s="50"/>
      <c r="J17" s="50" t="s">
        <v>21</v>
      </c>
      <c r="Y17" s="231" t="s">
        <v>22</v>
      </c>
    </row>
    <row r="18" customFormat="false" ht="17.35" hidden="false" customHeight="false" outlineLevel="0" collapsed="false">
      <c r="A18" s="232" t="s">
        <v>19</v>
      </c>
      <c r="B18" s="233" t="s">
        <v>23</v>
      </c>
      <c r="C18" s="233"/>
      <c r="D18" s="233"/>
      <c r="E18" s="233"/>
      <c r="F18" s="233"/>
      <c r="G18" s="210"/>
      <c r="H18" s="24" t="n">
        <v>0</v>
      </c>
      <c r="I18" s="50"/>
      <c r="J18" s="19" t="n">
        <f aca="false">(B3+D3+F3+H3)*1.2</f>
        <v>57225</v>
      </c>
      <c r="Y18" s="231" t="s">
        <v>24</v>
      </c>
    </row>
    <row r="19" customFormat="false" ht="17.35" hidden="false" customHeight="false" outlineLevel="0" collapsed="false">
      <c r="A19" s="232" t="s">
        <v>22</v>
      </c>
      <c r="B19" s="233" t="s">
        <v>23</v>
      </c>
      <c r="C19" s="233"/>
      <c r="D19" s="233"/>
      <c r="E19" s="233"/>
      <c r="F19" s="233"/>
      <c r="G19" s="210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2" t="s">
        <v>24</v>
      </c>
      <c r="B20" s="233" t="s">
        <v>23</v>
      </c>
      <c r="C20" s="233"/>
      <c r="D20" s="233"/>
      <c r="E20" s="233"/>
      <c r="F20" s="233"/>
      <c r="G20" s="210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4" t="s">
        <v>27</v>
      </c>
      <c r="B21" s="234"/>
      <c r="C21" s="234"/>
      <c r="D21" s="234"/>
      <c r="E21" s="234"/>
      <c r="F21" s="234"/>
      <c r="G21" s="235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6"/>
      <c r="B22" s="236"/>
      <c r="C22" s="236"/>
      <c r="D22" s="236"/>
      <c r="E22" s="236"/>
      <c r="F22" s="236"/>
      <c r="G22" s="236"/>
      <c r="H22" s="236"/>
      <c r="J22" s="50"/>
      <c r="K22" s="50"/>
      <c r="P22" s="333"/>
    </row>
    <row r="23" customFormat="false" ht="17.35" hidden="false" customHeight="false" outlineLevel="0" collapsed="false">
      <c r="A23" s="236"/>
      <c r="B23" s="236"/>
      <c r="C23" s="236"/>
      <c r="D23" s="236"/>
      <c r="E23" s="236"/>
      <c r="F23" s="236"/>
      <c r="G23" s="236"/>
      <c r="H23" s="236"/>
      <c r="J23" s="50"/>
      <c r="K23" s="50"/>
      <c r="P23" s="333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0"/>
      <c r="J24" s="0"/>
      <c r="K24" s="0"/>
      <c r="P24" s="333"/>
    </row>
    <row r="25" customFormat="false" ht="17.35" hidden="false" customHeight="false" outlineLevel="0" collapsed="false">
      <c r="A25" s="138"/>
      <c r="B25" s="145"/>
      <c r="C25" s="145"/>
      <c r="D25" s="145"/>
      <c r="E25" s="146"/>
      <c r="F25" s="135"/>
      <c r="G25" s="135"/>
      <c r="H25" s="135"/>
      <c r="I25" s="0"/>
      <c r="J25" s="0"/>
      <c r="K25" s="0"/>
      <c r="P25" s="333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0"/>
      <c r="J26" s="0"/>
      <c r="K26" s="0"/>
      <c r="P26" s="333"/>
    </row>
    <row r="27" customFormat="false" ht="17.35" hidden="false" customHeight="fals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3"/>
    </row>
    <row r="28" customFormat="false" ht="31.8" hidden="false" customHeight="fals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3"/>
    </row>
    <row r="29" customFormat="false" ht="17.35" hidden="false" customHeight="fals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33</v>
      </c>
      <c r="I29" s="0"/>
      <c r="J29" s="0"/>
      <c r="K29" s="0"/>
      <c r="P29" s="333"/>
    </row>
    <row r="30" customFormat="false" ht="17.35" hidden="false" customHeight="fals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0"/>
      <c r="J30" s="0"/>
      <c r="K30" s="0"/>
      <c r="P30" s="333"/>
    </row>
    <row r="31" customFormat="false" ht="31.8" hidden="false" customHeight="fals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0"/>
      <c r="J31" s="0"/>
      <c r="K31" s="0"/>
      <c r="P31" s="333"/>
    </row>
    <row r="32" customFormat="false" ht="17.35" hidden="false" customHeight="fals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n">
        <f aca="false">IF(A32=Z103,A41,IF(A32=Z104,A41,IF(A32=Z105,(A41*3),IF(A32=Z106,(A41*6),IF(A32=Z107,(A41*9),IF(A32=Z108,(A41*12),IF(A32=Z109,A41,IF(A32=Z110,A41,IF(A32=Z111,A41,0)))))))))</f>
        <v>14.2424242424242</v>
      </c>
      <c r="E32" s="159"/>
      <c r="F32" s="135"/>
      <c r="G32" s="160" t="s">
        <v>177</v>
      </c>
      <c r="H32" s="158" t="n">
        <f aca="false">A41</f>
        <v>14.2424242424242</v>
      </c>
      <c r="I32" s="0"/>
      <c r="J32" s="334" t="s">
        <v>268</v>
      </c>
      <c r="K32" s="335" t="s">
        <v>269</v>
      </c>
      <c r="P32" s="333"/>
    </row>
    <row r="33" customFormat="false" ht="17.35" hidden="false" customHeight="fals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n">
        <f aca="false">D41</f>
        <v>6000</v>
      </c>
      <c r="I33" s="0"/>
      <c r="J33" s="334"/>
      <c r="K33" s="336"/>
      <c r="P33" s="333"/>
    </row>
    <row r="34" customFormat="false" ht="17.35" hidden="false" customHeight="fals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12</v>
      </c>
      <c r="I34" s="0"/>
      <c r="J34" s="334" t="s">
        <v>270</v>
      </c>
      <c r="K34" s="337" t="s">
        <v>49</v>
      </c>
      <c r="P34" s="333"/>
    </row>
    <row r="35" customFormat="false" ht="17.35" hidden="false" customHeight="false" outlineLevel="0" collapsed="false">
      <c r="A35" s="159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5"/>
      <c r="G35" s="162"/>
      <c r="H35" s="163"/>
      <c r="I35" s="0"/>
      <c r="J35" s="334"/>
      <c r="K35" s="336"/>
      <c r="P35" s="333"/>
    </row>
    <row r="36" customFormat="false" ht="17.35" hidden="false" customHeight="false" outlineLevel="0" collapsed="false">
      <c r="A36" s="138"/>
      <c r="B36" s="145"/>
      <c r="C36" s="145"/>
      <c r="D36" s="145"/>
      <c r="E36" s="146"/>
      <c r="F36" s="135"/>
      <c r="G36" s="135" t="s">
        <v>271</v>
      </c>
      <c r="H36" s="338" t="s">
        <v>272</v>
      </c>
      <c r="I36" s="0"/>
      <c r="J36" s="334" t="s">
        <v>273</v>
      </c>
      <c r="K36" s="339" t="n">
        <f aca="false">K32-K34</f>
        <v>47877.5</v>
      </c>
      <c r="P36" s="333"/>
    </row>
    <row r="37" customFormat="false" ht="17.35" hidden="false" customHeight="fals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0"/>
      <c r="J37" s="0"/>
      <c r="K37" s="0"/>
      <c r="P37" s="333"/>
    </row>
    <row r="38" customFormat="false" ht="17.35" hidden="false" customHeight="false" outlineLevel="0" collapsed="false">
      <c r="A38" s="164" t="n">
        <f aca="false">(B35/12)*D35</f>
        <v>13750</v>
      </c>
      <c r="B38" s="37" t="s">
        <v>25</v>
      </c>
      <c r="C38" s="37"/>
      <c r="D38" s="42" t="s">
        <v>55</v>
      </c>
      <c r="E38" s="42"/>
      <c r="F38" s="135"/>
      <c r="G38" s="135"/>
      <c r="H38" s="135"/>
      <c r="I38" s="0"/>
      <c r="J38" s="340"/>
      <c r="K38" s="340"/>
      <c r="L38" s="50"/>
      <c r="N38" s="216" t="n">
        <f aca="false">80.88*36</f>
        <v>2911.68</v>
      </c>
      <c r="P38" s="333"/>
    </row>
    <row r="39" customFormat="false" ht="17.35" hidden="false" customHeight="false" outlineLevel="0" collapsed="false">
      <c r="A39" s="57"/>
      <c r="B39" s="45"/>
      <c r="C39" s="45"/>
      <c r="D39" s="145"/>
      <c r="E39" s="146"/>
      <c r="F39" s="135"/>
      <c r="G39" s="135"/>
      <c r="H39" s="165"/>
      <c r="I39" s="0"/>
      <c r="J39" s="0"/>
      <c r="K39" s="0"/>
      <c r="L39" s="50"/>
      <c r="N39" s="216" t="n">
        <f aca="false">K39-L39</f>
        <v>0</v>
      </c>
      <c r="P39" s="333"/>
    </row>
    <row r="40" customFormat="false" ht="17.35" hidden="false" customHeight="fals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0"/>
      <c r="J40" s="0"/>
      <c r="K40" s="0"/>
      <c r="L40" s="50"/>
      <c r="N40" s="216" t="n">
        <f aca="false">N38-N39</f>
        <v>2911.68</v>
      </c>
      <c r="P40" s="333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5"/>
      <c r="G41" s="135"/>
      <c r="H41" s="167"/>
      <c r="J41" s="50"/>
      <c r="K41" s="50"/>
      <c r="L41" s="50"/>
      <c r="P41" s="333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J42" s="50"/>
      <c r="K42" s="50"/>
      <c r="L42" s="50"/>
      <c r="P42" s="333"/>
    </row>
    <row r="43" customFormat="false" ht="17.35" hidden="false" customHeight="fals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500.363636363636</v>
      </c>
      <c r="J43" s="50"/>
      <c r="K43" s="50"/>
      <c r="L43" s="50"/>
      <c r="P43" s="333"/>
    </row>
    <row r="44" customFormat="false" ht="17.35" hidden="false" customHeight="false" outlineLevel="0" collapsed="false">
      <c r="A44" s="42" t="s">
        <v>44</v>
      </c>
      <c r="B44" s="166" t="n">
        <v>0</v>
      </c>
      <c r="C44" s="166"/>
      <c r="D44" s="166" t="n">
        <v>0</v>
      </c>
      <c r="E44" s="166"/>
      <c r="F44" s="135"/>
      <c r="G44" s="135" t="s">
        <v>185</v>
      </c>
      <c r="H44" s="165" t="n">
        <f aca="false">H32</f>
        <v>14.2424242424242</v>
      </c>
      <c r="J44" s="50"/>
      <c r="K44" s="50"/>
      <c r="L44" s="50"/>
      <c r="P44" s="333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514.606060606061</v>
      </c>
      <c r="J45" s="50"/>
      <c r="K45" s="50"/>
      <c r="L45" s="50"/>
      <c r="P45" s="333"/>
    </row>
    <row r="46" customFormat="false" ht="17.35" hidden="false" customHeight="fals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500.363636363636</v>
      </c>
      <c r="J46" s="50"/>
      <c r="K46" s="50"/>
      <c r="L46" s="50"/>
      <c r="P46" s="333"/>
    </row>
    <row r="47" customFormat="false" ht="17.35" hidden="false" customHeight="false" outlineLevel="0" collapsed="false">
      <c r="A47" s="170" t="n">
        <v>0</v>
      </c>
      <c r="B47" s="171" t="n">
        <v>0</v>
      </c>
      <c r="C47" s="171"/>
      <c r="D47" s="166" t="n">
        <v>0</v>
      </c>
      <c r="E47" s="166"/>
      <c r="F47" s="135"/>
      <c r="G47" s="135"/>
      <c r="H47" s="165"/>
      <c r="J47" s="50"/>
      <c r="K47" s="50"/>
      <c r="L47" s="50"/>
      <c r="P47" s="333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5"/>
      <c r="G48" s="135"/>
      <c r="H48" s="165"/>
      <c r="J48" s="63"/>
      <c r="K48" s="50"/>
      <c r="L48" s="50"/>
      <c r="P48" s="333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5"/>
      <c r="G49" s="135"/>
      <c r="H49" s="165"/>
      <c r="J49" s="50"/>
      <c r="K49" s="50"/>
      <c r="L49" s="50"/>
      <c r="P49" s="333"/>
    </row>
    <row r="50" customFormat="false" ht="17.35" hidden="false" customHeight="false" outlineLevel="0" collapsed="false">
      <c r="A50" s="138"/>
      <c r="B50" s="175"/>
      <c r="C50" s="175"/>
      <c r="D50" s="145"/>
      <c r="E50" s="146"/>
      <c r="F50" s="0"/>
      <c r="G50" s="0"/>
      <c r="H50" s="0"/>
      <c r="I50" s="50"/>
      <c r="J50" s="50"/>
      <c r="K50" s="50"/>
      <c r="P50" s="333"/>
    </row>
    <row r="51" customFormat="false" ht="19.5" hidden="false" customHeight="true" outlineLevel="0" collapsed="false">
      <c r="A51" s="71" t="s">
        <v>81</v>
      </c>
      <c r="B51" s="72" t="s">
        <v>82</v>
      </c>
      <c r="C51" s="72"/>
      <c r="D51" s="145"/>
      <c r="E51" s="146"/>
      <c r="F51" s="0"/>
      <c r="G51" s="0"/>
      <c r="H51" s="0"/>
      <c r="I51" s="50"/>
      <c r="J51" s="50"/>
      <c r="K51" s="50"/>
      <c r="P51" s="333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5"/>
      <c r="E52" s="146"/>
      <c r="F52" s="0"/>
      <c r="G52" s="0"/>
      <c r="H52" s="0"/>
      <c r="I52" s="50"/>
      <c r="J52" s="50"/>
      <c r="K52" s="50"/>
      <c r="P52" s="333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5"/>
      <c r="E53" s="146"/>
      <c r="F53" s="0"/>
      <c r="G53" s="0"/>
      <c r="H53" s="0"/>
      <c r="I53" s="50"/>
      <c r="J53" s="50"/>
      <c r="K53" s="50"/>
      <c r="P53" s="333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3"/>
    </row>
    <row r="55" customFormat="false" ht="17.35" hidden="false" customHeight="false" outlineLevel="0" collapsed="false">
      <c r="A55" s="236"/>
      <c r="B55" s="236"/>
      <c r="C55" s="236"/>
      <c r="D55" s="236"/>
      <c r="E55" s="236"/>
      <c r="F55" s="236"/>
      <c r="G55" s="236"/>
      <c r="H55" s="236"/>
      <c r="J55" s="50"/>
      <c r="K55" s="50"/>
      <c r="P55" s="333"/>
    </row>
    <row r="56" customFormat="false" ht="17.35" hidden="false" customHeight="false" outlineLevel="0" collapsed="false">
      <c r="A56" s="236"/>
      <c r="B56" s="236"/>
      <c r="C56" s="236"/>
      <c r="D56" s="236"/>
      <c r="E56" s="236"/>
      <c r="F56" s="236"/>
      <c r="G56" s="236"/>
      <c r="H56" s="236"/>
      <c r="J56" s="50"/>
      <c r="K56" s="50"/>
      <c r="P56" s="333"/>
    </row>
    <row r="57" customFormat="false" ht="17.35" hidden="false" customHeight="false" outlineLevel="0" collapsed="false">
      <c r="A57" s="238"/>
      <c r="B57" s="239"/>
      <c r="C57" s="239"/>
      <c r="D57" s="239"/>
      <c r="E57" s="262"/>
      <c r="F57" s="262"/>
      <c r="G57" s="262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1" t="s">
        <v>83</v>
      </c>
      <c r="B58" s="331" t="n">
        <v>1</v>
      </c>
      <c r="C58" s="341"/>
      <c r="D58" s="331"/>
      <c r="E58" s="342"/>
      <c r="F58" s="342"/>
      <c r="G58" s="34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1" t="s">
        <v>84</v>
      </c>
      <c r="B59" s="331" t="n">
        <f aca="false">B35-B58</f>
        <v>32</v>
      </c>
      <c r="C59" s="341"/>
      <c r="D59" s="331"/>
      <c r="E59" s="342"/>
      <c r="F59" s="342"/>
      <c r="G59" s="34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3" t="s">
        <v>206</v>
      </c>
      <c r="B60" s="88" t="n">
        <v>10</v>
      </c>
      <c r="C60" s="341"/>
      <c r="D60" s="331"/>
      <c r="E60" s="342"/>
      <c r="F60" s="342"/>
      <c r="G60" s="34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1" t="s">
        <v>21</v>
      </c>
      <c r="B61" s="331" t="n">
        <f aca="false">J18</f>
        <v>57225</v>
      </c>
      <c r="C61" s="341"/>
      <c r="D61" s="331"/>
      <c r="E61" s="342"/>
      <c r="F61" s="342"/>
      <c r="G61" s="34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4" t="s">
        <v>207</v>
      </c>
      <c r="B62" s="343" t="n">
        <v>0</v>
      </c>
      <c r="C62" s="341"/>
      <c r="D62" s="331"/>
      <c r="E62" s="342"/>
      <c r="F62" s="342"/>
      <c r="G62" s="342"/>
      <c r="H62" s="11"/>
      <c r="J62" s="0"/>
      <c r="K62" s="344"/>
      <c r="L62" s="0"/>
      <c r="M62" s="0"/>
      <c r="N62" s="0"/>
      <c r="O62" s="0"/>
      <c r="P62" s="0"/>
      <c r="Q62" s="0"/>
      <c r="R62" s="0"/>
      <c r="S62" s="0"/>
      <c r="T62" s="344"/>
      <c r="U62" s="0"/>
      <c r="V62" s="0"/>
      <c r="W62" s="0"/>
      <c r="X62" s="0"/>
      <c r="Y62" s="0"/>
      <c r="Z62" s="0"/>
      <c r="AA62" s="0"/>
      <c r="AB62" s="0"/>
      <c r="AC62" s="344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8" t="s">
        <v>208</v>
      </c>
      <c r="B63" s="345" t="n">
        <v>0.065</v>
      </c>
      <c r="C63" s="341"/>
      <c r="D63" s="331"/>
      <c r="E63" s="342"/>
      <c r="F63" s="342"/>
      <c r="G63" s="342"/>
      <c r="H63" s="11"/>
      <c r="J63" s="0"/>
      <c r="K63" s="344"/>
      <c r="L63" s="0"/>
      <c r="M63" s="0"/>
      <c r="N63" s="0"/>
      <c r="O63" s="0"/>
      <c r="P63" s="0"/>
      <c r="Q63" s="0"/>
      <c r="R63" s="0"/>
      <c r="S63" s="0"/>
      <c r="T63" s="344"/>
      <c r="U63" s="0"/>
      <c r="V63" s="0"/>
      <c r="W63" s="0"/>
      <c r="X63" s="0"/>
      <c r="Y63" s="0"/>
      <c r="Z63" s="0"/>
      <c r="AA63" s="0"/>
      <c r="AB63" s="0"/>
      <c r="AC63" s="344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7" t="s">
        <v>209</v>
      </c>
      <c r="B64" s="346" t="n">
        <v>0.072</v>
      </c>
      <c r="C64" s="331"/>
      <c r="D64" s="331"/>
      <c r="E64" s="342"/>
      <c r="F64" s="342"/>
      <c r="G64" s="342"/>
      <c r="H64" s="11"/>
      <c r="J64" s="0"/>
      <c r="K64" s="344"/>
      <c r="L64" s="0"/>
      <c r="M64" s="0"/>
      <c r="N64" s="0"/>
      <c r="O64" s="0"/>
      <c r="P64" s="0"/>
      <c r="Q64" s="0"/>
      <c r="R64" s="0"/>
      <c r="S64" s="0"/>
      <c r="T64" s="344"/>
      <c r="U64" s="0"/>
      <c r="V64" s="0"/>
      <c r="W64" s="0"/>
      <c r="X64" s="0"/>
      <c r="Y64" s="0"/>
      <c r="Z64" s="0"/>
      <c r="AA64" s="0"/>
      <c r="AB64" s="0"/>
      <c r="AC64" s="344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9" t="s">
        <v>87</v>
      </c>
      <c r="B65" s="84" t="n">
        <f aca="false">(B89*B59)-B53</f>
        <v>55466.9696823396</v>
      </c>
      <c r="C65" s="331"/>
      <c r="D65" s="331"/>
      <c r="E65" s="342"/>
      <c r="F65" s="342"/>
      <c r="G65" s="34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4" t="s">
        <v>88</v>
      </c>
      <c r="B66" s="343" t="n">
        <v>0.005</v>
      </c>
      <c r="C66" s="331"/>
      <c r="D66" s="331"/>
      <c r="E66" s="342"/>
      <c r="F66" s="342"/>
      <c r="G66" s="342"/>
      <c r="H66" s="11"/>
      <c r="J66" s="0"/>
      <c r="K66" s="344"/>
      <c r="L66" s="0"/>
      <c r="M66" s="0"/>
      <c r="N66" s="0"/>
      <c r="O66" s="0"/>
      <c r="P66" s="0"/>
      <c r="Q66" s="0"/>
      <c r="R66" s="0"/>
      <c r="S66" s="0"/>
      <c r="T66" s="344"/>
      <c r="U66" s="0"/>
      <c r="V66" s="0"/>
      <c r="W66" s="0"/>
      <c r="X66" s="0"/>
      <c r="Y66" s="0"/>
      <c r="Z66" s="0"/>
      <c r="AA66" s="0"/>
      <c r="AB66" s="0"/>
      <c r="AC66" s="344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1" t="s">
        <v>89</v>
      </c>
      <c r="B67" s="347" t="n">
        <f aca="false">B66+(B66*0.5*(K29/12-1))</f>
        <v>0.0025</v>
      </c>
      <c r="C67" s="331"/>
      <c r="D67" s="331"/>
      <c r="E67" s="342"/>
      <c r="F67" s="342"/>
      <c r="G67" s="342"/>
      <c r="H67" s="11"/>
      <c r="J67" s="0"/>
      <c r="K67" s="344"/>
      <c r="L67" s="0"/>
      <c r="M67" s="0"/>
      <c r="N67" s="0"/>
      <c r="O67" s="0"/>
      <c r="P67" s="0"/>
      <c r="Q67" s="0"/>
      <c r="R67" s="0"/>
      <c r="S67" s="0"/>
      <c r="T67" s="344"/>
      <c r="U67" s="0"/>
      <c r="V67" s="0"/>
      <c r="W67" s="0"/>
      <c r="X67" s="0"/>
      <c r="Y67" s="0"/>
      <c r="Z67" s="0"/>
      <c r="AA67" s="0"/>
      <c r="AB67" s="0"/>
      <c r="AC67" s="344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9" t="s">
        <v>90</v>
      </c>
      <c r="B68" s="84" t="n">
        <f aca="false">(G158*B67)</f>
        <v>143.81251</v>
      </c>
      <c r="C68" s="331"/>
      <c r="D68" s="331"/>
      <c r="E68" s="342"/>
      <c r="F68" s="342"/>
      <c r="G68" s="34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4" t="s">
        <v>91</v>
      </c>
      <c r="B69" s="343" t="n">
        <v>0</v>
      </c>
      <c r="C69" s="348"/>
      <c r="D69" s="331"/>
      <c r="E69" s="342"/>
      <c r="F69" s="342"/>
      <c r="G69" s="342"/>
      <c r="H69" s="11"/>
      <c r="J69" s="0"/>
      <c r="K69" s="344"/>
      <c r="L69" s="0"/>
      <c r="M69" s="0"/>
      <c r="N69" s="0"/>
      <c r="O69" s="0"/>
      <c r="P69" s="0"/>
      <c r="Q69" s="0"/>
      <c r="R69" s="0"/>
      <c r="S69" s="0"/>
      <c r="T69" s="344"/>
      <c r="U69" s="0"/>
      <c r="V69" s="0"/>
      <c r="W69" s="0"/>
      <c r="X69" s="0"/>
      <c r="Y69" s="0"/>
      <c r="Z69" s="0"/>
      <c r="AA69" s="0"/>
      <c r="AB69" s="0"/>
      <c r="AC69" s="344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8" t="s">
        <v>92</v>
      </c>
      <c r="B70" s="345" t="n">
        <v>0</v>
      </c>
      <c r="C70" s="348"/>
      <c r="D70" s="331"/>
      <c r="E70" s="342"/>
      <c r="F70" s="342"/>
      <c r="G70" s="342"/>
      <c r="H70" s="11"/>
      <c r="J70" s="0"/>
      <c r="K70" s="344"/>
      <c r="L70" s="0"/>
      <c r="M70" s="0"/>
      <c r="N70" s="0"/>
      <c r="O70" s="0"/>
      <c r="P70" s="0"/>
      <c r="Q70" s="0"/>
      <c r="R70" s="0"/>
      <c r="S70" s="0"/>
      <c r="T70" s="344"/>
      <c r="U70" s="0"/>
      <c r="V70" s="0"/>
      <c r="W70" s="0"/>
      <c r="X70" s="0"/>
      <c r="Y70" s="0"/>
      <c r="Z70" s="0"/>
      <c r="AA70" s="0"/>
      <c r="AB70" s="0"/>
      <c r="AC70" s="344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9" t="s">
        <v>93</v>
      </c>
      <c r="B71" s="349" t="n">
        <f aca="false">B69*(1+B70)</f>
        <v>0</v>
      </c>
      <c r="C71" s="348"/>
      <c r="D71" s="331"/>
      <c r="E71" s="342"/>
      <c r="F71" s="342"/>
      <c r="G71" s="342"/>
      <c r="H71" s="11"/>
      <c r="J71" s="0"/>
      <c r="K71" s="344"/>
      <c r="L71" s="0"/>
      <c r="M71" s="0"/>
      <c r="N71" s="0"/>
      <c r="O71" s="0"/>
      <c r="P71" s="0"/>
      <c r="Q71" s="0"/>
      <c r="R71" s="0"/>
      <c r="S71" s="0"/>
      <c r="T71" s="344"/>
      <c r="U71" s="0"/>
      <c r="V71" s="0"/>
      <c r="W71" s="0"/>
      <c r="X71" s="0"/>
      <c r="Y71" s="0"/>
      <c r="Z71" s="0"/>
      <c r="AA71" s="0"/>
      <c r="AB71" s="0"/>
      <c r="AC71" s="344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4" t="s">
        <v>94</v>
      </c>
      <c r="B72" s="87" t="n">
        <v>0</v>
      </c>
      <c r="C72" s="348"/>
      <c r="D72" s="331"/>
      <c r="E72" s="342"/>
      <c r="F72" s="342"/>
      <c r="G72" s="34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8" t="s">
        <v>95</v>
      </c>
      <c r="B73" s="88" t="n">
        <v>0</v>
      </c>
      <c r="C73" s="348"/>
      <c r="D73" s="331"/>
      <c r="E73" s="342"/>
      <c r="F73" s="342"/>
      <c r="G73" s="34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9" t="s">
        <v>96</v>
      </c>
      <c r="B74" s="84" t="n">
        <f aca="false">B73*B35</f>
        <v>0</v>
      </c>
      <c r="C74" s="348"/>
      <c r="D74" s="331" t="n">
        <f aca="false">B74+B72</f>
        <v>0</v>
      </c>
      <c r="E74" s="342"/>
      <c r="F74" s="342"/>
      <c r="G74" s="34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8" t="s">
        <v>103</v>
      </c>
      <c r="B75" s="88" t="n">
        <v>0</v>
      </c>
      <c r="C75" s="348"/>
      <c r="D75" s="331" t="n">
        <f aca="false">B75</f>
        <v>0</v>
      </c>
      <c r="E75" s="342"/>
      <c r="F75" s="342"/>
      <c r="G75" s="34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7" t="s">
        <v>104</v>
      </c>
      <c r="B76" s="97" t="n">
        <v>0</v>
      </c>
      <c r="C76" s="348"/>
      <c r="D76" s="331" t="n">
        <f aca="false">B76</f>
        <v>0</v>
      </c>
      <c r="E76" s="342"/>
      <c r="F76" s="331"/>
      <c r="G76" s="34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1" t="s">
        <v>105</v>
      </c>
      <c r="B77" s="272" t="n">
        <f aca="false">SUM(D65:D76)</f>
        <v>0</v>
      </c>
      <c r="C77" s="331"/>
      <c r="D77" s="331"/>
      <c r="E77" s="342"/>
      <c r="F77" s="331"/>
      <c r="G77" s="331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1" t="s">
        <v>106</v>
      </c>
      <c r="B78" s="11" t="n">
        <f aca="false">B77/B35</f>
        <v>0</v>
      </c>
      <c r="C78" s="331"/>
      <c r="D78" s="331"/>
      <c r="E78" s="342"/>
      <c r="F78" s="342"/>
      <c r="G78" s="34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3" t="s">
        <v>107</v>
      </c>
      <c r="B79" s="101" t="n">
        <f aca="false">H46</f>
        <v>500.363636363636</v>
      </c>
      <c r="C79" s="331"/>
      <c r="D79" s="331"/>
      <c r="E79" s="342"/>
      <c r="F79" s="342"/>
      <c r="G79" s="34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1"/>
      <c r="B80" s="331"/>
      <c r="C80" s="331"/>
      <c r="D80" s="331"/>
      <c r="E80" s="342"/>
      <c r="F80" s="342"/>
      <c r="G80" s="34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8" t="s">
        <v>210</v>
      </c>
      <c r="B81" s="102" t="n">
        <f aca="false">K36</f>
        <v>47877.5</v>
      </c>
      <c r="C81" s="331"/>
      <c r="D81" s="331"/>
      <c r="E81" s="342"/>
      <c r="F81" s="342"/>
      <c r="G81" s="34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1" t="s">
        <v>211</v>
      </c>
      <c r="B82" s="11" t="n">
        <f aca="false">IF(A111="YES", D41,0)</f>
        <v>0</v>
      </c>
      <c r="C82" s="331"/>
      <c r="D82" s="331"/>
      <c r="E82" s="342"/>
      <c r="F82" s="342"/>
      <c r="G82" s="34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1" t="s">
        <v>212</v>
      </c>
      <c r="B83" s="350" t="n">
        <f aca="false">B62+B63+B64</f>
        <v>0.137</v>
      </c>
      <c r="C83" s="331"/>
      <c r="D83" s="331"/>
      <c r="E83" s="342"/>
      <c r="F83" s="342"/>
      <c r="G83" s="342"/>
      <c r="H83" s="11"/>
      <c r="J83" s="0"/>
      <c r="K83" s="344"/>
      <c r="L83" s="0"/>
      <c r="M83" s="0"/>
      <c r="N83" s="0"/>
      <c r="O83" s="0"/>
      <c r="P83" s="0"/>
      <c r="Q83" s="0"/>
      <c r="R83" s="0"/>
      <c r="S83" s="0"/>
      <c r="T83" s="344"/>
      <c r="U83" s="0"/>
      <c r="V83" s="0"/>
      <c r="W83" s="0"/>
      <c r="X83" s="0"/>
      <c r="Y83" s="0"/>
      <c r="Z83" s="0"/>
      <c r="AA83" s="0"/>
      <c r="AB83" s="0"/>
      <c r="AC83" s="344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1" t="s">
        <v>213</v>
      </c>
      <c r="B84" s="347" t="n">
        <f aca="false">B83/12</f>
        <v>0.0114166666666667</v>
      </c>
      <c r="C84" s="331"/>
      <c r="D84" s="331"/>
      <c r="E84" s="342"/>
      <c r="F84" s="342"/>
      <c r="G84" s="342"/>
      <c r="H84" s="11"/>
      <c r="J84" s="0"/>
      <c r="K84" s="344"/>
      <c r="L84" s="0"/>
      <c r="M84" s="0"/>
      <c r="N84" s="0"/>
      <c r="O84" s="0"/>
      <c r="P84" s="0"/>
      <c r="Q84" s="0"/>
      <c r="R84" s="0"/>
      <c r="S84" s="0"/>
      <c r="T84" s="344"/>
      <c r="U84" s="0"/>
      <c r="V84" s="0"/>
      <c r="W84" s="0"/>
      <c r="X84" s="0"/>
      <c r="Y84" s="0"/>
      <c r="Z84" s="0"/>
      <c r="AA84" s="0"/>
      <c r="AB84" s="0"/>
      <c r="AC84" s="344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1" t="s">
        <v>214</v>
      </c>
      <c r="B85" s="11" t="n">
        <f aca="false">IF(B82=0, (B59+B58), (B59))</f>
        <v>33</v>
      </c>
      <c r="C85" s="331"/>
      <c r="D85" s="331"/>
      <c r="E85" s="342"/>
      <c r="F85" s="342"/>
      <c r="G85" s="34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1" t="s">
        <v>215</v>
      </c>
      <c r="B86" s="11" t="n">
        <f aca="false">(B82/((1+B84)^(B85+1)))</f>
        <v>0</v>
      </c>
      <c r="C86" s="331" t="n">
        <f aca="false">(B82/((1+B84)^(B85+1)))</f>
        <v>0</v>
      </c>
      <c r="D86" s="331"/>
      <c r="E86" s="342"/>
      <c r="F86" s="342"/>
      <c r="G86" s="34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1" t="s">
        <v>216</v>
      </c>
      <c r="B87" s="11" t="n">
        <f aca="false">((1-(1/((1+B84)^B85)))/B84)</f>
        <v>27.3675754865307</v>
      </c>
      <c r="C87" s="331" t="n">
        <f aca="false">((1-(1/((1+B84)^B85)))/B84)</f>
        <v>27.3675754865307</v>
      </c>
      <c r="D87" s="331"/>
      <c r="E87" s="342"/>
      <c r="F87" s="342"/>
      <c r="G87" s="34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1" t="s">
        <v>217</v>
      </c>
      <c r="B88" s="11" t="n">
        <f aca="false">B81-B86</f>
        <v>47877.5</v>
      </c>
      <c r="C88" s="331" t="n">
        <f aca="false">B81-B86</f>
        <v>47877.5</v>
      </c>
      <c r="D88" s="331"/>
      <c r="E88" s="342"/>
      <c r="F88" s="342"/>
      <c r="G88" s="34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1" t="s">
        <v>218</v>
      </c>
      <c r="B89" s="11" t="n">
        <f aca="false">(B88/B87)</f>
        <v>1749.42424196705</v>
      </c>
      <c r="C89" s="331" t="n">
        <f aca="false">(B88/B87)</f>
        <v>1749.42424196705</v>
      </c>
      <c r="D89" s="331"/>
      <c r="E89" s="342"/>
      <c r="F89" s="342"/>
      <c r="G89" s="34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1" t="s">
        <v>108</v>
      </c>
      <c r="B90" s="11" t="n">
        <f aca="false">((B89*(B85))+B77)</f>
        <v>57730.9999849127</v>
      </c>
      <c r="C90" s="331"/>
      <c r="D90" s="331"/>
      <c r="E90" s="342"/>
      <c r="F90" s="342"/>
      <c r="G90" s="34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1" t="s">
        <v>109</v>
      </c>
      <c r="B91" s="11" t="n">
        <f aca="false">(((B89*(B85))+B77)/(1-B71))*B71</f>
        <v>0</v>
      </c>
      <c r="C91" s="331"/>
      <c r="D91" s="331"/>
      <c r="E91" s="342"/>
      <c r="F91" s="342"/>
      <c r="G91" s="34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9" t="s">
        <v>110</v>
      </c>
      <c r="B92" s="84" t="n">
        <f aca="false">(B90+B91)</f>
        <v>57730.9999849127</v>
      </c>
      <c r="C92" s="331"/>
      <c r="D92" s="331"/>
      <c r="E92" s="342"/>
      <c r="F92" s="342"/>
      <c r="G92" s="34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1"/>
      <c r="B93" s="331"/>
      <c r="C93" s="331"/>
      <c r="D93" s="331"/>
      <c r="E93" s="342"/>
      <c r="F93" s="342"/>
      <c r="G93" s="34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1" t="s">
        <v>65</v>
      </c>
      <c r="B94" s="351" t="n">
        <f aca="false">IF(B38="YES",((H36/B85)*(1+A108)*1.2),"0")</f>
        <v>20.5090909090909</v>
      </c>
      <c r="C94" s="331"/>
      <c r="D94" s="331"/>
      <c r="E94" s="342"/>
      <c r="F94" s="342"/>
      <c r="G94" s="34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4" t="s">
        <v>111</v>
      </c>
      <c r="B95" s="275" t="n">
        <f aca="false">B92/(B85)</f>
        <v>1749.42424196705</v>
      </c>
      <c r="C95" s="331"/>
      <c r="D95" s="331"/>
      <c r="E95" s="342"/>
      <c r="F95" s="342"/>
      <c r="G95" s="34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6" t="s">
        <v>112</v>
      </c>
      <c r="B96" s="277" t="n">
        <f aca="false">B94+B95</f>
        <v>1769.93333287614</v>
      </c>
      <c r="C96" s="331"/>
      <c r="D96" s="331"/>
      <c r="E96" s="342"/>
      <c r="F96" s="342"/>
      <c r="G96" s="34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9"/>
      <c r="B97" s="250"/>
      <c r="C97" s="250"/>
      <c r="D97" s="250"/>
      <c r="E97" s="278"/>
      <c r="F97" s="278"/>
      <c r="G97" s="278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6"/>
      <c r="B98" s="236"/>
      <c r="C98" s="236"/>
      <c r="D98" s="236"/>
      <c r="E98" s="236"/>
      <c r="F98" s="236"/>
      <c r="G98" s="236"/>
      <c r="H98" s="236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6"/>
      <c r="B99" s="236"/>
      <c r="C99" s="236"/>
      <c r="D99" s="236"/>
      <c r="E99" s="236"/>
      <c r="F99" s="236"/>
      <c r="G99" s="236"/>
      <c r="H99" s="236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7" t="s">
        <v>275</v>
      </c>
      <c r="B100" s="217"/>
      <c r="C100" s="217"/>
      <c r="D100" s="217"/>
      <c r="E100" s="217"/>
      <c r="F100" s="217"/>
      <c r="G100" s="217"/>
      <c r="H100" s="217"/>
      <c r="J100" s="340"/>
      <c r="K100" s="340"/>
      <c r="L100" s="340"/>
      <c r="M100" s="340"/>
      <c r="N100" s="340"/>
      <c r="O100" s="340"/>
      <c r="P100" s="340"/>
      <c r="Q100" s="340"/>
      <c r="R100" s="0"/>
      <c r="S100" s="340"/>
      <c r="T100" s="340"/>
      <c r="U100" s="340"/>
      <c r="V100" s="340"/>
      <c r="W100" s="340"/>
      <c r="X100" s="340"/>
      <c r="Y100" s="340"/>
      <c r="Z100" s="340"/>
      <c r="AA100" s="0"/>
      <c r="AB100" s="340"/>
      <c r="AC100" s="340"/>
      <c r="AD100" s="340"/>
      <c r="AE100" s="340"/>
      <c r="AF100" s="340"/>
      <c r="AG100" s="340"/>
      <c r="AH100" s="340"/>
      <c r="AI100" s="340"/>
    </row>
    <row r="101" customFormat="false" ht="17.35" hidden="false" customHeight="false" outlineLevel="0" collapsed="false">
      <c r="A101" s="238"/>
      <c r="B101" s="239"/>
      <c r="C101" s="239"/>
      <c r="D101" s="239"/>
      <c r="E101" s="262"/>
      <c r="F101" s="262"/>
      <c r="G101" s="262"/>
      <c r="H101" s="279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40" t="s">
        <v>116</v>
      </c>
      <c r="B102" s="240"/>
      <c r="C102" s="240"/>
      <c r="D102" s="240"/>
      <c r="E102" s="240"/>
      <c r="F102" s="240"/>
      <c r="G102" s="240"/>
      <c r="H102" s="240"/>
      <c r="J102" s="340"/>
      <c r="K102" s="340"/>
      <c r="L102" s="340"/>
      <c r="M102" s="340"/>
      <c r="N102" s="340"/>
      <c r="O102" s="340"/>
      <c r="P102" s="340"/>
      <c r="Q102" s="340"/>
      <c r="R102" s="0"/>
      <c r="S102" s="340"/>
      <c r="T102" s="340"/>
      <c r="U102" s="340"/>
      <c r="V102" s="340"/>
      <c r="W102" s="340"/>
      <c r="X102" s="340"/>
      <c r="Y102" s="340"/>
      <c r="Z102" s="340"/>
      <c r="AA102" s="0"/>
      <c r="AB102" s="340"/>
      <c r="AC102" s="340"/>
      <c r="AD102" s="340"/>
      <c r="AE102" s="340"/>
      <c r="AF102" s="340"/>
      <c r="AG102" s="340"/>
      <c r="AH102" s="340"/>
      <c r="AI102" s="340"/>
    </row>
    <row r="103" customFormat="false" ht="17.35" hidden="false" customHeight="false" outlineLevel="0" collapsed="false">
      <c r="A103" s="221"/>
      <c r="B103" s="331"/>
      <c r="C103" s="331"/>
      <c r="D103" s="331"/>
      <c r="E103" s="342"/>
      <c r="F103" s="342"/>
      <c r="G103" s="342"/>
      <c r="H103" s="28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5" t="s">
        <v>117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1" t="s">
        <v>118</v>
      </c>
      <c r="B104" s="331" t="s">
        <v>30</v>
      </c>
      <c r="C104" s="331"/>
      <c r="D104" s="331"/>
      <c r="E104" s="331" t="s">
        <v>130</v>
      </c>
      <c r="F104" s="331"/>
      <c r="G104" s="331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5" t="s">
        <v>120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1" t="s">
        <v>224</v>
      </c>
      <c r="B105" s="215" t="s">
        <v>117</v>
      </c>
      <c r="C105" s="215"/>
      <c r="D105" s="215"/>
      <c r="E105" s="42" t="s">
        <v>25</v>
      </c>
      <c r="F105" s="42"/>
      <c r="G105" s="42"/>
      <c r="H105" s="280"/>
      <c r="J105" s="0"/>
      <c r="K105" s="340"/>
      <c r="L105" s="340"/>
      <c r="M105" s="340"/>
      <c r="N105" s="340"/>
      <c r="O105" s="340"/>
      <c r="P105" s="340"/>
      <c r="Q105" s="0"/>
      <c r="R105" s="0"/>
      <c r="S105" s="0"/>
      <c r="T105" s="340"/>
      <c r="U105" s="340"/>
      <c r="V105" s="340"/>
      <c r="W105" s="340"/>
      <c r="X105" s="340"/>
      <c r="Y105" s="340"/>
      <c r="Z105" s="135" t="s">
        <v>124</v>
      </c>
      <c r="AA105" s="0"/>
      <c r="AB105" s="0"/>
      <c r="AC105" s="340"/>
      <c r="AD105" s="340"/>
      <c r="AE105" s="340"/>
      <c r="AF105" s="340"/>
      <c r="AG105" s="340"/>
      <c r="AH105" s="340"/>
      <c r="AI105" s="0"/>
    </row>
    <row r="106" customFormat="false" ht="17.35" hidden="false" customHeight="false" outlineLevel="0" collapsed="false">
      <c r="A106" s="221"/>
      <c r="B106" s="331"/>
      <c r="C106" s="331"/>
      <c r="D106" s="342"/>
      <c r="E106" s="331"/>
      <c r="F106" s="331"/>
      <c r="G106" s="34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5" t="s">
        <v>125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1" t="s">
        <v>131</v>
      </c>
      <c r="B107" s="331" t="s">
        <v>225</v>
      </c>
      <c r="C107" s="331"/>
      <c r="D107" s="342"/>
      <c r="E107" s="331" t="s">
        <v>226</v>
      </c>
      <c r="F107" s="331"/>
      <c r="G107" s="342"/>
      <c r="H107" s="28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5" t="s">
        <v>129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2" t="n">
        <v>0.2</v>
      </c>
      <c r="B108" s="112" t="s">
        <v>219</v>
      </c>
      <c r="C108" s="112"/>
      <c r="D108" s="112"/>
      <c r="E108" s="282" t="n">
        <f aca="false">B83</f>
        <v>0.137</v>
      </c>
      <c r="F108" s="282"/>
      <c r="G108" s="282"/>
      <c r="H108" s="246"/>
      <c r="J108" s="344"/>
      <c r="K108" s="340"/>
      <c r="L108" s="340"/>
      <c r="M108" s="340"/>
      <c r="N108" s="344"/>
      <c r="O108" s="344"/>
      <c r="P108" s="344"/>
      <c r="Q108" s="0"/>
      <c r="R108" s="0"/>
      <c r="S108" s="344"/>
      <c r="T108" s="340"/>
      <c r="U108" s="340"/>
      <c r="V108" s="340"/>
      <c r="W108" s="344"/>
      <c r="X108" s="344"/>
      <c r="Y108" s="344"/>
      <c r="Z108" s="135" t="s">
        <v>123</v>
      </c>
      <c r="AA108" s="0"/>
      <c r="AB108" s="344"/>
      <c r="AC108" s="340"/>
      <c r="AD108" s="340"/>
      <c r="AE108" s="340"/>
      <c r="AF108" s="344"/>
      <c r="AG108" s="344"/>
      <c r="AH108" s="344"/>
      <c r="AI108" s="0"/>
      <c r="AP108" s="216" t="s">
        <v>229</v>
      </c>
    </row>
    <row r="109" customFormat="false" ht="17.35" hidden="false" customHeight="false" outlineLevel="0" collapsed="false">
      <c r="A109" s="221"/>
      <c r="B109" s="331"/>
      <c r="C109" s="331"/>
      <c r="D109" s="331"/>
      <c r="E109" s="331"/>
      <c r="F109" s="331"/>
      <c r="G109" s="331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5" t="s">
        <v>122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6" t="s">
        <v>227</v>
      </c>
    </row>
    <row r="110" customFormat="false" ht="17.35" hidden="false" customHeight="false" outlineLevel="0" collapsed="false">
      <c r="A110" s="221" t="s">
        <v>230</v>
      </c>
      <c r="B110" s="331" t="s">
        <v>142</v>
      </c>
      <c r="C110" s="331"/>
      <c r="D110" s="331"/>
      <c r="E110" s="331" t="s">
        <v>231</v>
      </c>
      <c r="F110" s="331"/>
      <c r="G110" s="331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5" t="s">
        <v>133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2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80"/>
      <c r="J111" s="0"/>
      <c r="K111" s="340"/>
      <c r="L111" s="340"/>
      <c r="M111" s="340"/>
      <c r="N111" s="340"/>
      <c r="O111" s="340"/>
      <c r="P111" s="340"/>
      <c r="Q111" s="0"/>
      <c r="R111" s="0"/>
      <c r="S111" s="0"/>
      <c r="T111" s="340"/>
      <c r="U111" s="340"/>
      <c r="V111" s="340"/>
      <c r="W111" s="340"/>
      <c r="X111" s="340"/>
      <c r="Y111" s="340"/>
      <c r="Z111" s="135" t="s">
        <v>134</v>
      </c>
      <c r="AA111" s="0"/>
      <c r="AB111" s="0"/>
      <c r="AC111" s="340"/>
      <c r="AD111" s="340"/>
      <c r="AE111" s="340"/>
      <c r="AF111" s="340"/>
      <c r="AG111" s="340"/>
      <c r="AH111" s="340"/>
      <c r="AI111" s="0"/>
    </row>
    <row r="112" customFormat="false" ht="17.35" hidden="false" customHeight="false" outlineLevel="0" collapsed="false">
      <c r="A112" s="221"/>
      <c r="B112" s="331"/>
      <c r="C112" s="331"/>
      <c r="D112" s="331"/>
      <c r="E112" s="331"/>
      <c r="F112" s="331"/>
      <c r="G112" s="342"/>
      <c r="H112" s="28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1" t="s">
        <v>163</v>
      </c>
      <c r="C113" s="331"/>
      <c r="D113" s="331"/>
      <c r="E113" s="331" t="s">
        <v>132</v>
      </c>
      <c r="F113" s="331"/>
      <c r="G113" s="342"/>
      <c r="H113" s="28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80"/>
      <c r="J114" s="0"/>
      <c r="K114" s="340"/>
      <c r="L114" s="340"/>
      <c r="M114" s="340"/>
      <c r="N114" s="340"/>
      <c r="O114" s="340"/>
      <c r="P114" s="340"/>
      <c r="Q114" s="0"/>
      <c r="R114" s="0"/>
      <c r="S114" s="0"/>
      <c r="T114" s="340"/>
      <c r="U114" s="340"/>
      <c r="V114" s="340"/>
      <c r="W114" s="340"/>
      <c r="X114" s="340"/>
      <c r="Y114" s="340"/>
      <c r="Z114" s="0"/>
      <c r="AA114" s="0"/>
      <c r="AB114" s="0"/>
      <c r="AC114" s="340"/>
      <c r="AD114" s="340"/>
      <c r="AE114" s="340"/>
      <c r="AF114" s="340"/>
      <c r="AG114" s="340"/>
      <c r="AH114" s="340"/>
      <c r="AI114" s="0"/>
    </row>
    <row r="115" customFormat="false" ht="13.8" hidden="false" customHeight="false" outlineLevel="0" collapsed="false">
      <c r="A115" s="284"/>
      <c r="B115" s="342"/>
      <c r="C115" s="342"/>
      <c r="D115" s="342"/>
      <c r="E115" s="342"/>
      <c r="F115" s="342"/>
      <c r="G115" s="342"/>
      <c r="H115" s="28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4"/>
      <c r="B116" s="342"/>
      <c r="C116" s="342"/>
      <c r="D116" s="342"/>
      <c r="E116" s="342"/>
      <c r="F116" s="342"/>
      <c r="G116" s="342"/>
      <c r="H116" s="28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40" t="s">
        <v>233</v>
      </c>
      <c r="B117" s="240"/>
      <c r="C117" s="240"/>
      <c r="D117" s="240"/>
      <c r="E117" s="240"/>
      <c r="F117" s="240"/>
      <c r="G117" s="240"/>
      <c r="H117" s="240"/>
      <c r="J117" s="340"/>
      <c r="K117" s="340"/>
      <c r="L117" s="340"/>
      <c r="M117" s="340"/>
      <c r="N117" s="340"/>
      <c r="O117" s="340"/>
      <c r="P117" s="340"/>
      <c r="Q117" s="340"/>
      <c r="R117" s="0"/>
      <c r="S117" s="340"/>
      <c r="T117" s="340"/>
      <c r="U117" s="340"/>
      <c r="V117" s="340"/>
      <c r="W117" s="340"/>
      <c r="X117" s="340"/>
      <c r="Y117" s="340"/>
      <c r="Z117" s="340"/>
      <c r="AA117" s="0"/>
      <c r="AB117" s="340"/>
      <c r="AC117" s="340"/>
      <c r="AD117" s="340"/>
      <c r="AE117" s="340"/>
      <c r="AF117" s="340"/>
      <c r="AG117" s="340"/>
      <c r="AH117" s="340"/>
      <c r="AI117" s="340"/>
    </row>
    <row r="118" customFormat="false" ht="13.8" hidden="false" customHeight="false" outlineLevel="0" collapsed="false">
      <c r="A118" s="284"/>
      <c r="B118" s="342"/>
      <c r="C118" s="342"/>
      <c r="D118" s="342"/>
      <c r="E118" s="342"/>
      <c r="F118" s="342"/>
      <c r="G118" s="342"/>
      <c r="H118" s="28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4"/>
      <c r="B119" s="285" t="s">
        <v>1</v>
      </c>
      <c r="C119" s="285"/>
      <c r="D119" s="285" t="s">
        <v>2</v>
      </c>
      <c r="E119" s="285"/>
      <c r="F119" s="285" t="s">
        <v>3</v>
      </c>
      <c r="G119" s="285"/>
      <c r="H119" s="286" t="s">
        <v>4</v>
      </c>
      <c r="J119" s="0"/>
      <c r="K119" s="340"/>
      <c r="L119" s="340"/>
      <c r="M119" s="340"/>
      <c r="N119" s="340"/>
      <c r="O119" s="340"/>
      <c r="P119" s="340"/>
      <c r="Q119" s="0"/>
      <c r="R119" s="0"/>
      <c r="S119" s="0"/>
      <c r="T119" s="340"/>
      <c r="U119" s="340"/>
      <c r="V119" s="340"/>
      <c r="W119" s="340"/>
      <c r="X119" s="340"/>
      <c r="Y119" s="340"/>
      <c r="Z119" s="0"/>
      <c r="AA119" s="0"/>
      <c r="AB119" s="0"/>
      <c r="AC119" s="340"/>
      <c r="AD119" s="340"/>
      <c r="AE119" s="340"/>
      <c r="AF119" s="340"/>
      <c r="AG119" s="340"/>
      <c r="AH119" s="340"/>
      <c r="AI119" s="0"/>
    </row>
    <row r="120" customFormat="false" ht="19.7" hidden="false" customHeight="false" outlineLevel="0" collapsed="false">
      <c r="A120" s="218"/>
      <c r="B120" s="287" t="s">
        <v>234</v>
      </c>
      <c r="C120" s="288" t="s">
        <v>235</v>
      </c>
      <c r="D120" s="287" t="s">
        <v>234</v>
      </c>
      <c r="E120" s="289" t="s">
        <v>235</v>
      </c>
      <c r="F120" s="287" t="s">
        <v>234</v>
      </c>
      <c r="G120" s="289" t="s">
        <v>235</v>
      </c>
      <c r="H120" s="29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8" t="s">
        <v>5</v>
      </c>
      <c r="B121" s="353" t="n">
        <f aca="false">B3</f>
        <v>46854.17</v>
      </c>
      <c r="C121" s="354" t="n">
        <f aca="false">B121</f>
        <v>46854.17</v>
      </c>
      <c r="D121" s="353" t="n">
        <f aca="false">D3</f>
        <v>0</v>
      </c>
      <c r="E121" s="354" t="n">
        <f aca="false">D121</f>
        <v>0</v>
      </c>
      <c r="F121" s="353" t="n">
        <f aca="false">F3</f>
        <v>833.33</v>
      </c>
      <c r="G121" s="354" t="n">
        <v>0</v>
      </c>
      <c r="H121" s="291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1" t="s">
        <v>6</v>
      </c>
      <c r="B122" s="355" t="n">
        <f aca="false">B4</f>
        <v>0</v>
      </c>
      <c r="C122" s="329" t="n">
        <v>0</v>
      </c>
      <c r="D122" s="355" t="n">
        <f aca="false">D4</f>
        <v>0</v>
      </c>
      <c r="E122" s="329" t="n">
        <v>0</v>
      </c>
      <c r="F122" s="355" t="n">
        <f aca="false">F4</f>
        <v>0</v>
      </c>
      <c r="G122" s="356" t="n">
        <v>0</v>
      </c>
      <c r="H122" s="330"/>
      <c r="J122" s="0"/>
      <c r="K122" s="344"/>
      <c r="L122" s="344"/>
      <c r="M122" s="344"/>
      <c r="N122" s="344"/>
      <c r="O122" s="344"/>
      <c r="P122" s="344"/>
      <c r="Q122" s="344"/>
      <c r="R122" s="0"/>
      <c r="S122" s="0"/>
      <c r="T122" s="344"/>
      <c r="U122" s="344"/>
      <c r="V122" s="344"/>
      <c r="W122" s="344"/>
      <c r="X122" s="344"/>
      <c r="Y122" s="344"/>
      <c r="Z122" s="344"/>
      <c r="AA122" s="0"/>
      <c r="AB122" s="0"/>
      <c r="AC122" s="344"/>
      <c r="AD122" s="344"/>
      <c r="AE122" s="344"/>
      <c r="AF122" s="344"/>
      <c r="AG122" s="344"/>
      <c r="AH122" s="344"/>
      <c r="AI122" s="344"/>
    </row>
    <row r="123" customFormat="false" ht="17.35" hidden="false" customHeight="false" outlineLevel="0" collapsed="false">
      <c r="A123" s="221" t="s">
        <v>7</v>
      </c>
      <c r="B123" s="357" t="n">
        <f aca="false">B5</f>
        <v>0</v>
      </c>
      <c r="C123" s="354" t="n">
        <v>0</v>
      </c>
      <c r="D123" s="357" t="n">
        <f aca="false">D5</f>
        <v>0</v>
      </c>
      <c r="E123" s="354" t="n">
        <v>0</v>
      </c>
      <c r="F123" s="357" t="n">
        <f aca="false">F5</f>
        <v>0</v>
      </c>
      <c r="G123" s="3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1" t="s">
        <v>8</v>
      </c>
      <c r="B124" s="357" t="n">
        <f aca="false">(B121*B122)+B123</f>
        <v>0</v>
      </c>
      <c r="C124" s="203" t="n">
        <f aca="false">(C121*C122/100)+C123</f>
        <v>0</v>
      </c>
      <c r="D124" s="357" t="n">
        <f aca="false">(D121*D122)+D123</f>
        <v>0</v>
      </c>
      <c r="E124" s="203" t="n">
        <f aca="false">(E121*E122/100)+E123</f>
        <v>0</v>
      </c>
      <c r="F124" s="357" t="n">
        <f aca="false">(F121*F122)+F123</f>
        <v>0</v>
      </c>
      <c r="G124" s="203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9" t="s">
        <v>9</v>
      </c>
      <c r="B125" s="358" t="n">
        <f aca="false">B121-B124</f>
        <v>46854.17</v>
      </c>
      <c r="C125" s="185" t="n">
        <f aca="false">C121-C124</f>
        <v>46854.17</v>
      </c>
      <c r="D125" s="358" t="n">
        <f aca="false">D121-D124</f>
        <v>0</v>
      </c>
      <c r="E125" s="185" t="n">
        <f aca="false">E121-E124</f>
        <v>0</v>
      </c>
      <c r="F125" s="358" t="n">
        <f aca="false">F121-F124</f>
        <v>833.33</v>
      </c>
      <c r="G125" s="185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1"/>
      <c r="B126" s="331"/>
      <c r="C126" s="331"/>
      <c r="D126" s="331"/>
      <c r="E126" s="331"/>
      <c r="F126" s="331"/>
      <c r="G126" s="331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4"/>
      <c r="B127" s="359"/>
      <c r="C127" s="359"/>
      <c r="D127" s="359"/>
      <c r="E127" s="359"/>
      <c r="F127" s="359"/>
      <c r="G127" s="332" t="s">
        <v>234</v>
      </c>
      <c r="H127" s="296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7" t="s">
        <v>236</v>
      </c>
      <c r="B128" s="298"/>
      <c r="C128" s="298"/>
      <c r="D128" s="298"/>
      <c r="E128" s="298"/>
      <c r="F128" s="298"/>
      <c r="G128" s="299" t="n">
        <f aca="false">H121</f>
        <v>0</v>
      </c>
      <c r="H128" s="300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1"/>
      <c r="B129" s="331"/>
      <c r="C129" s="331"/>
      <c r="D129" s="331"/>
      <c r="E129" s="331"/>
      <c r="F129" s="331"/>
      <c r="G129" s="304"/>
      <c r="H129" s="302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3" t="s">
        <v>237</v>
      </c>
      <c r="B130" s="304" t="s">
        <v>238</v>
      </c>
      <c r="C130" s="304"/>
      <c r="D130" s="304" t="s">
        <v>239</v>
      </c>
      <c r="E130" s="304"/>
      <c r="F130" s="304" t="s">
        <v>7</v>
      </c>
      <c r="G130" s="304"/>
      <c r="H130" s="302" t="s">
        <v>235</v>
      </c>
      <c r="J130" s="0"/>
      <c r="K130" s="340"/>
      <c r="L130" s="340"/>
      <c r="M130" s="340"/>
      <c r="N130" s="340"/>
      <c r="O130" s="340"/>
      <c r="P130" s="340"/>
      <c r="Q130" s="0"/>
      <c r="R130" s="0"/>
      <c r="S130" s="0"/>
      <c r="T130" s="340"/>
      <c r="U130" s="340"/>
      <c r="V130" s="340"/>
      <c r="W130" s="340"/>
      <c r="X130" s="340"/>
      <c r="Y130" s="340"/>
      <c r="Z130" s="0"/>
      <c r="AA130" s="0"/>
      <c r="AB130" s="0"/>
      <c r="AC130" s="340"/>
      <c r="AD130" s="340"/>
      <c r="AE130" s="340"/>
      <c r="AF130" s="340"/>
      <c r="AG130" s="340"/>
      <c r="AH130" s="340"/>
      <c r="AI130" s="0"/>
    </row>
    <row r="131" customFormat="false" ht="17.35" hidden="false" customHeight="false" outlineLevel="0" collapsed="false">
      <c r="A131" s="221" t="s">
        <v>240</v>
      </c>
      <c r="B131" s="306" t="n">
        <f aca="false">G128</f>
        <v>0</v>
      </c>
      <c r="C131" s="306"/>
      <c r="D131" s="307" t="n">
        <v>0</v>
      </c>
      <c r="E131" s="307"/>
      <c r="F131" s="306" t="n">
        <v>0</v>
      </c>
      <c r="G131" s="306"/>
      <c r="H131" s="308" t="n">
        <f aca="false">(B131-(B131*D131))-F131</f>
        <v>0</v>
      </c>
      <c r="J131" s="0"/>
      <c r="K131" s="340"/>
      <c r="L131" s="340"/>
      <c r="M131" s="344"/>
      <c r="N131" s="344"/>
      <c r="O131" s="340"/>
      <c r="P131" s="340"/>
      <c r="Q131" s="0"/>
      <c r="R131" s="0"/>
      <c r="S131" s="0"/>
      <c r="T131" s="340"/>
      <c r="U131" s="340"/>
      <c r="V131" s="344"/>
      <c r="W131" s="344"/>
      <c r="X131" s="340"/>
      <c r="Y131" s="340"/>
      <c r="Z131" s="0"/>
      <c r="AA131" s="0"/>
      <c r="AB131" s="0"/>
      <c r="AC131" s="340"/>
      <c r="AD131" s="340"/>
      <c r="AE131" s="344"/>
      <c r="AF131" s="344"/>
      <c r="AG131" s="340"/>
      <c r="AH131" s="340"/>
      <c r="AI131" s="0"/>
    </row>
    <row r="132" customFormat="false" ht="17.35" hidden="false" customHeight="false" outlineLevel="0" collapsed="false">
      <c r="A132" s="221" t="s">
        <v>241</v>
      </c>
      <c r="B132" s="306" t="n">
        <v>0</v>
      </c>
      <c r="C132" s="306"/>
      <c r="D132" s="307" t="n">
        <v>0</v>
      </c>
      <c r="E132" s="307"/>
      <c r="F132" s="306" t="n">
        <v>0</v>
      </c>
      <c r="G132" s="306"/>
      <c r="H132" s="308" t="n">
        <f aca="false">(B132-(B132*D132))-F132</f>
        <v>0</v>
      </c>
      <c r="J132" s="0"/>
      <c r="K132" s="340"/>
      <c r="L132" s="340"/>
      <c r="M132" s="344"/>
      <c r="N132" s="344"/>
      <c r="O132" s="340"/>
      <c r="P132" s="340"/>
      <c r="Q132" s="0"/>
      <c r="R132" s="0"/>
      <c r="S132" s="0"/>
      <c r="T132" s="340"/>
      <c r="U132" s="340"/>
      <c r="V132" s="344"/>
      <c r="W132" s="344"/>
      <c r="X132" s="340"/>
      <c r="Y132" s="340"/>
      <c r="Z132" s="0"/>
      <c r="AA132" s="0"/>
      <c r="AB132" s="0"/>
      <c r="AC132" s="340"/>
      <c r="AD132" s="340"/>
      <c r="AE132" s="344"/>
      <c r="AF132" s="344"/>
      <c r="AG132" s="340"/>
      <c r="AH132" s="340"/>
      <c r="AI132" s="0"/>
    </row>
    <row r="133" customFormat="false" ht="17.35" hidden="false" customHeight="false" outlineLevel="0" collapsed="false">
      <c r="A133" s="221" t="s">
        <v>242</v>
      </c>
      <c r="B133" s="306" t="n">
        <v>0</v>
      </c>
      <c r="C133" s="306"/>
      <c r="D133" s="307" t="n">
        <v>0</v>
      </c>
      <c r="E133" s="307"/>
      <c r="F133" s="306" t="n">
        <v>0</v>
      </c>
      <c r="G133" s="306"/>
      <c r="H133" s="308" t="n">
        <f aca="false">(B133-(B133*D133))-F133</f>
        <v>0</v>
      </c>
      <c r="J133" s="0"/>
      <c r="K133" s="340"/>
      <c r="L133" s="340"/>
      <c r="M133" s="344"/>
      <c r="N133" s="344"/>
      <c r="O133" s="340"/>
      <c r="P133" s="340"/>
      <c r="Q133" s="0"/>
      <c r="R133" s="0"/>
      <c r="S133" s="0"/>
      <c r="T133" s="340"/>
      <c r="U133" s="340"/>
      <c r="V133" s="344"/>
      <c r="W133" s="344"/>
      <c r="X133" s="340"/>
      <c r="Y133" s="340"/>
      <c r="Z133" s="0"/>
      <c r="AA133" s="0"/>
      <c r="AB133" s="0"/>
      <c r="AC133" s="340"/>
      <c r="AD133" s="340"/>
      <c r="AE133" s="344"/>
      <c r="AF133" s="344"/>
      <c r="AG133" s="340"/>
      <c r="AH133" s="340"/>
      <c r="AI133" s="0"/>
    </row>
    <row r="134" customFormat="false" ht="17.35" hidden="false" customHeight="false" outlineLevel="0" collapsed="false">
      <c r="A134" s="221"/>
      <c r="B134" s="331"/>
      <c r="C134" s="331"/>
      <c r="D134" s="331"/>
      <c r="E134" s="331"/>
      <c r="F134" s="331"/>
      <c r="G134" s="304"/>
      <c r="H134" s="302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6" t="s">
        <v>10</v>
      </c>
      <c r="B135" s="226"/>
      <c r="C135" s="226"/>
      <c r="D135" s="226"/>
      <c r="E135" s="226"/>
      <c r="F135" s="226"/>
      <c r="G135" s="332" t="n">
        <f aca="false">H9</f>
        <v>47687.5</v>
      </c>
      <c r="H135" s="309" t="n">
        <f aca="false">C125+E125+G125+H128</f>
        <v>46854.17</v>
      </c>
      <c r="J135" s="340"/>
      <c r="K135" s="340"/>
      <c r="L135" s="340"/>
      <c r="M135" s="340"/>
      <c r="N135" s="340"/>
      <c r="O135" s="340"/>
      <c r="P135" s="0"/>
      <c r="Q135" s="0"/>
      <c r="R135" s="0"/>
      <c r="S135" s="340"/>
      <c r="T135" s="340"/>
      <c r="U135" s="340"/>
      <c r="V135" s="340"/>
      <c r="W135" s="340"/>
      <c r="X135" s="340"/>
      <c r="Y135" s="0"/>
      <c r="Z135" s="0"/>
      <c r="AA135" s="0"/>
      <c r="AB135" s="340"/>
      <c r="AC135" s="340"/>
      <c r="AD135" s="340"/>
      <c r="AE135" s="340"/>
      <c r="AF135" s="340"/>
      <c r="AG135" s="340"/>
      <c r="AH135" s="0"/>
      <c r="AI135" s="0"/>
    </row>
    <row r="136" customFormat="false" ht="17.35" hidden="false" customHeight="false" outlineLevel="0" collapsed="false">
      <c r="A136" s="229" t="s">
        <v>11</v>
      </c>
      <c r="B136" s="229"/>
      <c r="C136" s="229"/>
      <c r="D136" s="229"/>
      <c r="E136" s="229"/>
      <c r="F136" s="229"/>
      <c r="G136" s="40" t="n">
        <f aca="false">H10</f>
        <v>550</v>
      </c>
      <c r="H136" s="11" t="n">
        <f aca="false">G136</f>
        <v>550</v>
      </c>
      <c r="J136" s="340"/>
      <c r="K136" s="340"/>
      <c r="L136" s="340"/>
      <c r="M136" s="340"/>
      <c r="N136" s="340"/>
      <c r="O136" s="340"/>
      <c r="P136" s="0"/>
      <c r="Q136" s="0"/>
      <c r="R136" s="0"/>
      <c r="S136" s="340"/>
      <c r="T136" s="340"/>
      <c r="U136" s="340"/>
      <c r="V136" s="340"/>
      <c r="W136" s="340"/>
      <c r="X136" s="340"/>
      <c r="Y136" s="0"/>
      <c r="Z136" s="0"/>
      <c r="AA136" s="0"/>
      <c r="AB136" s="340"/>
      <c r="AC136" s="340"/>
      <c r="AD136" s="340"/>
      <c r="AE136" s="340"/>
      <c r="AF136" s="340"/>
      <c r="AG136" s="340"/>
      <c r="AH136" s="0"/>
      <c r="AI136" s="0"/>
    </row>
    <row r="137" customFormat="false" ht="17.35" hidden="false" customHeight="false" outlineLevel="0" collapsed="false">
      <c r="A137" s="229" t="s">
        <v>12</v>
      </c>
      <c r="B137" s="229"/>
      <c r="C137" s="229"/>
      <c r="D137" s="229"/>
      <c r="E137" s="229"/>
      <c r="F137" s="229"/>
      <c r="G137" s="40" t="n">
        <f aca="false">H11</f>
        <v>9647.5</v>
      </c>
      <c r="H137" s="11" t="n">
        <f aca="false">(H135+H136)*20%</f>
        <v>9480.834</v>
      </c>
      <c r="J137" s="340"/>
      <c r="K137" s="340"/>
      <c r="L137" s="340"/>
      <c r="M137" s="340"/>
      <c r="N137" s="340"/>
      <c r="O137" s="340"/>
      <c r="P137" s="0"/>
      <c r="Q137" s="0"/>
      <c r="R137" s="0"/>
      <c r="S137" s="340"/>
      <c r="T137" s="340"/>
      <c r="U137" s="340"/>
      <c r="V137" s="340"/>
      <c r="W137" s="340"/>
      <c r="X137" s="340"/>
      <c r="Y137" s="0"/>
      <c r="Z137" s="0"/>
      <c r="AA137" s="0"/>
      <c r="AB137" s="340"/>
      <c r="AC137" s="340"/>
      <c r="AD137" s="340"/>
      <c r="AE137" s="340"/>
      <c r="AF137" s="340"/>
      <c r="AG137" s="340"/>
      <c r="AH137" s="0"/>
      <c r="AI137" s="0"/>
    </row>
    <row r="138" customFormat="false" ht="17.35" hidden="false" customHeight="false" outlineLevel="0" collapsed="false">
      <c r="A138" s="229" t="s">
        <v>13</v>
      </c>
      <c r="B138" s="229"/>
      <c r="C138" s="229"/>
      <c r="D138" s="229"/>
      <c r="E138" s="229"/>
      <c r="F138" s="229"/>
      <c r="G138" s="40" t="n">
        <f aca="false">H12</f>
        <v>0</v>
      </c>
      <c r="H138" s="11" t="n">
        <v>0</v>
      </c>
      <c r="J138" s="340"/>
      <c r="K138" s="340"/>
      <c r="L138" s="340"/>
      <c r="M138" s="340"/>
      <c r="N138" s="340"/>
      <c r="O138" s="340"/>
      <c r="P138" s="0"/>
      <c r="Q138" s="0"/>
      <c r="R138" s="0"/>
      <c r="S138" s="340"/>
      <c r="T138" s="340"/>
      <c r="U138" s="340"/>
      <c r="V138" s="340"/>
      <c r="W138" s="340"/>
      <c r="X138" s="340"/>
      <c r="Y138" s="0"/>
      <c r="Z138" s="0"/>
      <c r="AA138" s="0"/>
      <c r="AB138" s="340"/>
      <c r="AC138" s="340"/>
      <c r="AD138" s="340"/>
      <c r="AE138" s="340"/>
      <c r="AF138" s="340"/>
      <c r="AG138" s="340"/>
      <c r="AH138" s="0"/>
      <c r="AI138" s="0"/>
    </row>
    <row r="139" customFormat="false" ht="17.35" hidden="false" customHeight="false" outlineLevel="0" collapsed="false">
      <c r="A139" s="229" t="s">
        <v>14</v>
      </c>
      <c r="B139" s="229"/>
      <c r="C139" s="229"/>
      <c r="D139" s="229"/>
      <c r="E139" s="229"/>
      <c r="F139" s="229"/>
      <c r="G139" s="40" t="n">
        <f aca="false">H13</f>
        <v>585</v>
      </c>
      <c r="H139" s="11" t="n">
        <f aca="false">G139</f>
        <v>585</v>
      </c>
      <c r="J139" s="340"/>
      <c r="K139" s="340"/>
      <c r="L139" s="340"/>
      <c r="M139" s="340"/>
      <c r="N139" s="340"/>
      <c r="O139" s="340"/>
      <c r="P139" s="0"/>
      <c r="Q139" s="0"/>
      <c r="R139" s="0"/>
      <c r="S139" s="340"/>
      <c r="T139" s="340"/>
      <c r="U139" s="340"/>
      <c r="V139" s="340"/>
      <c r="W139" s="340"/>
      <c r="X139" s="340"/>
      <c r="Y139" s="0"/>
      <c r="Z139" s="0"/>
      <c r="AA139" s="0"/>
      <c r="AB139" s="340"/>
      <c r="AC139" s="340"/>
      <c r="AD139" s="340"/>
      <c r="AE139" s="340"/>
      <c r="AF139" s="340"/>
      <c r="AG139" s="340"/>
      <c r="AH139" s="0"/>
      <c r="AI139" s="0"/>
    </row>
    <row r="140" customFormat="false" ht="17.35" hidden="false" customHeight="false" outlineLevel="0" collapsed="false">
      <c r="A140" s="229" t="s">
        <v>15</v>
      </c>
      <c r="B140" s="229"/>
      <c r="C140" s="229"/>
      <c r="D140" s="229"/>
      <c r="E140" s="229"/>
      <c r="F140" s="229"/>
      <c r="G140" s="40" t="n">
        <f aca="false">H14</f>
        <v>55</v>
      </c>
      <c r="H140" s="11" t="n">
        <v>55</v>
      </c>
      <c r="J140" s="340"/>
      <c r="K140" s="340"/>
      <c r="L140" s="340"/>
      <c r="M140" s="340"/>
      <c r="N140" s="340"/>
      <c r="O140" s="340"/>
      <c r="P140" s="0"/>
      <c r="Q140" s="0"/>
      <c r="R140" s="0"/>
      <c r="S140" s="340"/>
      <c r="T140" s="340"/>
      <c r="U140" s="340"/>
      <c r="V140" s="340"/>
      <c r="W140" s="340"/>
      <c r="X140" s="340"/>
      <c r="Y140" s="0"/>
      <c r="Z140" s="0"/>
      <c r="AA140" s="0"/>
      <c r="AB140" s="340"/>
      <c r="AC140" s="340"/>
      <c r="AD140" s="340"/>
      <c r="AE140" s="340"/>
      <c r="AF140" s="340"/>
      <c r="AG140" s="340"/>
      <c r="AH140" s="0"/>
      <c r="AI140" s="0"/>
    </row>
    <row r="141" customFormat="false" ht="19.7" hidden="false" customHeight="false" outlineLevel="0" collapsed="false">
      <c r="A141" s="229" t="s">
        <v>17</v>
      </c>
      <c r="B141" s="229"/>
      <c r="C141" s="229"/>
      <c r="D141" s="229"/>
      <c r="E141" s="229"/>
      <c r="F141" s="229"/>
      <c r="G141" s="360" t="n">
        <f aca="false">H15</f>
        <v>58525</v>
      </c>
      <c r="H141" s="311" t="n">
        <f aca="false">(H135+H136+H139+H140+H137)-H138</f>
        <v>57525.004</v>
      </c>
      <c r="J141" s="340"/>
      <c r="K141" s="340"/>
      <c r="L141" s="340"/>
      <c r="M141" s="340"/>
      <c r="N141" s="340"/>
      <c r="O141" s="340"/>
      <c r="P141" s="0"/>
      <c r="Q141" s="0"/>
      <c r="R141" s="0"/>
      <c r="S141" s="340"/>
      <c r="T141" s="340"/>
      <c r="U141" s="340"/>
      <c r="V141" s="340"/>
      <c r="W141" s="340"/>
      <c r="X141" s="340"/>
      <c r="Y141" s="0"/>
      <c r="Z141" s="0"/>
      <c r="AA141" s="0"/>
      <c r="AB141" s="340"/>
      <c r="AC141" s="340"/>
      <c r="AD141" s="340"/>
      <c r="AE141" s="340"/>
      <c r="AF141" s="340"/>
      <c r="AG141" s="340"/>
      <c r="AH141" s="0"/>
      <c r="AI141" s="0"/>
    </row>
    <row r="142" customFormat="false" ht="17.35" hidden="false" customHeight="false" outlineLevel="0" collapsed="false">
      <c r="A142" s="229" t="s">
        <v>18</v>
      </c>
      <c r="B142" s="229"/>
      <c r="C142" s="229"/>
      <c r="D142" s="229"/>
      <c r="E142" s="229"/>
      <c r="F142" s="229"/>
      <c r="G142" s="40" t="n">
        <f aca="false">H16</f>
        <v>0</v>
      </c>
      <c r="H142" s="242" t="n">
        <f aca="false">G142</f>
        <v>0</v>
      </c>
      <c r="J142" s="340"/>
      <c r="K142" s="340"/>
      <c r="L142" s="340"/>
      <c r="M142" s="340"/>
      <c r="N142" s="340"/>
      <c r="O142" s="340"/>
      <c r="P142" s="0"/>
      <c r="Q142" s="0"/>
      <c r="R142" s="0"/>
      <c r="S142" s="340"/>
      <c r="T142" s="340"/>
      <c r="U142" s="340"/>
      <c r="V142" s="340"/>
      <c r="W142" s="340"/>
      <c r="X142" s="340"/>
      <c r="Y142" s="0"/>
      <c r="Z142" s="0"/>
      <c r="AA142" s="0"/>
      <c r="AB142" s="340"/>
      <c r="AC142" s="340"/>
      <c r="AD142" s="340"/>
      <c r="AE142" s="340"/>
      <c r="AF142" s="340"/>
      <c r="AG142" s="340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5"/>
      <c r="H143" s="11"/>
      <c r="J143" s="340"/>
      <c r="K143" s="340"/>
      <c r="L143" s="340"/>
      <c r="M143" s="340"/>
      <c r="N143" s="340"/>
      <c r="O143" s="340"/>
      <c r="P143" s="0"/>
      <c r="Q143" s="0"/>
      <c r="R143" s="0"/>
      <c r="S143" s="340"/>
      <c r="T143" s="340"/>
      <c r="U143" s="340"/>
      <c r="V143" s="340"/>
      <c r="W143" s="340"/>
      <c r="X143" s="340"/>
      <c r="Y143" s="0"/>
      <c r="Z143" s="0"/>
      <c r="AA143" s="0"/>
      <c r="AB143" s="340"/>
      <c r="AC143" s="340"/>
      <c r="AD143" s="340"/>
      <c r="AE143" s="340"/>
      <c r="AF143" s="340"/>
      <c r="AG143" s="340"/>
      <c r="AH143" s="0"/>
      <c r="AI143" s="0"/>
    </row>
    <row r="144" customFormat="false" ht="17.35" hidden="false" customHeight="false" outlineLevel="0" collapsed="false">
      <c r="A144" s="232" t="s">
        <v>19</v>
      </c>
      <c r="B144" s="233" t="n">
        <v>0</v>
      </c>
      <c r="C144" s="233"/>
      <c r="D144" s="233"/>
      <c r="E144" s="233"/>
      <c r="F144" s="233"/>
      <c r="G144" s="40" t="n">
        <f aca="false">H18</f>
        <v>0</v>
      </c>
      <c r="H144" s="242" t="n">
        <v>0</v>
      </c>
      <c r="J144" s="0"/>
      <c r="K144" s="340"/>
      <c r="L144" s="340"/>
      <c r="M144" s="340"/>
      <c r="N144" s="340"/>
      <c r="O144" s="340"/>
      <c r="P144" s="0"/>
      <c r="Q144" s="0"/>
      <c r="R144" s="0"/>
      <c r="S144" s="0"/>
      <c r="T144" s="340"/>
      <c r="U144" s="340"/>
      <c r="V144" s="340"/>
      <c r="W144" s="340"/>
      <c r="X144" s="340"/>
      <c r="Y144" s="0"/>
      <c r="Z144" s="0"/>
      <c r="AA144" s="0"/>
      <c r="AB144" s="0"/>
      <c r="AC144" s="340"/>
      <c r="AD144" s="340"/>
      <c r="AE144" s="340"/>
      <c r="AF144" s="340"/>
      <c r="AG144" s="340"/>
      <c r="AH144" s="0"/>
      <c r="AI144" s="0"/>
    </row>
    <row r="145" customFormat="false" ht="17.35" hidden="false" customHeight="false" outlineLevel="0" collapsed="false">
      <c r="A145" s="232" t="s">
        <v>22</v>
      </c>
      <c r="B145" s="233" t="s">
        <v>23</v>
      </c>
      <c r="C145" s="233"/>
      <c r="D145" s="233"/>
      <c r="E145" s="233"/>
      <c r="F145" s="233"/>
      <c r="G145" s="40" t="n">
        <f aca="false">H19</f>
        <v>0</v>
      </c>
      <c r="H145" s="242" t="n">
        <v>0</v>
      </c>
      <c r="I145" s="216" t="n">
        <f aca="false">(G142+G145+G146+G144)</f>
        <v>0</v>
      </c>
      <c r="J145" s="0"/>
      <c r="K145" s="340"/>
      <c r="L145" s="340"/>
      <c r="M145" s="340"/>
      <c r="N145" s="340"/>
      <c r="O145" s="340"/>
      <c r="P145" s="0"/>
      <c r="Q145" s="0"/>
      <c r="R145" s="0"/>
      <c r="S145" s="0"/>
      <c r="T145" s="340"/>
      <c r="U145" s="340"/>
      <c r="V145" s="340"/>
      <c r="W145" s="340"/>
      <c r="X145" s="340"/>
      <c r="Y145" s="0"/>
      <c r="Z145" s="0"/>
      <c r="AA145" s="0"/>
      <c r="AB145" s="0"/>
      <c r="AC145" s="340"/>
      <c r="AD145" s="340"/>
      <c r="AE145" s="340"/>
      <c r="AF145" s="340"/>
      <c r="AG145" s="340"/>
      <c r="AH145" s="0"/>
      <c r="AI145" s="0"/>
    </row>
    <row r="146" customFormat="false" ht="17.35" hidden="false" customHeight="false" outlineLevel="0" collapsed="false">
      <c r="A146" s="313" t="s">
        <v>24</v>
      </c>
      <c r="B146" s="314" t="s">
        <v>23</v>
      </c>
      <c r="C146" s="314"/>
      <c r="D146" s="314"/>
      <c r="E146" s="314"/>
      <c r="F146" s="314"/>
      <c r="G146" s="40" t="n">
        <f aca="false">H20</f>
        <v>0</v>
      </c>
      <c r="H146" s="242" t="n">
        <v>0</v>
      </c>
      <c r="I146" s="216" t="n">
        <f aca="false">(H142+H144+H145+H146)</f>
        <v>0</v>
      </c>
      <c r="J146" s="0"/>
      <c r="K146" s="340"/>
      <c r="L146" s="340"/>
      <c r="M146" s="340"/>
      <c r="N146" s="340"/>
      <c r="O146" s="340"/>
      <c r="P146" s="0"/>
      <c r="Q146" s="0"/>
      <c r="R146" s="0"/>
      <c r="S146" s="0"/>
      <c r="T146" s="340"/>
      <c r="U146" s="340"/>
      <c r="V146" s="340"/>
      <c r="W146" s="340"/>
      <c r="X146" s="340"/>
      <c r="Y146" s="0"/>
      <c r="Z146" s="0"/>
      <c r="AA146" s="0"/>
      <c r="AB146" s="0"/>
      <c r="AC146" s="340"/>
      <c r="AD146" s="340"/>
      <c r="AE146" s="340"/>
      <c r="AF146" s="340"/>
      <c r="AG146" s="340"/>
      <c r="AH146" s="0"/>
      <c r="AI146" s="0"/>
    </row>
    <row r="147" customFormat="false" ht="19.7" hidden="false" customHeight="false" outlineLevel="0" collapsed="false">
      <c r="A147" s="229" t="s">
        <v>27</v>
      </c>
      <c r="B147" s="229"/>
      <c r="C147" s="229"/>
      <c r="D147" s="229"/>
      <c r="E147" s="229"/>
      <c r="F147" s="229"/>
      <c r="G147" s="360" t="n">
        <f aca="false">G141-((G144*1.2)+(G145*1.2)+(G146*1.2)+(G142*1.2))</f>
        <v>58525</v>
      </c>
      <c r="H147" s="315" t="n">
        <f aca="false">H141-((H144*1.2)+(H145*1.2)+(H146*1.2)+(H142*1.2))</f>
        <v>57525.004</v>
      </c>
      <c r="J147" s="340"/>
      <c r="K147" s="340"/>
      <c r="L147" s="340"/>
      <c r="M147" s="340"/>
      <c r="N147" s="340"/>
      <c r="O147" s="340"/>
      <c r="P147" s="0"/>
      <c r="Q147" s="0"/>
      <c r="R147" s="0"/>
      <c r="S147" s="340"/>
      <c r="T147" s="340"/>
      <c r="U147" s="340"/>
      <c r="V147" s="340"/>
      <c r="W147" s="340"/>
      <c r="X147" s="340"/>
      <c r="Y147" s="0"/>
      <c r="Z147" s="0"/>
      <c r="AA147" s="0"/>
      <c r="AB147" s="340"/>
      <c r="AC147" s="340"/>
      <c r="AD147" s="340"/>
      <c r="AE147" s="340"/>
      <c r="AF147" s="340"/>
      <c r="AG147" s="340"/>
      <c r="AH147" s="0"/>
      <c r="AI147" s="0"/>
    </row>
    <row r="148" customFormat="false" ht="17.35" hidden="false" customHeight="false" outlineLevel="0" collapsed="false">
      <c r="A148" s="229" t="s">
        <v>243</v>
      </c>
      <c r="B148" s="229"/>
      <c r="C148" s="229"/>
      <c r="D148" s="229"/>
      <c r="E148" s="229"/>
      <c r="F148" s="229"/>
      <c r="G148" s="40"/>
      <c r="H148" s="242" t="n">
        <f aca="false">((H147-G147)-(H137-G137))+((I146-I145)*0.2)</f>
        <v>-833.33</v>
      </c>
      <c r="I148" s="216" t="n">
        <f aca="false">(H148-G81)/1.2</f>
        <v>-694.441666666667</v>
      </c>
      <c r="J148" s="340"/>
      <c r="K148" s="340"/>
      <c r="L148" s="340"/>
      <c r="M148" s="340"/>
      <c r="N148" s="340"/>
      <c r="O148" s="340"/>
      <c r="P148" s="0"/>
      <c r="Q148" s="0"/>
      <c r="R148" s="0"/>
      <c r="S148" s="340"/>
      <c r="T148" s="340"/>
      <c r="U148" s="340"/>
      <c r="V148" s="340"/>
      <c r="W148" s="340"/>
      <c r="X148" s="340"/>
      <c r="Y148" s="0"/>
      <c r="Z148" s="0"/>
      <c r="AA148" s="0"/>
      <c r="AB148" s="340"/>
      <c r="AC148" s="340"/>
      <c r="AD148" s="340"/>
      <c r="AE148" s="340"/>
      <c r="AF148" s="340"/>
      <c r="AG148" s="340"/>
      <c r="AH148" s="0"/>
      <c r="AI148" s="0"/>
    </row>
    <row r="149" customFormat="false" ht="17.35" hidden="false" customHeight="false" outlineLevel="0" collapsed="false">
      <c r="A149" s="221"/>
      <c r="B149" s="331"/>
      <c r="C149" s="331"/>
      <c r="D149" s="331"/>
      <c r="E149" s="236"/>
      <c r="F149" s="236"/>
      <c r="G149" s="236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40" t="s">
        <v>244</v>
      </c>
      <c r="B150" s="240"/>
      <c r="C150" s="240"/>
      <c r="D150" s="240"/>
      <c r="E150" s="240"/>
      <c r="F150" s="240"/>
      <c r="G150" s="240"/>
      <c r="H150" s="240"/>
      <c r="J150" s="340"/>
      <c r="K150" s="340"/>
      <c r="L150" s="340"/>
      <c r="M150" s="340"/>
      <c r="N150" s="340"/>
      <c r="O150" s="340"/>
      <c r="P150" s="340"/>
      <c r="Q150" s="340"/>
      <c r="R150" s="0"/>
      <c r="S150" s="340"/>
      <c r="T150" s="340"/>
      <c r="U150" s="340"/>
      <c r="V150" s="340"/>
      <c r="W150" s="340"/>
      <c r="X150" s="340"/>
      <c r="Y150" s="340"/>
      <c r="Z150" s="340"/>
      <c r="AA150" s="0"/>
      <c r="AB150" s="340"/>
      <c r="AC150" s="340"/>
      <c r="AD150" s="340"/>
      <c r="AE150" s="340"/>
      <c r="AF150" s="340"/>
      <c r="AG150" s="340"/>
      <c r="AH150" s="340"/>
      <c r="AI150" s="340"/>
    </row>
    <row r="151" customFormat="false" ht="17.35" hidden="false" customHeight="false" outlineLevel="0" collapsed="false">
      <c r="A151" s="221"/>
      <c r="B151" s="331"/>
      <c r="C151" s="331"/>
      <c r="D151" s="331"/>
      <c r="E151" s="236"/>
      <c r="F151" s="236"/>
      <c r="G151" s="236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1" t="s">
        <v>138</v>
      </c>
      <c r="B152" s="331"/>
      <c r="C152" s="331"/>
      <c r="D152" s="236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40"/>
      <c r="O152" s="340"/>
      <c r="P152" s="340"/>
      <c r="Q152" s="340"/>
      <c r="R152" s="0"/>
      <c r="S152" s="0"/>
      <c r="T152" s="0"/>
      <c r="U152" s="0"/>
      <c r="V152" s="0"/>
      <c r="W152" s="340"/>
      <c r="X152" s="340"/>
      <c r="Y152" s="340"/>
      <c r="Z152" s="340"/>
      <c r="AA152" s="0"/>
      <c r="AB152" s="0"/>
      <c r="AC152" s="0"/>
      <c r="AD152" s="0"/>
      <c r="AE152" s="0"/>
      <c r="AF152" s="340"/>
      <c r="AG152" s="340"/>
      <c r="AH152" s="340"/>
      <c r="AI152" s="340"/>
    </row>
    <row r="153" customFormat="false" ht="17.35" hidden="false" customHeight="false" outlineLevel="0" collapsed="false">
      <c r="A153" s="221" t="s">
        <v>139</v>
      </c>
      <c r="B153" s="331"/>
      <c r="C153" s="331"/>
      <c r="D153" s="236"/>
      <c r="E153" s="210" t="n">
        <f aca="false">G153</f>
        <v>0</v>
      </c>
      <c r="F153" s="210"/>
      <c r="G153" s="112" t="n">
        <v>0</v>
      </c>
      <c r="H153" s="112"/>
      <c r="J153" s="0"/>
      <c r="K153" s="0"/>
      <c r="L153" s="0"/>
      <c r="M153" s="0"/>
      <c r="N153" s="340"/>
      <c r="O153" s="340"/>
      <c r="P153" s="340"/>
      <c r="Q153" s="340"/>
      <c r="R153" s="0"/>
      <c r="S153" s="0"/>
      <c r="T153" s="0"/>
      <c r="U153" s="0"/>
      <c r="V153" s="0"/>
      <c r="W153" s="340"/>
      <c r="X153" s="340"/>
      <c r="Y153" s="340"/>
      <c r="Z153" s="340"/>
      <c r="AA153" s="0"/>
      <c r="AB153" s="0"/>
      <c r="AC153" s="0"/>
      <c r="AD153" s="0"/>
      <c r="AE153" s="0"/>
      <c r="AF153" s="340"/>
      <c r="AG153" s="340"/>
      <c r="AH153" s="340"/>
      <c r="AI153" s="340"/>
    </row>
    <row r="154" customFormat="false" ht="17.35" hidden="false" customHeight="false" outlineLevel="0" collapsed="false">
      <c r="A154" s="221" t="s">
        <v>140</v>
      </c>
      <c r="B154" s="331"/>
      <c r="C154" s="331"/>
      <c r="D154" s="236"/>
      <c r="E154" s="210" t="n">
        <f aca="false">E152-E153</f>
        <v>0</v>
      </c>
      <c r="F154" s="210"/>
      <c r="G154" s="115" t="n">
        <f aca="false">G152-G153</f>
        <v>0</v>
      </c>
      <c r="H154" s="115"/>
      <c r="J154" s="0"/>
      <c r="K154" s="0"/>
      <c r="L154" s="0"/>
      <c r="M154" s="0"/>
      <c r="N154" s="340"/>
      <c r="O154" s="340"/>
      <c r="P154" s="340"/>
      <c r="Q154" s="340"/>
      <c r="R154" s="0"/>
      <c r="S154" s="0"/>
      <c r="T154" s="0"/>
      <c r="U154" s="0"/>
      <c r="V154" s="0"/>
      <c r="W154" s="340"/>
      <c r="X154" s="340"/>
      <c r="Y154" s="340"/>
      <c r="Z154" s="340"/>
      <c r="AA154" s="0"/>
      <c r="AB154" s="0"/>
      <c r="AC154" s="0"/>
      <c r="AD154" s="0"/>
      <c r="AE154" s="0"/>
      <c r="AF154" s="340"/>
      <c r="AG154" s="340"/>
      <c r="AH154" s="340"/>
      <c r="AI154" s="340"/>
    </row>
    <row r="155" customFormat="false" ht="17.35" hidden="false" customHeight="false" outlineLevel="0" collapsed="false">
      <c r="A155" s="221" t="s">
        <v>141</v>
      </c>
      <c r="B155" s="331"/>
      <c r="C155" s="331"/>
      <c r="D155" s="236"/>
      <c r="E155" s="210" t="n">
        <f aca="false">E154-G154</f>
        <v>0</v>
      </c>
      <c r="F155" s="210"/>
      <c r="G155" s="236"/>
      <c r="H155" s="11"/>
      <c r="J155" s="0"/>
      <c r="K155" s="0"/>
      <c r="L155" s="0"/>
      <c r="M155" s="0"/>
      <c r="N155" s="340"/>
      <c r="O155" s="340"/>
      <c r="P155" s="0"/>
      <c r="Q155" s="0"/>
      <c r="R155" s="0"/>
      <c r="S155" s="0"/>
      <c r="T155" s="0"/>
      <c r="U155" s="0"/>
      <c r="V155" s="0"/>
      <c r="W155" s="340"/>
      <c r="X155" s="340"/>
      <c r="Y155" s="0"/>
      <c r="Z155" s="0"/>
      <c r="AA155" s="0"/>
      <c r="AB155" s="0"/>
      <c r="AC155" s="0"/>
      <c r="AD155" s="0"/>
      <c r="AE155" s="0"/>
      <c r="AF155" s="340"/>
      <c r="AG155" s="340"/>
      <c r="AH155" s="0"/>
      <c r="AI155" s="0"/>
    </row>
    <row r="156" customFormat="false" ht="17.35" hidden="false" customHeight="false" outlineLevel="0" collapsed="false">
      <c r="A156" s="221"/>
      <c r="B156" s="331"/>
      <c r="C156" s="331"/>
      <c r="D156" s="236"/>
      <c r="E156" s="331"/>
      <c r="F156" s="236"/>
      <c r="G156" s="236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8" t="s">
        <v>245</v>
      </c>
      <c r="B157" s="239"/>
      <c r="C157" s="239"/>
      <c r="D157" s="262"/>
      <c r="E157" s="239"/>
      <c r="F157" s="262"/>
      <c r="G157" s="317" t="n">
        <f aca="false">A114</f>
        <v>0</v>
      </c>
      <c r="H157" s="317"/>
      <c r="J157" s="0"/>
      <c r="K157" s="0"/>
      <c r="L157" s="0"/>
      <c r="M157" s="0"/>
      <c r="N157" s="0"/>
      <c r="O157" s="0"/>
      <c r="P157" s="340"/>
      <c r="Q157" s="340"/>
      <c r="R157" s="0"/>
      <c r="S157" s="0"/>
      <c r="T157" s="0"/>
      <c r="U157" s="0"/>
      <c r="V157" s="0"/>
      <c r="W157" s="0"/>
      <c r="X157" s="0"/>
      <c r="Y157" s="340"/>
      <c r="Z157" s="340"/>
      <c r="AA157" s="0"/>
      <c r="AB157" s="0"/>
      <c r="AC157" s="0"/>
      <c r="AD157" s="0"/>
      <c r="AE157" s="0"/>
      <c r="AF157" s="0"/>
      <c r="AG157" s="0"/>
      <c r="AH157" s="340"/>
      <c r="AI157" s="340"/>
    </row>
    <row r="158" customFormat="false" ht="19.7" hidden="false" customHeight="false" outlineLevel="0" collapsed="false">
      <c r="A158" s="318" t="s">
        <v>246</v>
      </c>
      <c r="B158" s="331"/>
      <c r="C158" s="331"/>
      <c r="D158" s="342"/>
      <c r="E158" s="331"/>
      <c r="F158" s="342"/>
      <c r="G158" s="319" t="n">
        <f aca="false">H147-G154-G157</f>
        <v>57525.004</v>
      </c>
      <c r="H158" s="319"/>
      <c r="J158" s="0"/>
      <c r="K158" s="0"/>
      <c r="L158" s="0"/>
      <c r="M158" s="0"/>
      <c r="N158" s="0"/>
      <c r="O158" s="0"/>
      <c r="P158" s="340"/>
      <c r="Q158" s="340"/>
      <c r="R158" s="0"/>
      <c r="S158" s="0"/>
      <c r="T158" s="0"/>
      <c r="U158" s="0"/>
      <c r="V158" s="0"/>
      <c r="W158" s="0"/>
      <c r="X158" s="0"/>
      <c r="Y158" s="340"/>
      <c r="Z158" s="340"/>
      <c r="AA158" s="0"/>
      <c r="AB158" s="0"/>
      <c r="AC158" s="0"/>
      <c r="AD158" s="0"/>
      <c r="AE158" s="0"/>
      <c r="AF158" s="0"/>
      <c r="AG158" s="0"/>
      <c r="AH158" s="340"/>
      <c r="AI158" s="340"/>
    </row>
    <row r="159" customFormat="false" ht="17.35" hidden="false" customHeight="false" outlineLevel="0" collapsed="false">
      <c r="A159" s="249" t="s">
        <v>52</v>
      </c>
      <c r="B159" s="250"/>
      <c r="C159" s="250"/>
      <c r="D159" s="278"/>
      <c r="E159" s="250"/>
      <c r="F159" s="278"/>
      <c r="G159" s="320" t="str">
        <f aca="false">B114</f>
        <v>199.99</v>
      </c>
      <c r="H159" s="320"/>
      <c r="J159" s="0"/>
      <c r="K159" s="0"/>
      <c r="L159" s="0"/>
      <c r="M159" s="0"/>
      <c r="N159" s="0"/>
      <c r="O159" s="0"/>
      <c r="P159" s="340"/>
      <c r="Q159" s="340"/>
      <c r="R159" s="0"/>
      <c r="S159" s="0"/>
      <c r="T159" s="0"/>
      <c r="U159" s="0"/>
      <c r="V159" s="0"/>
      <c r="W159" s="0"/>
      <c r="X159" s="0"/>
      <c r="Y159" s="340"/>
      <c r="Z159" s="340"/>
      <c r="AA159" s="0"/>
      <c r="AB159" s="0"/>
      <c r="AC159" s="0"/>
      <c r="AD159" s="0"/>
      <c r="AE159" s="0"/>
      <c r="AF159" s="0"/>
      <c r="AG159" s="0"/>
      <c r="AH159" s="340"/>
      <c r="AI159" s="340"/>
    </row>
    <row r="160" customFormat="false" ht="17.35" hidden="false" customHeight="false" outlineLevel="0" collapsed="false">
      <c r="A160" s="221"/>
      <c r="B160" s="331"/>
      <c r="C160" s="331"/>
      <c r="D160" s="331"/>
      <c r="E160" s="236"/>
      <c r="F160" s="236"/>
      <c r="G160" s="236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1"/>
      <c r="B161" s="331"/>
      <c r="C161" s="331"/>
      <c r="D161" s="331"/>
      <c r="E161" s="236"/>
      <c r="F161" s="236"/>
      <c r="G161" s="236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40" t="s">
        <v>247</v>
      </c>
      <c r="B162" s="240"/>
      <c r="C162" s="240"/>
      <c r="D162" s="240"/>
      <c r="E162" s="240"/>
      <c r="F162" s="240"/>
      <c r="G162" s="240"/>
      <c r="H162" s="240"/>
      <c r="J162" s="340"/>
      <c r="K162" s="340"/>
      <c r="L162" s="340"/>
      <c r="M162" s="340"/>
      <c r="N162" s="340"/>
      <c r="O162" s="340"/>
      <c r="P162" s="340"/>
      <c r="Q162" s="340"/>
      <c r="R162" s="0"/>
      <c r="S162" s="340"/>
      <c r="T162" s="340"/>
      <c r="U162" s="340"/>
      <c r="V162" s="340"/>
      <c r="W162" s="340"/>
      <c r="X162" s="340"/>
      <c r="Y162" s="340"/>
      <c r="Z162" s="340"/>
      <c r="AA162" s="0"/>
      <c r="AB162" s="340"/>
      <c r="AC162" s="340"/>
      <c r="AD162" s="340"/>
      <c r="AE162" s="340"/>
      <c r="AF162" s="340"/>
      <c r="AG162" s="340"/>
      <c r="AH162" s="340"/>
      <c r="AI162" s="340"/>
    </row>
    <row r="163" customFormat="false" ht="17.35" hidden="false" customHeight="false" outlineLevel="0" collapsed="false">
      <c r="A163" s="221"/>
      <c r="B163" s="331"/>
      <c r="C163" s="331"/>
      <c r="D163" s="331"/>
      <c r="E163" s="236"/>
      <c r="F163" s="236"/>
      <c r="G163" s="236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1" t="s">
        <v>145</v>
      </c>
      <c r="B164" s="117" t="n">
        <v>0</v>
      </c>
      <c r="C164" s="117"/>
      <c r="D164" s="331"/>
      <c r="E164" s="236"/>
      <c r="F164" s="236"/>
      <c r="G164" s="236"/>
      <c r="H164" s="11"/>
      <c r="J164" s="0"/>
      <c r="K164" s="340"/>
      <c r="L164" s="340"/>
      <c r="M164" s="0"/>
      <c r="N164" s="0"/>
      <c r="O164" s="0"/>
      <c r="P164" s="0"/>
      <c r="Q164" s="0"/>
      <c r="R164" s="0"/>
      <c r="S164" s="0"/>
      <c r="T164" s="340"/>
      <c r="U164" s="340"/>
      <c r="V164" s="0"/>
      <c r="W164" s="0"/>
      <c r="X164" s="0"/>
      <c r="Y164" s="0"/>
      <c r="Z164" s="0"/>
      <c r="AA164" s="0"/>
      <c r="AB164" s="0"/>
      <c r="AC164" s="340"/>
      <c r="AD164" s="340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1"/>
      <c r="B165" s="331"/>
      <c r="C165" s="331"/>
      <c r="D165" s="331"/>
      <c r="E165" s="236"/>
      <c r="F165" s="236"/>
      <c r="G165" s="236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1" t="s">
        <v>248</v>
      </c>
      <c r="B166" s="361" t="s">
        <v>249</v>
      </c>
      <c r="C166" s="361"/>
      <c r="D166" s="361"/>
      <c r="E166" s="361" t="s">
        <v>250</v>
      </c>
      <c r="F166" s="236"/>
      <c r="G166" s="236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3" t="n">
        <f aca="false">B95</f>
        <v>1749.42424196705</v>
      </c>
      <c r="B167" s="214" t="n">
        <f aca="false">B94</f>
        <v>20.5090909090909</v>
      </c>
      <c r="C167" s="361"/>
      <c r="D167" s="361"/>
      <c r="E167" s="214" t="n">
        <f aca="false">B96</f>
        <v>1769.93333287614</v>
      </c>
      <c r="F167" s="236"/>
      <c r="G167" s="236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1"/>
      <c r="B168" s="331"/>
      <c r="C168" s="331"/>
      <c r="D168" s="331"/>
      <c r="E168" s="236"/>
      <c r="F168" s="236"/>
      <c r="G168" s="236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1" t="s">
        <v>81</v>
      </c>
      <c r="B169" s="331" t="s">
        <v>82</v>
      </c>
      <c r="C169" s="331"/>
      <c r="D169" s="236"/>
      <c r="E169" s="331" t="s">
        <v>251</v>
      </c>
      <c r="F169" s="236"/>
      <c r="G169" s="236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4" t="n">
        <f aca="false">K29</f>
        <v>0</v>
      </c>
      <c r="B170" s="118" t="n">
        <f aca="false">K30</f>
        <v>0</v>
      </c>
      <c r="C170" s="362"/>
      <c r="D170" s="236"/>
      <c r="E170" s="60" t="n">
        <f aca="false">IF(A111="YES", A40, 0)</f>
        <v>0</v>
      </c>
      <c r="F170" s="236"/>
      <c r="G170" s="236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1"/>
      <c r="B171" s="331"/>
      <c r="C171" s="331"/>
      <c r="D171" s="236"/>
      <c r="E171" s="331"/>
      <c r="F171" s="236"/>
      <c r="G171" s="236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1" t="s">
        <v>252</v>
      </c>
      <c r="B172" s="331" t="s">
        <v>253</v>
      </c>
      <c r="C172" s="331"/>
      <c r="D172" s="236"/>
      <c r="E172" s="331" t="s">
        <v>254</v>
      </c>
      <c r="F172" s="236"/>
      <c r="G172" s="236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5" t="n">
        <f aca="false">H137</f>
        <v>9480.834</v>
      </c>
      <c r="C173" s="363"/>
      <c r="D173" s="236"/>
      <c r="E173" s="60" t="n">
        <f aca="false">H139+H140</f>
        <v>640</v>
      </c>
      <c r="F173" s="236"/>
      <c r="G173" s="236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1"/>
      <c r="B174" s="331"/>
      <c r="C174" s="331"/>
      <c r="D174" s="236"/>
      <c r="E174" s="331"/>
      <c r="F174" s="236"/>
      <c r="G174" s="236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1" t="s">
        <v>255</v>
      </c>
      <c r="B175" s="331" t="s">
        <v>142</v>
      </c>
      <c r="C175" s="331"/>
      <c r="D175" s="236"/>
      <c r="E175" s="331" t="s">
        <v>231</v>
      </c>
      <c r="F175" s="236"/>
      <c r="G175" s="236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5" t="n">
        <f aca="false">B111</f>
        <v>0</v>
      </c>
      <c r="C176" s="215"/>
      <c r="D176" s="236"/>
      <c r="E176" s="215" t="n">
        <f aca="false">E111</f>
        <v>0</v>
      </c>
      <c r="F176" s="236"/>
      <c r="G176" s="236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1"/>
      <c r="B177" s="331"/>
      <c r="C177" s="331"/>
      <c r="D177" s="236"/>
      <c r="E177" s="331"/>
      <c r="F177" s="236"/>
      <c r="G177" s="236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1" t="s">
        <v>232</v>
      </c>
      <c r="B178" s="331" t="s">
        <v>138</v>
      </c>
      <c r="C178" s="331"/>
      <c r="D178" s="236"/>
      <c r="E178" s="331" t="s">
        <v>246</v>
      </c>
      <c r="F178" s="236"/>
      <c r="G178" s="236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5" t="n">
        <f aca="false">G154</f>
        <v>0</v>
      </c>
      <c r="C179" s="215"/>
      <c r="D179" s="236"/>
      <c r="E179" s="215" t="n">
        <f aca="false">A176-A179-B179</f>
        <v>57525.004</v>
      </c>
      <c r="F179" s="236"/>
      <c r="G179" s="236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1"/>
      <c r="B180" s="331"/>
      <c r="C180" s="331"/>
      <c r="D180" s="236"/>
      <c r="E180" s="331"/>
      <c r="F180" s="236"/>
      <c r="G180" s="236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1" t="s">
        <v>256</v>
      </c>
      <c r="B181" s="331" t="s">
        <v>52</v>
      </c>
      <c r="C181" s="331"/>
      <c r="D181" s="236"/>
      <c r="E181" s="331" t="s">
        <v>257</v>
      </c>
      <c r="F181" s="236"/>
      <c r="G181" s="236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5" t="str">
        <f aca="false">B114</f>
        <v>199.99</v>
      </c>
      <c r="C182" s="215"/>
      <c r="D182" s="236"/>
      <c r="E182" s="215" t="n">
        <f aca="false">E179+A182+B182+A185</f>
        <v>58234.994</v>
      </c>
      <c r="F182" s="236"/>
      <c r="G182" s="236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1" t="n">
        <v>3</v>
      </c>
      <c r="B183" s="331"/>
      <c r="C183" s="331"/>
      <c r="D183" s="236"/>
      <c r="E183" s="331"/>
      <c r="F183" s="236"/>
      <c r="G183" s="236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1" t="s">
        <v>258</v>
      </c>
      <c r="B184" s="331" t="s">
        <v>259</v>
      </c>
      <c r="C184" s="331"/>
      <c r="D184" s="236"/>
      <c r="E184" s="331" t="s">
        <v>260</v>
      </c>
      <c r="F184" s="236"/>
      <c r="G184" s="236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5" t="n">
        <f aca="false">A179+B182</f>
        <v>199.99</v>
      </c>
      <c r="C185" s="215"/>
      <c r="D185" s="236"/>
      <c r="E185" s="215" t="n">
        <f aca="false">E170+A185</f>
        <v>10</v>
      </c>
      <c r="F185" s="236"/>
      <c r="G185" s="236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1"/>
      <c r="B186" s="331"/>
      <c r="C186" s="331"/>
      <c r="D186" s="331"/>
      <c r="E186" s="236"/>
      <c r="F186" s="236"/>
      <c r="G186" s="236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1" t="s">
        <v>261</v>
      </c>
      <c r="B187" s="331" t="s">
        <v>262</v>
      </c>
      <c r="C187" s="331"/>
      <c r="D187" s="331"/>
      <c r="E187" s="210" t="s">
        <v>263</v>
      </c>
      <c r="F187" s="236"/>
      <c r="G187" s="236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5" t="n">
        <f aca="false">(G158*B67)</f>
        <v>143.81251</v>
      </c>
      <c r="C188" s="331"/>
      <c r="D188" s="331"/>
      <c r="E188" s="215" t="n">
        <f aca="false">(E40*A108)*0.1</f>
        <v>0</v>
      </c>
      <c r="F188" s="236"/>
      <c r="G188" s="236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5"/>
      <c r="C189" s="331"/>
      <c r="D189" s="331"/>
      <c r="E189" s="236"/>
      <c r="F189" s="236"/>
      <c r="G189" s="236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10" t="s">
        <v>265</v>
      </c>
      <c r="C190" s="331"/>
      <c r="D190" s="331"/>
      <c r="E190" s="210" t="s">
        <v>266</v>
      </c>
      <c r="F190" s="236"/>
      <c r="G190" s="236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5" t="n">
        <f aca="false">B188+E188+A191</f>
        <v>243.80251</v>
      </c>
      <c r="C191" s="331"/>
      <c r="D191" s="331"/>
      <c r="E191" s="215" t="n">
        <f aca="false">H148</f>
        <v>-833.33</v>
      </c>
      <c r="F191" s="236"/>
      <c r="G191" s="236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1"/>
      <c r="B192" s="331"/>
      <c r="C192" s="331"/>
      <c r="D192" s="331"/>
      <c r="E192" s="236"/>
      <c r="F192" s="236"/>
      <c r="G192" s="236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4" t="s">
        <v>267</v>
      </c>
      <c r="B193" s="331"/>
      <c r="C193" s="331"/>
      <c r="D193" s="255"/>
      <c r="E193" s="255"/>
      <c r="F193" s="255"/>
      <c r="G193" s="255"/>
      <c r="H193" s="256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1"/>
      <c r="B194" s="257"/>
      <c r="C194" s="257"/>
      <c r="D194" s="331"/>
      <c r="E194" s="236"/>
      <c r="F194" s="236"/>
      <c r="G194" s="236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6" t="s">
        <v>81</v>
      </c>
      <c r="B195" s="259" t="s">
        <v>82</v>
      </c>
      <c r="C195" s="259"/>
      <c r="D195" s="259"/>
      <c r="E195" s="236"/>
      <c r="F195" s="236"/>
      <c r="G195" s="236"/>
      <c r="H195" s="11"/>
      <c r="J195" s="340"/>
      <c r="K195" s="340"/>
      <c r="L195" s="340"/>
      <c r="M195" s="340"/>
      <c r="N195" s="0"/>
      <c r="O195" s="0"/>
      <c r="P195" s="0"/>
      <c r="Q195" s="0"/>
      <c r="R195" s="0"/>
      <c r="S195" s="340"/>
      <c r="T195" s="340"/>
      <c r="U195" s="340"/>
      <c r="V195" s="340"/>
      <c r="W195" s="0"/>
      <c r="X195" s="0"/>
      <c r="Y195" s="0"/>
      <c r="Z195" s="0"/>
      <c r="AA195" s="0"/>
      <c r="AB195" s="340"/>
      <c r="AC195" s="340"/>
      <c r="AD195" s="340"/>
      <c r="AE195" s="340"/>
      <c r="AF195" s="0"/>
      <c r="AG195" s="0"/>
      <c r="AH195" s="0"/>
      <c r="AI195" s="0"/>
    </row>
    <row r="196" customFormat="false" ht="19.5" hidden="false" customHeight="true" outlineLevel="0" collapsed="false">
      <c r="A196" s="326"/>
      <c r="B196" s="260" t="n">
        <f aca="false">K30</f>
        <v>0</v>
      </c>
      <c r="C196" s="260"/>
      <c r="D196" s="260"/>
      <c r="E196" s="236"/>
      <c r="F196" s="236"/>
      <c r="G196" s="236"/>
      <c r="H196" s="11"/>
      <c r="J196" s="340"/>
      <c r="K196" s="340"/>
      <c r="L196" s="340"/>
      <c r="M196" s="340"/>
      <c r="N196" s="0"/>
      <c r="O196" s="0"/>
      <c r="P196" s="0"/>
      <c r="Q196" s="0"/>
      <c r="R196" s="0"/>
      <c r="S196" s="340"/>
      <c r="T196" s="340"/>
      <c r="U196" s="340"/>
      <c r="V196" s="340"/>
      <c r="W196" s="0"/>
      <c r="X196" s="0"/>
      <c r="Y196" s="0"/>
      <c r="Z196" s="0"/>
      <c r="AA196" s="0"/>
      <c r="AB196" s="340"/>
      <c r="AC196" s="340"/>
      <c r="AD196" s="340"/>
      <c r="AE196" s="340"/>
      <c r="AF196" s="0"/>
      <c r="AG196" s="0"/>
      <c r="AH196" s="0"/>
      <c r="AI196" s="0"/>
    </row>
    <row r="197" customFormat="false" ht="17.35" hidden="false" customHeight="false" outlineLevel="0" collapsed="false">
      <c r="A197" s="261" t="n">
        <f aca="false">K29</f>
        <v>0</v>
      </c>
      <c r="B197" s="75" t="n">
        <f aca="false">B96</f>
        <v>1769.93333287614</v>
      </c>
      <c r="C197" s="75"/>
      <c r="D197" s="75"/>
      <c r="E197" s="236"/>
      <c r="F197" s="236"/>
      <c r="G197" s="236"/>
      <c r="H197" s="11"/>
      <c r="J197" s="0"/>
      <c r="K197" s="340"/>
      <c r="L197" s="340"/>
      <c r="M197" s="340"/>
      <c r="N197" s="0"/>
      <c r="O197" s="0"/>
      <c r="P197" s="0"/>
      <c r="Q197" s="0"/>
      <c r="R197" s="0"/>
      <c r="S197" s="0"/>
      <c r="T197" s="340"/>
      <c r="U197" s="340"/>
      <c r="V197" s="340"/>
      <c r="W197" s="0"/>
      <c r="X197" s="0"/>
      <c r="Y197" s="0"/>
      <c r="Z197" s="0"/>
      <c r="AA197" s="0"/>
      <c r="AB197" s="0"/>
      <c r="AC197" s="340"/>
      <c r="AD197" s="340"/>
      <c r="AE197" s="340"/>
      <c r="AF197" s="0"/>
      <c r="AG197" s="0"/>
      <c r="AH197" s="0"/>
      <c r="AI197" s="0"/>
    </row>
    <row r="198" customFormat="false" ht="17.35" hidden="false" customHeight="false" outlineLevel="0" collapsed="false">
      <c r="A198" s="221"/>
      <c r="B198" s="331"/>
      <c r="C198" s="331"/>
      <c r="D198" s="331"/>
      <c r="E198" s="236"/>
      <c r="F198" s="236"/>
      <c r="G198" s="236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1"/>
      <c r="B199" s="331"/>
      <c r="C199" s="331"/>
      <c r="D199" s="331"/>
      <c r="E199" s="236"/>
      <c r="F199" s="236"/>
      <c r="G199" s="236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1"/>
      <c r="B200" s="331"/>
      <c r="C200" s="331"/>
      <c r="D200" s="331"/>
      <c r="E200" s="236"/>
      <c r="F200" s="236"/>
      <c r="G200" s="236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1"/>
      <c r="B201" s="331"/>
      <c r="C201" s="331"/>
      <c r="D201" s="331"/>
      <c r="E201" s="236"/>
      <c r="F201" s="236"/>
      <c r="G201" s="236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9"/>
      <c r="B202" s="250"/>
      <c r="C202" s="250"/>
      <c r="D202" s="250"/>
      <c r="E202" s="250"/>
      <c r="F202" s="250"/>
      <c r="G202" s="250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65" activeCellId="0" sqref="B65"/>
    </sheetView>
  </sheetViews>
  <sheetFormatPr defaultColWidth="10.878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139" t="n">
        <v>46854.17</v>
      </c>
      <c r="C3" s="139" t="n">
        <v>0</v>
      </c>
      <c r="D3" s="139" t="n">
        <v>833.33</v>
      </c>
      <c r="E3" s="140" t="n">
        <v>0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7" t="n">
        <f aca="false">B7+C7+D7+E3</f>
        <v>47687.5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(E9+E10)*20%</f>
        <v>9647.5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8" t="n">
        <f aca="false">(E9+E10+E13+E14+E11)-E12</f>
        <v>58525</v>
      </c>
      <c r="F15" s="135"/>
      <c r="G15" s="149" t="n">
        <f aca="false">E15</f>
        <v>58525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/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7.35" hidden="false" customHeight="fals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IF(A32=Y103,1,IF(A32=Y104,1,IF(A32=Y105,3,IF(A32=Y106,6,IF(A32=Y107,9,IF(A32=Y108,12,IF(A32=Y109,3,IF(A32=Y110,6,IF(A32=Y111,9,0)))))))))</f>
        <v>0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IF(A32=Y103,H29-H37,IF(A32=Y104,H29-H37,IF(A32=Y105,H29-1,IF(A32=Y106,H29-1,IF(A32=Y107,H29-1,IF(A32=Y108,H29-1,IF(A32=Y109,H29-H37,IF(A32=Y110,H29-H37,IF(A32=Y111,H29-H37,0)))))))))</f>
        <v>0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12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str">
        <f aca="false">IF(A32=Z103,A41,IF(A32=Z104,A41,IF(A32=Z105,(A41*3),IF(A32=Z106,(A41*6),IF(A32=Z107,(A41*9),IF(A32=Z108,(A41*12),IF(A32=Z109,A41,IF(A32=Z110,A41,IF(A32=Z111,A41,0)))))))))</f>
        <v>5.28</v>
      </c>
      <c r="E32" s="159"/>
      <c r="F32" s="135"/>
      <c r="G32" s="160" t="s">
        <v>177</v>
      </c>
      <c r="H32" s="158" t="str">
        <f aca="false">A41</f>
        <v>5.28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18.75" hidden="false" customHeight="tru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n">
        <f aca="false">D41</f>
        <v>6000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12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59" t="n">
        <f aca="false">B32+D32</f>
        <v>505.28</v>
      </c>
      <c r="B35" s="37" t="s">
        <v>44</v>
      </c>
      <c r="C35" s="37"/>
      <c r="D35" s="37" t="s">
        <v>45</v>
      </c>
      <c r="E35" s="37"/>
      <c r="F35" s="135"/>
      <c r="G35" s="162"/>
      <c r="H35" s="163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38"/>
      <c r="B36" s="145"/>
      <c r="C36" s="145"/>
      <c r="D36" s="145"/>
      <c r="E36" s="146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64" t="n">
        <f aca="false">(B35/12)*D35</f>
        <v>5000</v>
      </c>
      <c r="B38" s="37" t="s">
        <v>25</v>
      </c>
      <c r="C38" s="37"/>
      <c r="D38" s="42" t="s">
        <v>55</v>
      </c>
      <c r="E38" s="42"/>
      <c r="F38" s="135"/>
      <c r="G38" s="135"/>
      <c r="H38" s="135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57"/>
      <c r="B39" s="45"/>
      <c r="C39" s="45"/>
      <c r="D39" s="145"/>
      <c r="E39" s="146"/>
      <c r="F39" s="135"/>
      <c r="G39" s="135"/>
      <c r="H39" s="165"/>
      <c r="I39" s="165"/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16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42" t="s">
        <v>276</v>
      </c>
      <c r="B41" s="55" t="n">
        <f aca="false">IF(B38="YES", D38+A41, D38)</f>
        <v>505.28</v>
      </c>
      <c r="C41" s="55"/>
      <c r="D41" s="166" t="n">
        <v>6000</v>
      </c>
      <c r="E41" s="166"/>
      <c r="F41" s="135"/>
      <c r="G41" s="135"/>
      <c r="H41" s="167"/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501</v>
      </c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42" t="s">
        <v>44</v>
      </c>
      <c r="B44" s="166" t="n">
        <v>0</v>
      </c>
      <c r="C44" s="166"/>
      <c r="D44" s="166" t="n">
        <v>0</v>
      </c>
      <c r="E44" s="166"/>
      <c r="F44" s="135"/>
      <c r="G44" s="135" t="s">
        <v>185</v>
      </c>
      <c r="H44" s="165" t="str">
        <f aca="false">H32</f>
        <v>5.28</v>
      </c>
      <c r="I44" s="62" t="n">
        <f aca="false">((A41*(B35-1))+D32)/B35</f>
        <v>5.28</v>
      </c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506.28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501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70" t="n">
        <v>0</v>
      </c>
      <c r="B47" s="171" t="n">
        <v>0</v>
      </c>
      <c r="C47" s="171"/>
      <c r="D47" s="166" t="n">
        <v>0</v>
      </c>
      <c r="E47" s="166"/>
      <c r="F47" s="135"/>
      <c r="G47" s="135"/>
      <c r="H47" s="165"/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5"/>
      <c r="G48" s="135"/>
      <c r="H48" s="165"/>
      <c r="I48" s="16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5"/>
      <c r="G49" s="135"/>
      <c r="H49" s="165"/>
      <c r="I49" s="16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B50" s="45"/>
      <c r="C50" s="45"/>
      <c r="D50" s="45"/>
      <c r="E50" s="61"/>
      <c r="F50" s="135"/>
      <c r="G50" s="135"/>
      <c r="H50" s="16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5"/>
      <c r="G51" s="135"/>
      <c r="H51" s="165"/>
      <c r="I51" s="16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5"/>
      <c r="G52" s="135"/>
      <c r="H52" s="165"/>
      <c r="I52" s="16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5"/>
      <c r="G53" s="135"/>
      <c r="H53" s="165"/>
      <c r="I53" s="16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2" t="s">
        <v>73</v>
      </c>
      <c r="B54" s="145"/>
      <c r="C54" s="145"/>
      <c r="D54" s="173"/>
      <c r="E54" s="174"/>
      <c r="F54" s="135"/>
      <c r="G54" s="135"/>
      <c r="H54" s="165"/>
      <c r="I54" s="16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38"/>
      <c r="B55" s="175"/>
      <c r="C55" s="175"/>
      <c r="D55" s="145"/>
      <c r="E55" s="146"/>
      <c r="F55" s="135"/>
      <c r="G55" s="135"/>
      <c r="H55" s="176"/>
      <c r="I55" s="16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5"/>
      <c r="E56" s="146"/>
      <c r="F56" s="135"/>
      <c r="G56" s="135"/>
      <c r="H56" s="135"/>
      <c r="I56" s="16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5"/>
      <c r="E57" s="146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506.28</v>
      </c>
      <c r="C58" s="75"/>
      <c r="D58" s="145"/>
      <c r="E58" s="146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77"/>
      <c r="B60" s="178"/>
      <c r="C60" s="178"/>
      <c r="D60" s="178"/>
      <c r="E60" s="179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45"/>
      <c r="B61" s="145"/>
      <c r="C61" s="145"/>
      <c r="D61" s="145"/>
      <c r="E61" s="145"/>
      <c r="F61" s="135"/>
      <c r="G61" s="145"/>
      <c r="H61" s="145"/>
      <c r="I61" s="145"/>
      <c r="J61" s="145"/>
      <c r="K61" s="145"/>
      <c r="L61" s="135"/>
      <c r="M61" s="145"/>
      <c r="N61" s="145"/>
      <c r="O61" s="145"/>
      <c r="P61" s="145"/>
      <c r="Q61" s="145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0"/>
      <c r="B62" s="181"/>
      <c r="C62" s="181"/>
      <c r="D62" s="181"/>
      <c r="E62" s="182"/>
      <c r="F62" s="135"/>
      <c r="G62" s="180"/>
      <c r="H62" s="181"/>
      <c r="I62" s="181"/>
      <c r="J62" s="181"/>
      <c r="K62" s="182"/>
      <c r="L62" s="135"/>
      <c r="M62" s="180"/>
      <c r="N62" s="181"/>
      <c r="O62" s="181"/>
      <c r="P62" s="181"/>
      <c r="Q62" s="182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83</v>
      </c>
      <c r="B63" s="145" t="n">
        <f aca="false">IF(B105=Z103,1,IF(B105=Z104,1,IF(B105=Z105,3,IF(B105=Z106,6,IF(B105=Z107,9,IF(B105=Z108,12,IF(B105=Z109,3,IF(B105=Z110,6,IF(B105=Z111,9,0)))))))))</f>
        <v>9</v>
      </c>
      <c r="C63" s="145"/>
      <c r="D63" s="145"/>
      <c r="E63" s="146"/>
      <c r="F63" s="135"/>
      <c r="G63" s="138" t="s">
        <v>83</v>
      </c>
      <c r="H63" s="145" t="n">
        <f aca="false">IF(H105=Y103,1,IF(H105=Y104,1,IF(H105=Y105,3,IF(H105=Y106,6,IF(H105=Y107,9,IF(H105=Y108,12,IF(H105=Y109,3,IF(H105=Y110,6,IF(H105=Y111,9,0)))))))))</f>
        <v>0</v>
      </c>
      <c r="I63" s="145"/>
      <c r="J63" s="145"/>
      <c r="K63" s="146"/>
      <c r="L63" s="135"/>
      <c r="M63" s="138" t="s">
        <v>83</v>
      </c>
      <c r="N63" s="145" t="n">
        <f aca="false">IF(N105=Y103,1,IF(N105=Y104,1,IF(N105=Y105,3,IF(N105=Y106,6,IF(N105=Y107,9,IF(N105=Y108,12,IF(N105=Y109,3,IF(N105=Y110,6,IF(N105=Y111,9,0)))))))))</f>
        <v>0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38" t="s">
        <v>84</v>
      </c>
      <c r="B64" s="145" t="n">
        <f aca="false">IF(B105=Z103,H29-B63,IF(B105=Z104,H29-B63,IF(B105=Z105,H29-1,IF(B105=Z106,H29-1,IF(B105=Z107,H29-1,IF(B105=Z108,H29-1,IF(B105=Z109,H29-B63,IF(B105=Z110,H29-B63,IF(B105=Z111,H29-B63,0)))))))))</f>
        <v>3</v>
      </c>
      <c r="C64" s="145"/>
      <c r="D64" s="145"/>
      <c r="E64" s="146"/>
      <c r="F64" s="135"/>
      <c r="G64" s="138" t="s">
        <v>84</v>
      </c>
      <c r="H64" s="145" t="n">
        <f aca="false">IF(H105=Y103,H29-H63,IF(H105=Y104,H29-H63,IF(H105=Y105,H29-1,IF(H105=Y106,H29-1,IF(H105=Y107,H29-1,IF(H105=Y108,H29-1,IF(H105=Y109,H29-H63,IF(H105=Y110,H29-H63,IF(H105=Y111,H29-H63,0)))))))))</f>
        <v>0</v>
      </c>
      <c r="I64" s="145"/>
      <c r="J64" s="145"/>
      <c r="K64" s="146"/>
      <c r="L64" s="135"/>
      <c r="M64" s="138" t="s">
        <v>84</v>
      </c>
      <c r="N64" s="145" t="n">
        <f aca="false">IF(N105=Y103,H29-N63,IF(N105=Y104,H29-N63,IF(N105=Y105,H29-1,IF(N105=Y106,H29-1,IF(N105=Y107,H29-1,IF(N105=Y108,H29-1,IF(N105=Y109,H29-N63,IF(N105=Y110,H29-N63,IF(N105=Y111,H29-N63,0)))))))))</f>
        <v>0</v>
      </c>
      <c r="O64" s="145"/>
      <c r="P64" s="145"/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38"/>
      <c r="B65" s="145"/>
      <c r="C65" s="145"/>
      <c r="D65" s="145"/>
      <c r="E65" s="146"/>
      <c r="F65" s="135"/>
      <c r="G65" s="138"/>
      <c r="H65" s="145"/>
      <c r="I65" s="145"/>
      <c r="J65" s="145"/>
      <c r="K65" s="146"/>
      <c r="L65" s="135"/>
      <c r="M65" s="138"/>
      <c r="N65" s="145"/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/>
      <c r="B66" s="145"/>
      <c r="C66" s="145"/>
      <c r="D66" s="145"/>
      <c r="E66" s="146"/>
      <c r="F66" s="135"/>
      <c r="G66" s="138"/>
      <c r="H66" s="145"/>
      <c r="I66" s="145"/>
      <c r="J66" s="145"/>
      <c r="K66" s="146"/>
      <c r="L66" s="135"/>
      <c r="M66" s="138"/>
      <c r="N66" s="145"/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38" t="s">
        <v>21</v>
      </c>
      <c r="B67" s="144" t="n">
        <f aca="false">G18</f>
        <v>57885</v>
      </c>
      <c r="C67" s="145"/>
      <c r="D67" s="145"/>
      <c r="E67" s="146"/>
      <c r="F67" s="135"/>
      <c r="G67" s="138" t="s">
        <v>21</v>
      </c>
      <c r="H67" s="144" t="n">
        <f aca="false">G18</f>
        <v>57885</v>
      </c>
      <c r="I67" s="145"/>
      <c r="J67" s="145"/>
      <c r="K67" s="146"/>
      <c r="L67" s="135"/>
      <c r="M67" s="138" t="s">
        <v>21</v>
      </c>
      <c r="N67" s="144" t="n">
        <f aca="false">G18</f>
        <v>57885</v>
      </c>
      <c r="O67" s="145"/>
      <c r="P67" s="145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85</v>
      </c>
      <c r="B68" s="184" t="n">
        <v>0.07</v>
      </c>
      <c r="C68" s="145"/>
      <c r="D68" s="145"/>
      <c r="E68" s="146"/>
      <c r="F68" s="135"/>
      <c r="G68" s="183" t="s">
        <v>85</v>
      </c>
      <c r="H68" s="184" t="n">
        <v>0.07</v>
      </c>
      <c r="I68" s="145"/>
      <c r="J68" s="145"/>
      <c r="K68" s="146"/>
      <c r="L68" s="135"/>
      <c r="M68" s="183" t="s">
        <v>85</v>
      </c>
      <c r="N68" s="184" t="n">
        <v>0.07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8" t="s">
        <v>86</v>
      </c>
      <c r="B69" s="142" t="n">
        <f aca="false">B68+(B68*0.25*(H29/12-1))</f>
        <v>0.07</v>
      </c>
      <c r="C69" s="145"/>
      <c r="D69" s="145"/>
      <c r="E69" s="146"/>
      <c r="F69" s="135"/>
      <c r="G69" s="138" t="s">
        <v>86</v>
      </c>
      <c r="H69" s="142" t="n">
        <f aca="false">H68+(H68*0.25*(H29/12-1))</f>
        <v>0.07</v>
      </c>
      <c r="I69" s="145"/>
      <c r="J69" s="145"/>
      <c r="K69" s="146"/>
      <c r="L69" s="135"/>
      <c r="M69" s="138" t="s">
        <v>86</v>
      </c>
      <c r="N69" s="142" t="n">
        <f aca="false">N68+(N68*0.25*(H29/12-1))</f>
        <v>0.07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87</v>
      </c>
      <c r="B70" s="185" t="n">
        <f aca="false">B67*B69</f>
        <v>4051.95</v>
      </c>
      <c r="C70" s="145"/>
      <c r="D70" s="144" t="n">
        <f aca="false">B70-A151</f>
        <v>4051.95</v>
      </c>
      <c r="E70" s="146" t="n">
        <f aca="false">D70/12</f>
        <v>337.6625</v>
      </c>
      <c r="F70" s="135"/>
      <c r="G70" s="177" t="s">
        <v>87</v>
      </c>
      <c r="H70" s="185" t="n">
        <f aca="false">H67*H69</f>
        <v>4051.95</v>
      </c>
      <c r="I70" s="145"/>
      <c r="J70" s="144" t="n">
        <f aca="false">H70-G151</f>
        <v>4051.95</v>
      </c>
      <c r="K70" s="146"/>
      <c r="L70" s="135"/>
      <c r="M70" s="177" t="s">
        <v>87</v>
      </c>
      <c r="N70" s="185" t="n">
        <f aca="false">N67*N69</f>
        <v>4051.95</v>
      </c>
      <c r="O70" s="145"/>
      <c r="P70" s="144" t="n">
        <f aca="false">N70-M151</f>
        <v>4051.95</v>
      </c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88</v>
      </c>
      <c r="B71" s="184" t="n">
        <v>0.01</v>
      </c>
      <c r="C71" s="145"/>
      <c r="D71" s="145"/>
      <c r="E71" s="146"/>
      <c r="F71" s="135"/>
      <c r="G71" s="183" t="s">
        <v>88</v>
      </c>
      <c r="H71" s="184" t="n">
        <v>0.005</v>
      </c>
      <c r="I71" s="145"/>
      <c r="J71" s="145"/>
      <c r="K71" s="146"/>
      <c r="L71" s="135"/>
      <c r="M71" s="183" t="s">
        <v>88</v>
      </c>
      <c r="N71" s="184" t="n">
        <v>0.005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8" t="s">
        <v>89</v>
      </c>
      <c r="B72" s="142" t="n">
        <f aca="false">B71+(B71*0.5*(H29/12-1))</f>
        <v>0.01</v>
      </c>
      <c r="C72" s="145"/>
      <c r="D72" s="145"/>
      <c r="E72" s="146"/>
      <c r="F72" s="135"/>
      <c r="G72" s="138" t="s">
        <v>89</v>
      </c>
      <c r="H72" s="142" t="n">
        <f aca="false">H71+(H71*0.5*(H29/12-1))</f>
        <v>0.005</v>
      </c>
      <c r="I72" s="145"/>
      <c r="J72" s="145"/>
      <c r="K72" s="146"/>
      <c r="L72" s="135"/>
      <c r="M72" s="138" t="s">
        <v>89</v>
      </c>
      <c r="N72" s="142" t="n">
        <f aca="false">N71+(N71*0.5*(H29/12-1))</f>
        <v>0.005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90</v>
      </c>
      <c r="B73" s="185" t="n">
        <f aca="false">B67*B72</f>
        <v>578.85</v>
      </c>
      <c r="C73" s="145"/>
      <c r="D73" s="144"/>
      <c r="E73" s="146"/>
      <c r="F73" s="135"/>
      <c r="G73" s="177" t="s">
        <v>90</v>
      </c>
      <c r="H73" s="185" t="n">
        <f aca="false">H67*H72</f>
        <v>289.425</v>
      </c>
      <c r="I73" s="145"/>
      <c r="J73" s="144"/>
      <c r="K73" s="146"/>
      <c r="L73" s="135"/>
      <c r="M73" s="177" t="s">
        <v>90</v>
      </c>
      <c r="N73" s="185" t="n">
        <f aca="false">N67*N72</f>
        <v>289.425</v>
      </c>
      <c r="O73" s="145"/>
      <c r="P73" s="144"/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91</v>
      </c>
      <c r="B74" s="184" t="n">
        <v>0.0075</v>
      </c>
      <c r="C74" s="145"/>
      <c r="D74" s="145"/>
      <c r="E74" s="146"/>
      <c r="F74" s="135"/>
      <c r="G74" s="183" t="s">
        <v>91</v>
      </c>
      <c r="H74" s="184" t="n">
        <v>0.0075</v>
      </c>
      <c r="I74" s="145"/>
      <c r="J74" s="145"/>
      <c r="K74" s="146"/>
      <c r="L74" s="135"/>
      <c r="M74" s="183" t="s">
        <v>91</v>
      </c>
      <c r="N74" s="184" t="n">
        <v>0.0075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92</v>
      </c>
      <c r="B75" s="186" t="n">
        <v>0.12</v>
      </c>
      <c r="C75" s="145"/>
      <c r="D75" s="145"/>
      <c r="E75" s="146"/>
      <c r="F75" s="135"/>
      <c r="G75" s="136" t="s">
        <v>92</v>
      </c>
      <c r="H75" s="186" t="n">
        <v>0.12</v>
      </c>
      <c r="I75" s="145"/>
      <c r="J75" s="145"/>
      <c r="K75" s="146"/>
      <c r="L75" s="135"/>
      <c r="M75" s="136" t="s">
        <v>92</v>
      </c>
      <c r="N75" s="186" t="n">
        <v>0.12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93</v>
      </c>
      <c r="B76" s="187" t="n">
        <f aca="false">B74*(1+B75)</f>
        <v>0.0084</v>
      </c>
      <c r="C76" s="145"/>
      <c r="D76" s="145"/>
      <c r="E76" s="146"/>
      <c r="F76" s="135"/>
      <c r="G76" s="177" t="s">
        <v>93</v>
      </c>
      <c r="H76" s="187" t="n">
        <f aca="false">H74*(1+H75)</f>
        <v>0.0084</v>
      </c>
      <c r="I76" s="145"/>
      <c r="J76" s="145"/>
      <c r="K76" s="146"/>
      <c r="L76" s="135"/>
      <c r="M76" s="177" t="s">
        <v>93</v>
      </c>
      <c r="N76" s="187" t="n">
        <f aca="false">N74*(1+N75)</f>
        <v>0.0084</v>
      </c>
      <c r="O76" s="145"/>
      <c r="P76" s="145"/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94</v>
      </c>
      <c r="B77" s="188" t="n">
        <v>200</v>
      </c>
      <c r="C77" s="145"/>
      <c r="D77" s="145"/>
      <c r="E77" s="146"/>
      <c r="F77" s="135"/>
      <c r="G77" s="183" t="s">
        <v>94</v>
      </c>
      <c r="H77" s="188" t="n">
        <v>160</v>
      </c>
      <c r="I77" s="145"/>
      <c r="J77" s="145"/>
      <c r="K77" s="146"/>
      <c r="L77" s="135"/>
      <c r="M77" s="183" t="s">
        <v>94</v>
      </c>
      <c r="N77" s="188" t="n">
        <v>160</v>
      </c>
      <c r="O77" s="145"/>
      <c r="P77" s="145"/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6" t="s">
        <v>95</v>
      </c>
      <c r="B78" s="189" t="n">
        <v>5</v>
      </c>
      <c r="C78" s="145"/>
      <c r="D78" s="145"/>
      <c r="E78" s="146"/>
      <c r="F78" s="135"/>
      <c r="G78" s="136" t="s">
        <v>95</v>
      </c>
      <c r="H78" s="189" t="n">
        <v>4.5</v>
      </c>
      <c r="I78" s="145"/>
      <c r="J78" s="145"/>
      <c r="K78" s="146"/>
      <c r="L78" s="135"/>
      <c r="M78" s="136" t="s">
        <v>95</v>
      </c>
      <c r="N78" s="189" t="n">
        <v>4.5</v>
      </c>
      <c r="O78" s="145"/>
      <c r="P78" s="145"/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77" t="s">
        <v>96</v>
      </c>
      <c r="B79" s="185" t="n">
        <f aca="false">B78*H29</f>
        <v>60</v>
      </c>
      <c r="C79" s="145"/>
      <c r="D79" s="144" t="n">
        <f aca="false">B79+B77</f>
        <v>260</v>
      </c>
      <c r="E79" s="190" t="n">
        <f aca="false">D79+D85+D86</f>
        <v>660</v>
      </c>
      <c r="F79" s="135"/>
      <c r="G79" s="177" t="s">
        <v>96</v>
      </c>
      <c r="H79" s="185" t="n">
        <f aca="false">H78*H29</f>
        <v>54</v>
      </c>
      <c r="I79" s="145"/>
      <c r="J79" s="144" t="n">
        <f aca="false">H79+H77</f>
        <v>214</v>
      </c>
      <c r="K79" s="146"/>
      <c r="L79" s="135"/>
      <c r="M79" s="177" t="s">
        <v>96</v>
      </c>
      <c r="N79" s="185" t="n">
        <f aca="false">N78*H29</f>
        <v>54</v>
      </c>
      <c r="O79" s="145"/>
      <c r="P79" s="144" t="n">
        <f aca="false">N79+N77</f>
        <v>214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91" t="s">
        <v>97</v>
      </c>
      <c r="B80" s="192" t="n">
        <v>0</v>
      </c>
      <c r="C80" s="145"/>
      <c r="D80" s="145"/>
      <c r="E80" s="190" t="n">
        <f aca="false">E79+D82</f>
        <v>660</v>
      </c>
      <c r="F80" s="135"/>
      <c r="G80" s="183" t="s">
        <v>97</v>
      </c>
      <c r="H80" s="188" t="n">
        <v>150</v>
      </c>
      <c r="I80" s="145"/>
      <c r="J80" s="145"/>
      <c r="K80" s="146"/>
      <c r="L80" s="135"/>
      <c r="M80" s="191" t="s">
        <v>97</v>
      </c>
      <c r="N80" s="192" t="n">
        <v>0</v>
      </c>
      <c r="O80" s="145"/>
      <c r="P80" s="145"/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93" t="s">
        <v>98</v>
      </c>
      <c r="B81" s="194" t="n">
        <v>0</v>
      </c>
      <c r="C81" s="145"/>
      <c r="D81" s="145"/>
      <c r="E81" s="146" t="n">
        <f aca="false">E80/12</f>
        <v>55</v>
      </c>
      <c r="F81" s="135"/>
      <c r="G81" s="136" t="s">
        <v>98</v>
      </c>
      <c r="H81" s="189" t="n">
        <f aca="false">IF(G18&gt;40000, 325, 0)</f>
        <v>325</v>
      </c>
      <c r="I81" s="145"/>
      <c r="J81" s="145"/>
      <c r="K81" s="146"/>
      <c r="L81" s="135"/>
      <c r="M81" s="193" t="s">
        <v>98</v>
      </c>
      <c r="N81" s="194" t="n">
        <v>0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77" t="s">
        <v>99</v>
      </c>
      <c r="B82" s="185" t="n">
        <f aca="false">((B80+B81)/12)*(H29-11)</f>
        <v>0</v>
      </c>
      <c r="C82" s="145"/>
      <c r="D82" s="144" t="n">
        <f aca="false">IF(A50="YES", 0, B82)</f>
        <v>0</v>
      </c>
      <c r="E82" s="146"/>
      <c r="F82" s="135"/>
      <c r="G82" s="177" t="s">
        <v>99</v>
      </c>
      <c r="H82" s="185" t="n">
        <f aca="false">((H80+H81)/12)*(H29-11)</f>
        <v>39.5833333333333</v>
      </c>
      <c r="I82" s="145"/>
      <c r="J82" s="144" t="n">
        <f aca="false">IF(A50="YES", 0, H82)</f>
        <v>39.5833333333333</v>
      </c>
      <c r="K82" s="146"/>
      <c r="L82" s="135"/>
      <c r="M82" s="195" t="s">
        <v>99</v>
      </c>
      <c r="N82" s="196" t="n">
        <f aca="false">((N80+N81)/12)*(H29-11)</f>
        <v>0</v>
      </c>
      <c r="O82" s="145"/>
      <c r="P82" s="144" t="n">
        <f aca="false">IF(A50="YES", 0, N82)</f>
        <v>0</v>
      </c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183" t="s">
        <v>100</v>
      </c>
      <c r="B83" s="188" t="n">
        <v>0</v>
      </c>
      <c r="C83" s="145"/>
      <c r="D83" s="144" t="n">
        <f aca="false">B83</f>
        <v>0</v>
      </c>
      <c r="E83" s="146" t="n">
        <f aca="false">D83/12</f>
        <v>0</v>
      </c>
      <c r="F83" s="135"/>
      <c r="G83" s="183" t="s">
        <v>100</v>
      </c>
      <c r="H83" s="188" t="n">
        <f aca="false">H108</f>
        <v>1200</v>
      </c>
      <c r="I83" s="145"/>
      <c r="J83" s="144" t="n">
        <f aca="false">H83</f>
        <v>1200</v>
      </c>
      <c r="K83" s="146"/>
      <c r="L83" s="135"/>
      <c r="M83" s="183" t="s">
        <v>100</v>
      </c>
      <c r="N83" s="188" t="n">
        <f aca="false">N108</f>
        <v>1200</v>
      </c>
      <c r="O83" s="145"/>
      <c r="P83" s="144" t="n">
        <f aca="false">N83</f>
        <v>1200</v>
      </c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 t="s">
        <v>101</v>
      </c>
      <c r="B84" s="143" t="n">
        <v>0</v>
      </c>
      <c r="C84" s="145"/>
      <c r="D84" s="144" t="n">
        <f aca="false">B84</f>
        <v>0</v>
      </c>
      <c r="E84" s="146"/>
      <c r="F84" s="135"/>
      <c r="G84" s="138" t="s">
        <v>102</v>
      </c>
      <c r="H84" s="143" t="n">
        <f aca="false">J108</f>
        <v>1500</v>
      </c>
      <c r="I84" s="145"/>
      <c r="J84" s="144" t="n">
        <f aca="false">H84</f>
        <v>1500</v>
      </c>
      <c r="K84" s="146"/>
      <c r="L84" s="135"/>
      <c r="M84" s="138" t="s">
        <v>102</v>
      </c>
      <c r="N84" s="143" t="n">
        <f aca="false">P108</f>
        <v>1500</v>
      </c>
      <c r="O84" s="145"/>
      <c r="P84" s="144" t="n">
        <f aca="false">N84</f>
        <v>1500</v>
      </c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36" t="s">
        <v>103</v>
      </c>
      <c r="B85" s="189" t="n">
        <v>200</v>
      </c>
      <c r="C85" s="145"/>
      <c r="D85" s="144" t="n">
        <f aca="false">B85</f>
        <v>200</v>
      </c>
      <c r="E85" s="146"/>
      <c r="F85" s="135"/>
      <c r="G85" s="136" t="s">
        <v>103</v>
      </c>
      <c r="H85" s="189" t="n">
        <v>100</v>
      </c>
      <c r="I85" s="145"/>
      <c r="J85" s="144" t="n">
        <f aca="false">H85</f>
        <v>100</v>
      </c>
      <c r="K85" s="146"/>
      <c r="L85" s="135"/>
      <c r="M85" s="136" t="s">
        <v>103</v>
      </c>
      <c r="N85" s="189" t="n">
        <v>100</v>
      </c>
      <c r="O85" s="145"/>
      <c r="P85" s="144" t="n">
        <f aca="false">N85</f>
        <v>100</v>
      </c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97" t="s">
        <v>104</v>
      </c>
      <c r="B86" s="198" t="n">
        <v>200</v>
      </c>
      <c r="C86" s="145"/>
      <c r="D86" s="144" t="n">
        <f aca="false">B86</f>
        <v>200</v>
      </c>
      <c r="E86" s="146"/>
      <c r="F86" s="135"/>
      <c r="G86" s="197" t="s">
        <v>104</v>
      </c>
      <c r="H86" s="198" t="n">
        <v>100</v>
      </c>
      <c r="I86" s="145"/>
      <c r="J86" s="144" t="n">
        <f aca="false">H86</f>
        <v>100</v>
      </c>
      <c r="K86" s="146"/>
      <c r="L86" s="135"/>
      <c r="M86" s="197" t="s">
        <v>104</v>
      </c>
      <c r="N86" s="198" t="n">
        <v>100</v>
      </c>
      <c r="O86" s="145"/>
      <c r="P86" s="144" t="n">
        <f aca="false">N86</f>
        <v>100</v>
      </c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99" t="s">
        <v>105</v>
      </c>
      <c r="B87" s="200" t="n">
        <f aca="false">SUM(D70:D86)</f>
        <v>4711.95</v>
      </c>
      <c r="C87" s="145"/>
      <c r="D87" s="145"/>
      <c r="E87" s="146"/>
      <c r="F87" s="135"/>
      <c r="G87" s="199" t="s">
        <v>105</v>
      </c>
      <c r="H87" s="200" t="n">
        <f aca="false">SUM(J70:J86)</f>
        <v>7205.53333333333</v>
      </c>
      <c r="I87" s="145"/>
      <c r="J87" s="145"/>
      <c r="K87" s="146"/>
      <c r="L87" s="135"/>
      <c r="M87" s="199" t="s">
        <v>105</v>
      </c>
      <c r="N87" s="200" t="n">
        <f aca="false">SUM(P70:P86)</f>
        <v>7165.95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 t="s">
        <v>106</v>
      </c>
      <c r="B88" s="143" t="n">
        <f aca="false">B87/H29</f>
        <v>392.6625</v>
      </c>
      <c r="C88" s="145"/>
      <c r="D88" s="145"/>
      <c r="E88" s="146"/>
      <c r="F88" s="135"/>
      <c r="G88" s="138" t="s">
        <v>106</v>
      </c>
      <c r="H88" s="143" t="n">
        <f aca="false">H87/H29</f>
        <v>600.461111111111</v>
      </c>
      <c r="I88" s="145"/>
      <c r="J88" s="145"/>
      <c r="K88" s="146"/>
      <c r="L88" s="135"/>
      <c r="M88" s="138" t="s">
        <v>106</v>
      </c>
      <c r="N88" s="143" t="n">
        <f aca="false">N87/H29</f>
        <v>597.1625</v>
      </c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201" t="s">
        <v>107</v>
      </c>
      <c r="B89" s="202" t="n">
        <f aca="false">H46</f>
        <v>501</v>
      </c>
      <c r="C89" s="145"/>
      <c r="D89" s="145"/>
      <c r="E89" s="146"/>
      <c r="F89" s="135"/>
      <c r="G89" s="201" t="s">
        <v>107</v>
      </c>
      <c r="H89" s="202" t="n">
        <f aca="false">H46</f>
        <v>501</v>
      </c>
      <c r="I89" s="145"/>
      <c r="J89" s="145"/>
      <c r="K89" s="146"/>
      <c r="L89" s="135"/>
      <c r="M89" s="201" t="s">
        <v>107</v>
      </c>
      <c r="N89" s="202" t="n">
        <f aca="false">H46</f>
        <v>501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138"/>
      <c r="B90" s="144"/>
      <c r="C90" s="145"/>
      <c r="D90" s="145"/>
      <c r="E90" s="146"/>
      <c r="F90" s="135"/>
      <c r="G90" s="138"/>
      <c r="H90" s="144"/>
      <c r="I90" s="145"/>
      <c r="J90" s="145"/>
      <c r="K90" s="146"/>
      <c r="L90" s="135"/>
      <c r="M90" s="138"/>
      <c r="N90" s="144"/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180" t="s">
        <v>108</v>
      </c>
      <c r="B91" s="203" t="n">
        <f aca="false">((B89*H29)+B87)</f>
        <v>10723.95</v>
      </c>
      <c r="C91" s="145"/>
      <c r="D91" s="145"/>
      <c r="E91" s="146"/>
      <c r="F91" s="135"/>
      <c r="G91" s="180" t="s">
        <v>108</v>
      </c>
      <c r="H91" s="203" t="n">
        <f aca="false">((H89*H29)+H87)*1.2</f>
        <v>15861.04</v>
      </c>
      <c r="I91" s="145"/>
      <c r="J91" s="145"/>
      <c r="K91" s="146"/>
      <c r="L91" s="135"/>
      <c r="M91" s="180" t="s">
        <v>108</v>
      </c>
      <c r="N91" s="203" t="n">
        <f aca="false">((N89*H29)+N87)</f>
        <v>13177.95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38" t="s">
        <v>109</v>
      </c>
      <c r="B92" s="143" t="n">
        <f aca="false">(((B89*H29)+B87)/(1-B76))*B76</f>
        <v>90.8442718838241</v>
      </c>
      <c r="C92" s="145"/>
      <c r="D92" s="145"/>
      <c r="E92" s="204"/>
      <c r="F92" s="135"/>
      <c r="G92" s="138" t="s">
        <v>109</v>
      </c>
      <c r="H92" s="143" t="n">
        <f aca="false">(((H89*H29)+H87)/(1-H76))*H76</f>
        <v>111.967809600645</v>
      </c>
      <c r="I92" s="145"/>
      <c r="J92" s="145"/>
      <c r="K92" s="146"/>
      <c r="L92" s="135"/>
      <c r="M92" s="138" t="s">
        <v>109</v>
      </c>
      <c r="N92" s="143" t="n">
        <f aca="false">(N91/(1-N76))*N76</f>
        <v>111.632492940702</v>
      </c>
      <c r="O92" s="145"/>
      <c r="P92" s="145"/>
      <c r="Q92" s="146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77" t="s">
        <v>110</v>
      </c>
      <c r="B93" s="185" t="n">
        <f aca="false">IF(B116="YES",((B91+B92)-E120),(B91+B92))</f>
        <v>6814.79427188382</v>
      </c>
      <c r="C93" s="145"/>
      <c r="D93" s="145"/>
      <c r="E93" s="146"/>
      <c r="F93" s="135"/>
      <c r="G93" s="177" t="s">
        <v>110</v>
      </c>
      <c r="H93" s="185" t="n">
        <f aca="false">IF(H116="YES",((H91+H92)-K120),(H91+H92))</f>
        <v>17973.0078096006</v>
      </c>
      <c r="I93" s="145"/>
      <c r="J93" s="145"/>
      <c r="K93" s="146"/>
      <c r="L93" s="135"/>
      <c r="M93" s="177" t="s">
        <v>110</v>
      </c>
      <c r="N93" s="185" t="n">
        <f aca="false">IF(N116="YES",((N91+N92)-K120),(N91+N92))</f>
        <v>15289.5824929407</v>
      </c>
      <c r="O93" s="145"/>
      <c r="P93" s="145"/>
      <c r="Q93" s="146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18.75" hidden="false" customHeight="true" outlineLevel="0" collapsed="false">
      <c r="A94" s="138"/>
      <c r="B94" s="144"/>
      <c r="C94" s="145"/>
      <c r="D94" s="145"/>
      <c r="E94" s="146"/>
      <c r="F94" s="135"/>
      <c r="G94" s="138"/>
      <c r="H94" s="144"/>
      <c r="I94" s="145"/>
      <c r="J94" s="145"/>
      <c r="K94" s="146"/>
      <c r="L94" s="135"/>
      <c r="M94" s="138"/>
      <c r="N94" s="144"/>
      <c r="O94" s="145"/>
      <c r="P94" s="145"/>
      <c r="Q94" s="146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99" t="s">
        <v>65</v>
      </c>
      <c r="B95" s="200" t="n">
        <f aca="false">IF(B105=Z104,(((H44*B35)+(H44*B35)*(B111/100))/(B64)),(((H44*B35)+(H44*B35)*(B111/100))/(B63+B64)))</f>
        <v>6.336</v>
      </c>
      <c r="C95" s="145"/>
      <c r="D95" s="145"/>
      <c r="E95" s="146"/>
      <c r="F95" s="135"/>
      <c r="G95" s="199" t="s">
        <v>65</v>
      </c>
      <c r="H95" s="200" t="e">
        <f aca="false">(((H44*B35)+((H44*B35)*H111))/(H63+H64))*1.2</f>
        <v>#DIV/0!</v>
      </c>
      <c r="I95" s="145"/>
      <c r="J95" s="145"/>
      <c r="K95" s="146"/>
      <c r="L95" s="135"/>
      <c r="M95" s="199" t="s">
        <v>65</v>
      </c>
      <c r="N95" s="200" t="e">
        <f aca="false">((H44*B35)+((H44*B35)*N111))/(N63+N64)</f>
        <v>#DIV/0!</v>
      </c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05" t="s">
        <v>111</v>
      </c>
      <c r="B96" s="206" t="n">
        <f aca="false">IF(B105=Z104, (B93-D111)/(B64), B93/(B63+B64))</f>
        <v>567.899522656985</v>
      </c>
      <c r="C96" s="145"/>
      <c r="D96" s="145"/>
      <c r="E96" s="146"/>
      <c r="F96" s="135"/>
      <c r="G96" s="205" t="s">
        <v>111</v>
      </c>
      <c r="H96" s="206" t="e">
        <f aca="false">IF(H105=Y104, (H93-J111)/(H64), H93/(H63+H64))</f>
        <v>#DIV/0!</v>
      </c>
      <c r="I96" s="145"/>
      <c r="J96" s="145"/>
      <c r="K96" s="146"/>
      <c r="L96" s="135"/>
      <c r="M96" s="205" t="s">
        <v>111</v>
      </c>
      <c r="N96" s="206" t="e">
        <f aca="false">IF(N105=Y104, (N93-P111)/(N64), N93/(N63+N64))</f>
        <v>#DIV/0!</v>
      </c>
      <c r="O96" s="145"/>
      <c r="P96" s="145"/>
      <c r="Q96" s="146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207" t="s">
        <v>112</v>
      </c>
      <c r="B97" s="208" t="n">
        <f aca="false">IF(A111="YES", B96+B95, B96)</f>
        <v>567.899522656985</v>
      </c>
      <c r="C97" s="145"/>
      <c r="D97" s="209"/>
      <c r="E97" s="146"/>
      <c r="F97" s="135"/>
      <c r="G97" s="207" t="s">
        <v>112</v>
      </c>
      <c r="H97" s="208" t="e">
        <f aca="false">IF(G111="YES", H96+H95, H96)</f>
        <v>#DIV/0!</v>
      </c>
      <c r="I97" s="145"/>
      <c r="J97" s="145"/>
      <c r="K97" s="146"/>
      <c r="L97" s="135"/>
      <c r="M97" s="207" t="s">
        <v>112</v>
      </c>
      <c r="N97" s="208" t="e">
        <f aca="false">IF(M111="YES", N96+N95, N96)</f>
        <v>#DIV/0!</v>
      </c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/>
      <c r="Z97" s="135"/>
    </row>
    <row r="98" customFormat="false" ht="18.75" hidden="false" customHeight="true" outlineLevel="0" collapsed="false">
      <c r="A98" s="177"/>
      <c r="B98" s="178"/>
      <c r="C98" s="178"/>
      <c r="D98" s="178"/>
      <c r="E98" s="179"/>
      <c r="F98" s="135"/>
      <c r="G98" s="177"/>
      <c r="H98" s="178"/>
      <c r="I98" s="178"/>
      <c r="J98" s="178"/>
      <c r="K98" s="179"/>
      <c r="L98" s="135"/>
      <c r="M98" s="177"/>
      <c r="N98" s="178"/>
      <c r="O98" s="178"/>
      <c r="P98" s="178"/>
      <c r="Q98" s="179"/>
      <c r="R98" s="135"/>
      <c r="S98" s="135"/>
      <c r="T98" s="135"/>
      <c r="U98" s="135"/>
      <c r="V98" s="135"/>
      <c r="W98" s="135"/>
      <c r="X98" s="135"/>
      <c r="Y98" s="135"/>
      <c r="Z98" s="135"/>
    </row>
    <row r="99" customFormat="false" ht="18.75" hidden="false" customHeight="true" outlineLevel="0" collapsed="false">
      <c r="A99" s="145"/>
      <c r="B99" s="145"/>
      <c r="C99" s="145"/>
      <c r="D99" s="145"/>
      <c r="E99" s="145"/>
      <c r="F99" s="135"/>
      <c r="G99" s="145"/>
      <c r="H99" s="145"/>
      <c r="I99" s="145"/>
      <c r="J99" s="145"/>
      <c r="K99" s="145"/>
      <c r="L99" s="135"/>
      <c r="M99" s="145"/>
      <c r="N99" s="145"/>
      <c r="O99" s="145"/>
      <c r="P99" s="145"/>
      <c r="Q99" s="145"/>
      <c r="R99" s="135"/>
      <c r="S99" s="135"/>
      <c r="T99" s="135"/>
      <c r="U99" s="135"/>
      <c r="V99" s="135"/>
      <c r="W99" s="135"/>
      <c r="X99" s="135"/>
      <c r="Y99" s="135"/>
      <c r="Z99" s="135"/>
    </row>
    <row r="100" customFormat="false" ht="48.75" hidden="false" customHeight="true" outlineLevel="0" collapsed="false">
      <c r="A100" s="27" t="s">
        <v>115</v>
      </c>
      <c r="B100" s="27"/>
      <c r="C100" s="27"/>
      <c r="D100" s="27"/>
      <c r="E100" s="27"/>
      <c r="F100" s="135"/>
      <c r="G100" s="27" t="s">
        <v>114</v>
      </c>
      <c r="H100" s="27"/>
      <c r="I100" s="27"/>
      <c r="J100" s="27"/>
      <c r="K100" s="27"/>
      <c r="L100" s="135"/>
      <c r="M100" s="27" t="s">
        <v>115</v>
      </c>
      <c r="N100" s="27"/>
      <c r="O100" s="27"/>
      <c r="P100" s="27"/>
      <c r="Q100" s="27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customFormat="false" ht="18.75" hidden="false" customHeight="true" outlineLevel="0" collapsed="false">
      <c r="A101" s="138"/>
      <c r="B101" s="145"/>
      <c r="C101" s="145"/>
      <c r="D101" s="145"/>
      <c r="E101" s="146"/>
      <c r="F101" s="135"/>
      <c r="G101" s="138"/>
      <c r="H101" s="145"/>
      <c r="I101" s="145"/>
      <c r="J101" s="145"/>
      <c r="K101" s="146"/>
      <c r="L101" s="135"/>
      <c r="M101" s="138"/>
      <c r="N101" s="145"/>
      <c r="O101" s="145"/>
      <c r="P101" s="145"/>
      <c r="Q101" s="146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5"/>
      <c r="G102" s="29" t="s">
        <v>116</v>
      </c>
      <c r="H102" s="29"/>
      <c r="I102" s="29"/>
      <c r="J102" s="29"/>
      <c r="K102" s="29"/>
      <c r="L102" s="135"/>
      <c r="M102" s="29" t="s">
        <v>116</v>
      </c>
      <c r="N102" s="29"/>
      <c r="O102" s="29"/>
      <c r="P102" s="29"/>
      <c r="Q102" s="29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/>
      <c r="Z103" s="135" t="s">
        <v>117</v>
      </c>
    </row>
    <row r="104" customFormat="false" ht="18.75" hidden="false" customHeight="true" outlineLevel="0" collapsed="false">
      <c r="A104" s="138" t="s">
        <v>118</v>
      </c>
      <c r="B104" s="145" t="s">
        <v>30</v>
      </c>
      <c r="C104" s="145"/>
      <c r="D104" s="145" t="s">
        <v>119</v>
      </c>
      <c r="E104" s="146"/>
      <c r="F104" s="135"/>
      <c r="G104" s="138" t="s">
        <v>118</v>
      </c>
      <c r="H104" s="145" t="s">
        <v>30</v>
      </c>
      <c r="I104" s="145"/>
      <c r="J104" s="145" t="s">
        <v>119</v>
      </c>
      <c r="K104" s="146"/>
      <c r="L104" s="135"/>
      <c r="M104" s="138" t="s">
        <v>118</v>
      </c>
      <c r="N104" s="145" t="s">
        <v>30</v>
      </c>
      <c r="O104" s="145"/>
      <c r="P104" s="145" t="s">
        <v>119</v>
      </c>
      <c r="Q104" s="146"/>
      <c r="R104" s="135"/>
      <c r="S104" s="135"/>
      <c r="T104" s="135"/>
      <c r="U104" s="135"/>
      <c r="V104" s="135"/>
      <c r="W104" s="135"/>
      <c r="X104" s="135"/>
      <c r="Y104" s="135"/>
      <c r="Z104" s="135" t="s">
        <v>120</v>
      </c>
    </row>
    <row r="105" customFormat="false" ht="18.75" hidden="false" customHeight="true" outlineLevel="0" collapsed="false">
      <c r="A105" s="154"/>
      <c r="B105" s="109" t="s">
        <v>190</v>
      </c>
      <c r="C105" s="109"/>
      <c r="D105" s="110" t="n">
        <v>1000</v>
      </c>
      <c r="E105" s="110"/>
      <c r="F105" s="135"/>
      <c r="G105" s="154" t="s">
        <v>121</v>
      </c>
      <c r="H105" s="109" t="s">
        <v>122</v>
      </c>
      <c r="I105" s="109"/>
      <c r="J105" s="110" t="n">
        <v>5000</v>
      </c>
      <c r="K105" s="110"/>
      <c r="L105" s="135"/>
      <c r="M105" s="154" t="s">
        <v>121</v>
      </c>
      <c r="N105" s="109" t="s">
        <v>123</v>
      </c>
      <c r="O105" s="109"/>
      <c r="P105" s="110" t="n">
        <v>0</v>
      </c>
      <c r="Q105" s="110"/>
      <c r="R105" s="135"/>
      <c r="S105" s="135"/>
      <c r="T105" s="135"/>
      <c r="U105" s="135"/>
      <c r="V105" s="135"/>
      <c r="W105" s="135"/>
      <c r="X105" s="135"/>
      <c r="Y105" s="135"/>
      <c r="Z105" s="135" t="s">
        <v>124</v>
      </c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 t="s">
        <v>125</v>
      </c>
    </row>
    <row r="107" customFormat="false" ht="18.75" hidden="false" customHeight="true" outlineLevel="0" collapsed="false">
      <c r="A107" s="138" t="s">
        <v>126</v>
      </c>
      <c r="B107" s="145" t="s">
        <v>127</v>
      </c>
      <c r="C107" s="145"/>
      <c r="D107" s="145" t="s">
        <v>128</v>
      </c>
      <c r="E107" s="146"/>
      <c r="F107" s="135"/>
      <c r="G107" s="138" t="s">
        <v>126</v>
      </c>
      <c r="H107" s="145" t="s">
        <v>127</v>
      </c>
      <c r="I107" s="145"/>
      <c r="J107" s="145" t="s">
        <v>128</v>
      </c>
      <c r="K107" s="146"/>
      <c r="L107" s="135"/>
      <c r="M107" s="138" t="s">
        <v>126</v>
      </c>
      <c r="N107" s="145" t="s">
        <v>127</v>
      </c>
      <c r="O107" s="145"/>
      <c r="P107" s="145" t="s">
        <v>128</v>
      </c>
      <c r="Q107" s="146"/>
      <c r="R107" s="135"/>
      <c r="S107" s="135"/>
      <c r="T107" s="135"/>
      <c r="U107" s="135"/>
      <c r="V107" s="135"/>
      <c r="W107" s="135"/>
      <c r="X107" s="135"/>
      <c r="Y107" s="135"/>
      <c r="Z107" s="135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5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5"/>
      <c r="M108" s="111" t="n">
        <v>199.99</v>
      </c>
      <c r="N108" s="112" t="n">
        <v>1200</v>
      </c>
      <c r="O108" s="112"/>
      <c r="P108" s="112" t="n">
        <v>1500</v>
      </c>
      <c r="Q108" s="112"/>
      <c r="R108" s="135"/>
      <c r="S108" s="135"/>
      <c r="T108" s="135"/>
      <c r="U108" s="135"/>
      <c r="V108" s="135"/>
      <c r="W108" s="135"/>
      <c r="X108" s="135"/>
      <c r="Y108" s="135"/>
      <c r="Z108" s="135" t="s">
        <v>123</v>
      </c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 t="s">
        <v>122</v>
      </c>
    </row>
    <row r="110" customFormat="false" ht="18.75" hidden="false" customHeight="true" outlineLevel="0" collapsed="false">
      <c r="A110" s="154" t="s">
        <v>130</v>
      </c>
      <c r="B110" s="135" t="s">
        <v>131</v>
      </c>
      <c r="C110" s="145"/>
      <c r="D110" s="145" t="s">
        <v>132</v>
      </c>
      <c r="E110" s="146"/>
      <c r="F110" s="135"/>
      <c r="G110" s="154" t="s">
        <v>130</v>
      </c>
      <c r="H110" s="135" t="s">
        <v>131</v>
      </c>
      <c r="I110" s="145"/>
      <c r="J110" s="145" t="s">
        <v>132</v>
      </c>
      <c r="K110" s="146"/>
      <c r="L110" s="135"/>
      <c r="M110" s="154" t="s">
        <v>130</v>
      </c>
      <c r="N110" s="135" t="s">
        <v>131</v>
      </c>
      <c r="O110" s="145"/>
      <c r="P110" s="145" t="s">
        <v>132</v>
      </c>
      <c r="Q110" s="146"/>
      <c r="R110" s="135"/>
      <c r="S110" s="135"/>
      <c r="T110" s="135"/>
      <c r="U110" s="135"/>
      <c r="V110" s="135"/>
      <c r="W110" s="135"/>
      <c r="X110" s="135"/>
      <c r="Y110" s="135"/>
      <c r="Z110" s="135" t="s">
        <v>133</v>
      </c>
    </row>
    <row r="111" customFormat="false" ht="18.75" hidden="false" customHeight="true" outlineLevel="0" collapsed="false">
      <c r="A111" s="156" t="s">
        <v>26</v>
      </c>
      <c r="B111" s="109" t="n">
        <v>20</v>
      </c>
      <c r="C111" s="109"/>
      <c r="D111" s="112" t="s">
        <v>191</v>
      </c>
      <c r="E111" s="112"/>
      <c r="F111" s="135"/>
      <c r="G111" s="156" t="s">
        <v>25</v>
      </c>
      <c r="H111" s="113" t="n">
        <v>0.2</v>
      </c>
      <c r="I111" s="113"/>
      <c r="J111" s="112" t="n">
        <v>5000</v>
      </c>
      <c r="K111" s="112"/>
      <c r="L111" s="135"/>
      <c r="M111" s="156" t="s">
        <v>25</v>
      </c>
      <c r="N111" s="113" t="n">
        <v>0.2</v>
      </c>
      <c r="O111" s="113"/>
      <c r="P111" s="112" t="n">
        <v>5000</v>
      </c>
      <c r="Q111" s="112"/>
      <c r="R111" s="135"/>
      <c r="S111" s="135"/>
      <c r="T111" s="135"/>
      <c r="U111" s="135"/>
      <c r="V111" s="135"/>
      <c r="W111" s="135"/>
      <c r="X111" s="135"/>
      <c r="Y111" s="135"/>
      <c r="Z111" s="135" t="s">
        <v>134</v>
      </c>
    </row>
    <row r="112" customFormat="false" ht="18.75" hidden="false" customHeight="true" outlineLevel="0" collapsed="false">
      <c r="A112" s="138"/>
      <c r="B112" s="145"/>
      <c r="C112" s="145"/>
      <c r="D112" s="145" t="s">
        <v>75</v>
      </c>
      <c r="E112" s="146"/>
      <c r="F112" s="135"/>
      <c r="G112" s="138"/>
      <c r="H112" s="145"/>
      <c r="I112" s="145"/>
      <c r="J112" s="145"/>
      <c r="K112" s="146"/>
      <c r="L112" s="135"/>
      <c r="M112" s="138"/>
      <c r="N112" s="145"/>
      <c r="O112" s="145"/>
      <c r="P112" s="145"/>
      <c r="Q112" s="146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/>
      <c r="B113" s="145"/>
      <c r="C113" s="145"/>
      <c r="D113" s="145"/>
      <c r="E113" s="146"/>
      <c r="F113" s="135"/>
      <c r="G113" s="138"/>
      <c r="H113" s="145"/>
      <c r="I113" s="145"/>
      <c r="J113" s="145"/>
      <c r="K113" s="146"/>
      <c r="L113" s="135"/>
      <c r="M113" s="138"/>
      <c r="N113" s="145" t="s">
        <v>135</v>
      </c>
      <c r="O113" s="156" t="s">
        <v>25</v>
      </c>
      <c r="P113" s="145"/>
      <c r="Q113" s="146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29" t="s">
        <v>136</v>
      </c>
      <c r="B114" s="29"/>
      <c r="C114" s="29"/>
      <c r="D114" s="29"/>
      <c r="E114" s="29"/>
      <c r="F114" s="135"/>
      <c r="G114" s="29" t="s">
        <v>136</v>
      </c>
      <c r="H114" s="29"/>
      <c r="I114" s="29"/>
      <c r="J114" s="29"/>
      <c r="K114" s="29"/>
      <c r="L114" s="135"/>
      <c r="M114" s="29" t="s">
        <v>136</v>
      </c>
      <c r="N114" s="29"/>
      <c r="O114" s="29"/>
      <c r="P114" s="29"/>
      <c r="Q114" s="29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/>
      <c r="B115" s="145"/>
      <c r="C115" s="145"/>
      <c r="D115" s="145"/>
      <c r="E115" s="146"/>
      <c r="F115" s="135"/>
      <c r="G115" s="138"/>
      <c r="H115" s="145"/>
      <c r="I115" s="145"/>
      <c r="J115" s="145"/>
      <c r="K115" s="146"/>
      <c r="L115" s="135"/>
      <c r="M115" s="138"/>
      <c r="N115" s="145"/>
      <c r="O115" s="145"/>
      <c r="P115" s="145"/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 t="s">
        <v>137</v>
      </c>
      <c r="B116" s="156" t="s">
        <v>25</v>
      </c>
      <c r="C116" s="145"/>
      <c r="D116" s="145"/>
      <c r="E116" s="146"/>
      <c r="F116" s="135"/>
      <c r="G116" s="138" t="s">
        <v>137</v>
      </c>
      <c r="H116" s="156" t="s">
        <v>25</v>
      </c>
      <c r="I116" s="145"/>
      <c r="J116" s="145"/>
      <c r="K116" s="146"/>
      <c r="L116" s="135"/>
      <c r="M116" s="138" t="s">
        <v>137</v>
      </c>
      <c r="N116" s="156" t="s">
        <v>25</v>
      </c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38"/>
      <c r="B117" s="145"/>
      <c r="C117" s="145"/>
      <c r="D117" s="145"/>
      <c r="E117" s="146"/>
      <c r="F117" s="135"/>
      <c r="G117" s="138"/>
      <c r="H117" s="145"/>
      <c r="I117" s="145"/>
      <c r="J117" s="145"/>
      <c r="K117" s="146"/>
      <c r="L117" s="135"/>
      <c r="M117" s="138"/>
      <c r="N117" s="145"/>
      <c r="O117" s="145"/>
      <c r="P117" s="145"/>
      <c r="Q117" s="146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138</v>
      </c>
      <c r="B118" s="145"/>
      <c r="C118" s="145"/>
      <c r="D118" s="111" t="n">
        <v>10000</v>
      </c>
      <c r="E118" s="112" t="n">
        <v>6000</v>
      </c>
      <c r="F118" s="135"/>
      <c r="G118" s="138" t="s">
        <v>138</v>
      </c>
      <c r="H118" s="145"/>
      <c r="I118" s="145"/>
      <c r="J118" s="111" t="n">
        <v>10000</v>
      </c>
      <c r="K118" s="112" t="n">
        <v>5000</v>
      </c>
      <c r="L118" s="135"/>
      <c r="M118" s="138" t="s">
        <v>138</v>
      </c>
      <c r="N118" s="145"/>
      <c r="O118" s="145"/>
      <c r="P118" s="111" t="n">
        <v>10000</v>
      </c>
      <c r="Q118" s="112" t="n">
        <v>5000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138" t="s">
        <v>139</v>
      </c>
      <c r="B119" s="145"/>
      <c r="C119" s="145"/>
      <c r="D119" s="210" t="n">
        <f aca="false">E119</f>
        <v>2000</v>
      </c>
      <c r="E119" s="112" t="n">
        <v>2000</v>
      </c>
      <c r="F119" s="135"/>
      <c r="G119" s="138" t="s">
        <v>139</v>
      </c>
      <c r="H119" s="145"/>
      <c r="I119" s="145"/>
      <c r="J119" s="210" t="n">
        <f aca="false">K119</f>
        <v>7000</v>
      </c>
      <c r="K119" s="112" t="n">
        <v>7000</v>
      </c>
      <c r="L119" s="135"/>
      <c r="M119" s="138" t="s">
        <v>139</v>
      </c>
      <c r="N119" s="145"/>
      <c r="O119" s="145"/>
      <c r="P119" s="210" t="n">
        <f aca="false">Q119</f>
        <v>7000</v>
      </c>
      <c r="Q119" s="112" t="n">
        <v>7000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 t="s">
        <v>140</v>
      </c>
      <c r="B120" s="145"/>
      <c r="C120" s="145"/>
      <c r="D120" s="210" t="n">
        <f aca="false">D118-D119</f>
        <v>8000</v>
      </c>
      <c r="E120" s="115" t="n">
        <f aca="false">E118-E119</f>
        <v>4000</v>
      </c>
      <c r="F120" s="135"/>
      <c r="G120" s="138" t="s">
        <v>140</v>
      </c>
      <c r="H120" s="145"/>
      <c r="I120" s="145"/>
      <c r="J120" s="210" t="n">
        <f aca="false">J118-J119</f>
        <v>3000</v>
      </c>
      <c r="K120" s="115" t="n">
        <f aca="false">K118-K119</f>
        <v>-2000</v>
      </c>
      <c r="L120" s="135"/>
      <c r="M120" s="138" t="s">
        <v>140</v>
      </c>
      <c r="N120" s="145"/>
      <c r="O120" s="145"/>
      <c r="P120" s="210" t="n">
        <f aca="false">P118-P119</f>
        <v>3000</v>
      </c>
      <c r="Q120" s="115" t="n">
        <f aca="false">Q118-Q119</f>
        <v>-2000</v>
      </c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 t="s">
        <v>141</v>
      </c>
      <c r="B121" s="145"/>
      <c r="C121" s="145"/>
      <c r="D121" s="210" t="n">
        <f aca="false">D120-E120</f>
        <v>4000</v>
      </c>
      <c r="E121" s="146"/>
      <c r="F121" s="135"/>
      <c r="G121" s="138" t="s">
        <v>141</v>
      </c>
      <c r="H121" s="145"/>
      <c r="I121" s="145"/>
      <c r="J121" s="210" t="n">
        <f aca="false">J120-K120</f>
        <v>5000</v>
      </c>
      <c r="K121" s="146"/>
      <c r="L121" s="135"/>
      <c r="M121" s="138" t="s">
        <v>141</v>
      </c>
      <c r="N121" s="145"/>
      <c r="O121" s="145"/>
      <c r="P121" s="210" t="n">
        <f aca="false">P120-Q120</f>
        <v>5000</v>
      </c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138"/>
      <c r="B122" s="145"/>
      <c r="C122" s="145"/>
      <c r="D122" s="145"/>
      <c r="E122" s="146"/>
      <c r="F122" s="135"/>
      <c r="G122" s="138"/>
      <c r="H122" s="145"/>
      <c r="I122" s="145"/>
      <c r="J122" s="145"/>
      <c r="K122" s="146"/>
      <c r="L122" s="135"/>
      <c r="M122" s="138"/>
      <c r="N122" s="145"/>
      <c r="O122" s="145"/>
      <c r="P122" s="145"/>
      <c r="Q122" s="146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80" t="s">
        <v>142</v>
      </c>
      <c r="B123" s="181"/>
      <c r="C123" s="181"/>
      <c r="D123" s="181"/>
      <c r="E123" s="203" t="n">
        <f aca="false">D105</f>
        <v>1000</v>
      </c>
      <c r="F123" s="135"/>
      <c r="G123" s="180" t="s">
        <v>142</v>
      </c>
      <c r="H123" s="181"/>
      <c r="I123" s="181"/>
      <c r="J123" s="181"/>
      <c r="K123" s="203" t="n">
        <f aca="false">J105</f>
        <v>5000</v>
      </c>
      <c r="L123" s="135"/>
      <c r="M123" s="180" t="s">
        <v>142</v>
      </c>
      <c r="N123" s="181"/>
      <c r="O123" s="181"/>
      <c r="P123" s="181"/>
      <c r="Q123" s="203" t="n">
        <f aca="false">P105</f>
        <v>0</v>
      </c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52</v>
      </c>
      <c r="B124" s="145"/>
      <c r="C124" s="145"/>
      <c r="D124" s="145"/>
      <c r="E124" s="143" t="n">
        <f aca="false">A108</f>
        <v>199.99</v>
      </c>
      <c r="F124" s="135"/>
      <c r="G124" s="138" t="s">
        <v>52</v>
      </c>
      <c r="H124" s="145"/>
      <c r="I124" s="145"/>
      <c r="J124" s="145"/>
      <c r="K124" s="143" t="n">
        <f aca="false">G108</f>
        <v>239.988</v>
      </c>
      <c r="L124" s="135"/>
      <c r="M124" s="138" t="s">
        <v>52</v>
      </c>
      <c r="N124" s="145"/>
      <c r="O124" s="145"/>
      <c r="P124" s="145"/>
      <c r="Q124" s="143" t="n">
        <f aca="false">M108</f>
        <v>199.99</v>
      </c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211" t="s">
        <v>143</v>
      </c>
      <c r="B125" s="178"/>
      <c r="C125" s="178"/>
      <c r="D125" s="178"/>
      <c r="E125" s="185" t="n">
        <f aca="false">(E124+E123)-E120</f>
        <v>-2800.01</v>
      </c>
      <c r="F125" s="135"/>
      <c r="G125" s="211" t="s">
        <v>143</v>
      </c>
      <c r="H125" s="178"/>
      <c r="I125" s="178"/>
      <c r="J125" s="178"/>
      <c r="K125" s="185" t="n">
        <f aca="false">(K124+K123)-K120</f>
        <v>7239.988</v>
      </c>
      <c r="L125" s="135"/>
      <c r="M125" s="211" t="s">
        <v>143</v>
      </c>
      <c r="N125" s="178"/>
      <c r="O125" s="178"/>
      <c r="P125" s="178"/>
      <c r="Q125" s="185" t="n">
        <f aca="false">(Q124+Q123)-Q120</f>
        <v>2199.99</v>
      </c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138"/>
      <c r="B126" s="145"/>
      <c r="C126" s="145"/>
      <c r="D126" s="145"/>
      <c r="E126" s="146"/>
      <c r="F126" s="135"/>
      <c r="G126" s="138"/>
      <c r="H126" s="145"/>
      <c r="I126" s="145"/>
      <c r="J126" s="145"/>
      <c r="K126" s="146"/>
      <c r="L126" s="135"/>
      <c r="M126" s="138"/>
      <c r="N126" s="145"/>
      <c r="O126" s="145"/>
      <c r="P126" s="145"/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38"/>
      <c r="B127" s="145"/>
      <c r="C127" s="145"/>
      <c r="D127" s="145"/>
      <c r="E127" s="146"/>
      <c r="F127" s="135"/>
      <c r="G127" s="138"/>
      <c r="H127" s="145"/>
      <c r="I127" s="145"/>
      <c r="J127" s="145"/>
      <c r="K127" s="146"/>
      <c r="L127" s="135"/>
      <c r="M127" s="138"/>
      <c r="N127" s="145"/>
      <c r="O127" s="145"/>
      <c r="P127" s="145"/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29" t="s">
        <v>144</v>
      </c>
      <c r="B128" s="29"/>
      <c r="C128" s="29"/>
      <c r="D128" s="29"/>
      <c r="E128" s="29"/>
      <c r="F128" s="135"/>
      <c r="G128" s="29" t="s">
        <v>144</v>
      </c>
      <c r="H128" s="29"/>
      <c r="I128" s="29"/>
      <c r="J128" s="29"/>
      <c r="K128" s="29"/>
      <c r="L128" s="135"/>
      <c r="M128" s="29" t="s">
        <v>144</v>
      </c>
      <c r="N128" s="29"/>
      <c r="O128" s="29"/>
      <c r="P128" s="29"/>
      <c r="Q128" s="29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/>
      <c r="B129" s="145"/>
      <c r="C129" s="145"/>
      <c r="D129" s="145"/>
      <c r="E129" s="146"/>
      <c r="F129" s="135"/>
      <c r="G129" s="138"/>
      <c r="H129" s="145"/>
      <c r="I129" s="145"/>
      <c r="J129" s="145"/>
      <c r="K129" s="146"/>
      <c r="L129" s="135"/>
      <c r="M129" s="138"/>
      <c r="N129" s="145"/>
      <c r="O129" s="145"/>
      <c r="P129" s="145"/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138" t="s">
        <v>145</v>
      </c>
      <c r="B130" s="117" t="n">
        <v>0</v>
      </c>
      <c r="C130" s="117"/>
      <c r="D130" s="145"/>
      <c r="E130" s="146"/>
      <c r="F130" s="135"/>
      <c r="G130" s="138" t="s">
        <v>145</v>
      </c>
      <c r="H130" s="117" t="n">
        <v>0</v>
      </c>
      <c r="I130" s="117"/>
      <c r="J130" s="145"/>
      <c r="K130" s="146"/>
      <c r="L130" s="135"/>
      <c r="M130" s="138" t="s">
        <v>145</v>
      </c>
      <c r="N130" s="117" t="n">
        <v>0</v>
      </c>
      <c r="O130" s="117"/>
      <c r="P130" s="145"/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81</v>
      </c>
      <c r="B132" s="145" t="s">
        <v>82</v>
      </c>
      <c r="C132" s="145"/>
      <c r="D132" s="145" t="s">
        <v>84</v>
      </c>
      <c r="E132" s="146"/>
      <c r="F132" s="135"/>
      <c r="G132" s="138" t="s">
        <v>81</v>
      </c>
      <c r="H132" s="145" t="s">
        <v>82</v>
      </c>
      <c r="I132" s="145"/>
      <c r="J132" s="145" t="s">
        <v>84</v>
      </c>
      <c r="K132" s="146"/>
      <c r="L132" s="135"/>
      <c r="M132" s="138" t="s">
        <v>81</v>
      </c>
      <c r="N132" s="145" t="s">
        <v>82</v>
      </c>
      <c r="O132" s="145"/>
      <c r="P132" s="145" t="s">
        <v>84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6"/>
      <c r="F133" s="135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6"/>
      <c r="L133" s="135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212" t="s">
        <v>146</v>
      </c>
      <c r="B135" s="213" t="s">
        <v>147</v>
      </c>
      <c r="C135" s="213"/>
      <c r="D135" s="213" t="s">
        <v>112</v>
      </c>
      <c r="E135" s="146"/>
      <c r="F135" s="135"/>
      <c r="G135" s="212" t="s">
        <v>148</v>
      </c>
      <c r="H135" s="213" t="s">
        <v>149</v>
      </c>
      <c r="I135" s="213"/>
      <c r="J135" s="213" t="s">
        <v>150</v>
      </c>
      <c r="K135" s="146"/>
      <c r="L135" s="135"/>
      <c r="M135" s="212" t="s">
        <v>146</v>
      </c>
      <c r="N135" s="213" t="s">
        <v>147</v>
      </c>
      <c r="O135" s="213"/>
      <c r="P135" s="213" t="s">
        <v>112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2" t="n">
        <f aca="false">B96</f>
        <v>567.899522656985</v>
      </c>
      <c r="B136" s="214" t="n">
        <f aca="false">IF(A111="YES", B95*B63, 0)</f>
        <v>0</v>
      </c>
      <c r="C136" s="214"/>
      <c r="D136" s="214" t="n">
        <f aca="false">B97</f>
        <v>567.899522656985</v>
      </c>
      <c r="E136" s="146"/>
      <c r="F136" s="135"/>
      <c r="G136" s="122" t="e">
        <f aca="false">H96</f>
        <v>#DIV/0!</v>
      </c>
      <c r="H136" s="214" t="e">
        <f aca="false">IF(G111="YES", H95*H63, 0)</f>
        <v>#DIV/0!</v>
      </c>
      <c r="I136" s="214"/>
      <c r="J136" s="124" t="e">
        <f aca="false">H97</f>
        <v>#DIV/0!</v>
      </c>
      <c r="K136" s="146"/>
      <c r="L136" s="135"/>
      <c r="M136" s="122" t="e">
        <f aca="false">N96</f>
        <v>#DIV/0!</v>
      </c>
      <c r="N136" s="214" t="e">
        <f aca="false">IF(M111="YES", N95*N63, 0)</f>
        <v>#DIV/0!</v>
      </c>
      <c r="O136" s="214"/>
      <c r="P136" s="214" t="e">
        <f aca="false">N97</f>
        <v>#DIV/0!</v>
      </c>
      <c r="Q136" s="146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151</v>
      </c>
      <c r="B138" s="145" t="s">
        <v>152</v>
      </c>
      <c r="C138" s="145"/>
      <c r="D138" s="145" t="s">
        <v>153</v>
      </c>
      <c r="E138" s="146"/>
      <c r="F138" s="135"/>
      <c r="G138" s="138" t="s">
        <v>154</v>
      </c>
      <c r="H138" s="145" t="s">
        <v>155</v>
      </c>
      <c r="I138" s="145"/>
      <c r="J138" s="145" t="s">
        <v>156</v>
      </c>
      <c r="K138" s="146"/>
      <c r="L138" s="135"/>
      <c r="M138" s="138" t="s">
        <v>151</v>
      </c>
      <c r="N138" s="145" t="s">
        <v>152</v>
      </c>
      <c r="O138" s="145"/>
      <c r="P138" s="145" t="s">
        <v>153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5" t="n">
        <f aca="false">B96*B63</f>
        <v>5111.09570391287</v>
      </c>
      <c r="B139" s="215" t="n">
        <f aca="false">IF(A111="YES", B95*B63, 0)</f>
        <v>0</v>
      </c>
      <c r="C139" s="155"/>
      <c r="D139" s="128" t="n">
        <f aca="false">B97*B63</f>
        <v>5111.09570391287</v>
      </c>
      <c r="E139" s="146"/>
      <c r="F139" s="135"/>
      <c r="G139" s="125" t="e">
        <f aca="false">H96*H63</f>
        <v>#DIV/0!</v>
      </c>
      <c r="H139" s="215" t="e">
        <f aca="false">IF(G111="YES", H95*H63, 0)</f>
        <v>#DIV/0!</v>
      </c>
      <c r="I139" s="155"/>
      <c r="J139" s="215" t="e">
        <f aca="false">H97*H63</f>
        <v>#DIV/0!</v>
      </c>
      <c r="K139" s="146"/>
      <c r="L139" s="135"/>
      <c r="M139" s="125" t="e">
        <f aca="false">N96*N63</f>
        <v>#DIV/0!</v>
      </c>
      <c r="N139" s="215" t="e">
        <f aca="false">IF(M111="YES", N95*N63, 0)</f>
        <v>#DIV/0!</v>
      </c>
      <c r="O139" s="155"/>
      <c r="P139" s="128" t="e">
        <f aca="false">N97*N63</f>
        <v>#DIV/0!</v>
      </c>
      <c r="Q139" s="146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157</v>
      </c>
      <c r="B141" s="145" t="s">
        <v>158</v>
      </c>
      <c r="C141" s="145"/>
      <c r="D141" s="145" t="s">
        <v>159</v>
      </c>
      <c r="E141" s="146"/>
      <c r="F141" s="135"/>
      <c r="G141" s="138" t="s">
        <v>160</v>
      </c>
      <c r="H141" s="145" t="s">
        <v>161</v>
      </c>
      <c r="I141" s="145"/>
      <c r="J141" s="145" t="s">
        <v>162</v>
      </c>
      <c r="K141" s="146"/>
      <c r="L141" s="135"/>
      <c r="M141" s="138" t="s">
        <v>157</v>
      </c>
      <c r="N141" s="145" t="s">
        <v>158</v>
      </c>
      <c r="O141" s="145"/>
      <c r="P141" s="145" t="s">
        <v>159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E15*0.000006</f>
        <v>0.35115</v>
      </c>
      <c r="B142" s="215" t="n">
        <f aca="false">IF(A111="YES", E15*0.000002, 0)</f>
        <v>0</v>
      </c>
      <c r="C142" s="215"/>
      <c r="D142" s="215" t="n">
        <f aca="false">A142+B142</f>
        <v>0.35115</v>
      </c>
      <c r="E142" s="130"/>
      <c r="F142" s="135"/>
      <c r="G142" s="129" t="n">
        <f aca="false">E15*0.000006</f>
        <v>0.35115</v>
      </c>
      <c r="H142" s="215" t="n">
        <f aca="false">IF(G111="YES", E15*0.000002, 0)</f>
        <v>0.11705</v>
      </c>
      <c r="I142" s="215"/>
      <c r="J142" s="215" t="n">
        <f aca="false">G142+H142</f>
        <v>0.4682</v>
      </c>
      <c r="K142" s="130"/>
      <c r="L142" s="135"/>
      <c r="M142" s="129" t="n">
        <f aca="false">E15*0.000006</f>
        <v>0.35115</v>
      </c>
      <c r="N142" s="215" t="n">
        <f aca="false">IF(M111="YES", E15*0.000002, 0)</f>
        <v>0.11705</v>
      </c>
      <c r="O142" s="215"/>
      <c r="P142" s="215" t="n">
        <f aca="false">M142+N142</f>
        <v>0.4682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163</v>
      </c>
      <c r="B144" s="145" t="s">
        <v>164</v>
      </c>
      <c r="C144" s="145"/>
      <c r="D144" s="145" t="s">
        <v>165</v>
      </c>
      <c r="E144" s="146"/>
      <c r="F144" s="135"/>
      <c r="G144" s="138" t="s">
        <v>166</v>
      </c>
      <c r="H144" s="145" t="s">
        <v>164</v>
      </c>
      <c r="I144" s="145"/>
      <c r="J144" s="145" t="s">
        <v>165</v>
      </c>
      <c r="K144" s="146"/>
      <c r="L144" s="135"/>
      <c r="M144" s="138" t="s">
        <v>163</v>
      </c>
      <c r="N144" s="145" t="s">
        <v>164</v>
      </c>
      <c r="O144" s="145"/>
      <c r="P144" s="145" t="s">
        <v>165</v>
      </c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f aca="false">A108</f>
        <v>199.99</v>
      </c>
      <c r="B145" s="215" t="n">
        <f aca="false">B73/1.2</f>
        <v>482.375</v>
      </c>
      <c r="C145" s="215"/>
      <c r="D145" s="215" t="n">
        <f aca="false">B108*0.9</f>
        <v>0</v>
      </c>
      <c r="E145" s="130"/>
      <c r="F145" s="135"/>
      <c r="G145" s="129" t="n">
        <f aca="false">G108</f>
        <v>239.988</v>
      </c>
      <c r="H145" s="215" t="n">
        <f aca="false">H73/1.2</f>
        <v>241.1875</v>
      </c>
      <c r="I145" s="215"/>
      <c r="J145" s="215" t="n">
        <f aca="false">H108*0.9</f>
        <v>1080</v>
      </c>
      <c r="K145" s="130"/>
      <c r="L145" s="135"/>
      <c r="M145" s="129" t="n">
        <f aca="false">M108</f>
        <v>199.99</v>
      </c>
      <c r="N145" s="215" t="n">
        <f aca="false">N73/1.2</f>
        <v>241.1875</v>
      </c>
      <c r="O145" s="215"/>
      <c r="P145" s="215" t="n">
        <f aca="false">N108*0.9</f>
        <v>1080</v>
      </c>
      <c r="Q145" s="130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38"/>
      <c r="N146" s="14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 t="s">
        <v>167</v>
      </c>
      <c r="B147" s="145" t="s">
        <v>168</v>
      </c>
      <c r="C147" s="145"/>
      <c r="D147" s="145" t="s">
        <v>169</v>
      </c>
      <c r="E147" s="146"/>
      <c r="F147" s="135"/>
      <c r="G147" s="138" t="s">
        <v>167</v>
      </c>
      <c r="H147" s="145" t="s">
        <v>168</v>
      </c>
      <c r="I147" s="145"/>
      <c r="J147" s="145" t="s">
        <v>169</v>
      </c>
      <c r="K147" s="146"/>
      <c r="L147" s="135"/>
      <c r="M147" s="138" t="s">
        <v>167</v>
      </c>
      <c r="N147" s="145" t="s">
        <v>168</v>
      </c>
      <c r="O147" s="145"/>
      <c r="P147" s="145" t="s">
        <v>169</v>
      </c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5" t="n">
        <f aca="false">A108-100</f>
        <v>99.99</v>
      </c>
      <c r="C148" s="215"/>
      <c r="D148" s="215" t="n">
        <f aca="false">(B145+D145+A148+B148)-B151</f>
        <v>582.365</v>
      </c>
      <c r="E148" s="130"/>
      <c r="F148" s="135"/>
      <c r="G148" s="129" t="n">
        <f aca="false">IF(G111="YES", ((A41*H111)*0.1)*(G133), 0)</f>
        <v>1.2672</v>
      </c>
      <c r="H148" s="215" t="n">
        <f aca="false">G108-100</f>
        <v>139.988</v>
      </c>
      <c r="I148" s="215"/>
      <c r="J148" s="215" t="n">
        <f aca="false">(H145+J145+G148+H148)-H151</f>
        <v>1462.4427</v>
      </c>
      <c r="K148" s="130"/>
      <c r="L148" s="135"/>
      <c r="M148" s="129" t="n">
        <f aca="false">IF(M111="YES", ((A41*N111)*0.1)*(M133), 0)</f>
        <v>1.2672</v>
      </c>
      <c r="N148" s="215" t="n">
        <f aca="false">M108-100</f>
        <v>99.99</v>
      </c>
      <c r="O148" s="215"/>
      <c r="P148" s="215" t="n">
        <f aca="false">(N145+P145+M148+N148)-N151</f>
        <v>1422.4447</v>
      </c>
      <c r="Q148" s="130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45"/>
      <c r="C149" s="145"/>
      <c r="D149" s="145"/>
      <c r="E149" s="146"/>
      <c r="F149" s="135"/>
      <c r="G149" s="138"/>
      <c r="H149" s="145"/>
      <c r="I149" s="14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138" t="s">
        <v>170</v>
      </c>
      <c r="B150" s="145" t="s">
        <v>171</v>
      </c>
      <c r="C150" s="145"/>
      <c r="D150" s="145"/>
      <c r="E150" s="146"/>
      <c r="F150" s="135"/>
      <c r="G150" s="138" t="s">
        <v>170</v>
      </c>
      <c r="H150" s="145" t="s">
        <v>171</v>
      </c>
      <c r="I150" s="145"/>
      <c r="J150" s="145"/>
      <c r="K150" s="146"/>
      <c r="L150" s="135"/>
      <c r="M150" s="138" t="s">
        <v>170</v>
      </c>
      <c r="N150" s="145" t="s">
        <v>171</v>
      </c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129" t="n">
        <v>0</v>
      </c>
      <c r="B151" s="215" t="n">
        <f aca="false">(B145+D145+A148+B148)*(A151/B70)</f>
        <v>0</v>
      </c>
      <c r="C151" s="145"/>
      <c r="D151" s="145"/>
      <c r="E151" s="146"/>
      <c r="F151" s="135"/>
      <c r="G151" s="129" t="n">
        <f aca="false">IF((1200-H108) &lt;= 0, 0, (1200-H108))</f>
        <v>0</v>
      </c>
      <c r="H151" s="215" t="n">
        <f aca="false">(H145+J145+G148+H148)*(G151/H70)</f>
        <v>0</v>
      </c>
      <c r="I151" s="145"/>
      <c r="J151" s="145"/>
      <c r="K151" s="146"/>
      <c r="L151" s="135"/>
      <c r="M151" s="129" t="n">
        <f aca="false">IF((1200-N108) &lt;= 0, 0, (1200-N108))</f>
        <v>0</v>
      </c>
      <c r="N151" s="215" t="n">
        <f aca="false">(N145+P145+M148+N148)*(M151/N70)</f>
        <v>0</v>
      </c>
      <c r="O151" s="145"/>
      <c r="P151" s="145"/>
      <c r="Q151" s="146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138"/>
      <c r="B152" s="145"/>
      <c r="C152" s="145"/>
      <c r="D152" s="145"/>
      <c r="E152" s="146"/>
      <c r="F152" s="135"/>
      <c r="G152" s="138"/>
      <c r="H152" s="145"/>
      <c r="I152" s="145"/>
      <c r="J152" s="145"/>
      <c r="K152" s="146"/>
      <c r="L152" s="135"/>
      <c r="M152" s="129"/>
      <c r="N152" s="215"/>
      <c r="O152" s="14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131" t="s">
        <v>172</v>
      </c>
      <c r="N153" s="210" t="s">
        <v>173</v>
      </c>
      <c r="O153" s="145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172" t="s">
        <v>174</v>
      </c>
      <c r="B154" s="145"/>
      <c r="C154" s="145"/>
      <c r="D154" s="173"/>
      <c r="E154" s="174"/>
      <c r="F154" s="135"/>
      <c r="G154" s="172" t="s">
        <v>174</v>
      </c>
      <c r="H154" s="145"/>
      <c r="I154" s="145"/>
      <c r="J154" s="173"/>
      <c r="K154" s="174"/>
      <c r="L154" s="135"/>
      <c r="M154" s="132" t="n">
        <f aca="false">H40</f>
        <v>0</v>
      </c>
      <c r="N154" s="133" t="n">
        <v>0.99</v>
      </c>
      <c r="O154" s="13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75"/>
      <c r="C155" s="175"/>
      <c r="D155" s="145"/>
      <c r="E155" s="146"/>
      <c r="F155" s="135"/>
      <c r="G155" s="138"/>
      <c r="H155" s="175"/>
      <c r="I155" s="175"/>
      <c r="J155" s="145"/>
      <c r="K155" s="146"/>
      <c r="L155" s="135"/>
      <c r="M155" s="138"/>
      <c r="N155" s="145"/>
      <c r="O155" s="14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5"/>
      <c r="E156" s="146"/>
      <c r="F156" s="135"/>
      <c r="G156" s="71" t="s">
        <v>81</v>
      </c>
      <c r="H156" s="72" t="s">
        <v>82</v>
      </c>
      <c r="I156" s="72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5"/>
      <c r="E157" s="146"/>
      <c r="F157" s="135"/>
      <c r="G157" s="71"/>
      <c r="H157" s="73" t="str">
        <f aca="false">B57</f>
        <v>5000</v>
      </c>
      <c r="I157" s="73"/>
      <c r="J157" s="145"/>
      <c r="K157" s="146"/>
      <c r="L157" s="135"/>
      <c r="M157" s="172" t="s">
        <v>174</v>
      </c>
      <c r="N157" s="145"/>
      <c r="O157" s="145"/>
      <c r="P157" s="173"/>
      <c r="Q157" s="174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567.899522656985</v>
      </c>
      <c r="C158" s="75"/>
      <c r="D158" s="145"/>
      <c r="E158" s="146"/>
      <c r="F158" s="135"/>
      <c r="G158" s="74" t="str">
        <f aca="false">A58</f>
        <v>12</v>
      </c>
      <c r="H158" s="75" t="e">
        <f aca="false">H97</f>
        <v>#DIV/0!</v>
      </c>
      <c r="I158" s="75"/>
      <c r="J158" s="145"/>
      <c r="K158" s="146"/>
      <c r="L158" s="135"/>
      <c r="M158" s="138"/>
      <c r="N158" s="175"/>
      <c r="O158" s="17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8"/>
      <c r="B159" s="145"/>
      <c r="C159" s="145"/>
      <c r="D159" s="145"/>
      <c r="E159" s="146"/>
      <c r="F159" s="135"/>
      <c r="G159" s="138"/>
      <c r="H159" s="145"/>
      <c r="I159" s="145"/>
      <c r="J159" s="145"/>
      <c r="K159" s="146"/>
      <c r="L159" s="135"/>
      <c r="M159" s="71" t="s">
        <v>81</v>
      </c>
      <c r="N159" s="72" t="s">
        <v>82</v>
      </c>
      <c r="O159" s="72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8"/>
      <c r="B160" s="145"/>
      <c r="C160" s="145"/>
      <c r="D160" s="145"/>
      <c r="E160" s="146"/>
      <c r="F160" s="135"/>
      <c r="G160" s="138"/>
      <c r="H160" s="145"/>
      <c r="I160" s="145"/>
      <c r="J160" s="145"/>
      <c r="K160" s="146"/>
      <c r="L160" s="135"/>
      <c r="M160" s="71"/>
      <c r="N160" s="73" t="str">
        <f aca="false">B57</f>
        <v>5000</v>
      </c>
      <c r="O160" s="73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8"/>
      <c r="B161" s="145"/>
      <c r="C161" s="145"/>
      <c r="D161" s="145"/>
      <c r="E161" s="146"/>
      <c r="F161" s="135"/>
      <c r="G161" s="138"/>
      <c r="H161" s="145"/>
      <c r="I161" s="145"/>
      <c r="J161" s="145"/>
      <c r="K161" s="146"/>
      <c r="L161" s="135"/>
      <c r="M161" s="74" t="str">
        <f aca="false">A58</f>
        <v>12</v>
      </c>
      <c r="N161" s="75" t="e">
        <f aca="false">N97</f>
        <v>#DIV/0!</v>
      </c>
      <c r="O161" s="7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8"/>
      <c r="B162" s="145"/>
      <c r="C162" s="145"/>
      <c r="D162" s="145"/>
      <c r="E162" s="146"/>
      <c r="F162" s="135"/>
      <c r="G162" s="138"/>
      <c r="H162" s="145"/>
      <c r="I162" s="145"/>
      <c r="J162" s="145"/>
      <c r="K162" s="146"/>
      <c r="L162" s="135"/>
      <c r="M162" s="138"/>
      <c r="N162" s="145"/>
      <c r="O162" s="145"/>
      <c r="P162" s="145"/>
      <c r="Q162" s="146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77"/>
      <c r="B163" s="178"/>
      <c r="C163" s="178"/>
      <c r="D163" s="178"/>
      <c r="E163" s="179"/>
      <c r="F163" s="135"/>
      <c r="G163" s="177"/>
      <c r="H163" s="178"/>
      <c r="I163" s="178"/>
      <c r="J163" s="178"/>
      <c r="K163" s="179"/>
      <c r="L163" s="135"/>
      <c r="M163" s="138"/>
      <c r="N163" s="145"/>
      <c r="O163" s="145"/>
      <c r="P163" s="145"/>
      <c r="Q163" s="146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8"/>
      <c r="N164" s="145"/>
      <c r="O164" s="145"/>
      <c r="P164" s="145"/>
      <c r="Q164" s="146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8"/>
      <c r="N165" s="145"/>
      <c r="O165" s="145"/>
      <c r="P165" s="145"/>
      <c r="Q165" s="146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8"/>
      <c r="N166" s="145"/>
      <c r="O166" s="145"/>
      <c r="P166" s="145"/>
      <c r="Q166" s="146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8"/>
      <c r="N167" s="145"/>
      <c r="O167" s="145"/>
      <c r="P167" s="145"/>
      <c r="Q167" s="146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77"/>
      <c r="N168" s="178"/>
      <c r="O168" s="178"/>
      <c r="P168" s="178"/>
      <c r="Q168" s="179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8.75" hidden="false" customHeight="true" outlineLevel="0" collapsed="false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customFormat="false" ht="18.75" hidden="false" customHeight="true" outlineLevel="0" collapsed="false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customFormat="false" ht="18.75" hidden="false" customHeight="true" outlineLevel="0" collapsed="false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customFormat="false" ht="18.75" hidden="false" customHeight="true" outlineLevel="0" collapsed="false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customFormat="false" ht="18.75" hidden="false" customHeight="true" outlineLevel="0" collapsed="false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customFormat="false" ht="18.75" hidden="false" customHeight="true" outlineLevel="0" collapsed="false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95" activeCellId="0" sqref="B95"/>
    </sheetView>
  </sheetViews>
  <sheetFormatPr defaultColWidth="10.87890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customFormat="false" ht="18.75" hidden="false" customHeight="true" outlineLevel="0" collapsed="false">
      <c r="A2" s="136"/>
      <c r="B2" s="137" t="s">
        <v>1</v>
      </c>
      <c r="C2" s="137" t="s">
        <v>2</v>
      </c>
      <c r="D2" s="137" t="s">
        <v>3</v>
      </c>
      <c r="E2" s="5" t="s">
        <v>4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customFormat="false" ht="18.75" hidden="false" customHeight="true" outlineLevel="0" collapsed="false">
      <c r="A3" s="138" t="s">
        <v>5</v>
      </c>
      <c r="B3" s="139" t="n">
        <v>46854.17</v>
      </c>
      <c r="C3" s="139" t="n">
        <v>0</v>
      </c>
      <c r="D3" s="139" t="n">
        <v>833.33</v>
      </c>
      <c r="E3" s="140" t="n">
        <v>0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customFormat="false" ht="18.75" hidden="false" customHeight="tru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2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customFormat="false" ht="18.75" hidden="false" customHeight="tru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43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customFormat="false" ht="18.75" hidden="false" customHeight="true" outlineLevel="0" collapsed="false">
      <c r="A6" s="138" t="s">
        <v>8</v>
      </c>
      <c r="B6" s="144" t="n">
        <f aca="false">(B3*B4/100)+B5</f>
        <v>0</v>
      </c>
      <c r="C6" s="144" t="n">
        <f aca="false">(C3*C4/100)+C5</f>
        <v>0</v>
      </c>
      <c r="D6" s="144" t="n">
        <f aca="false">(D3*D4/100)+D5</f>
        <v>0</v>
      </c>
      <c r="E6" s="143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customFormat="false" ht="18.75" hidden="false" customHeight="true" outlineLevel="0" collapsed="false">
      <c r="A7" s="138" t="s">
        <v>9</v>
      </c>
      <c r="B7" s="144" t="n">
        <f aca="false">B3-B6</f>
        <v>46854.17</v>
      </c>
      <c r="C7" s="144" t="n">
        <f aca="false">C3-C6</f>
        <v>0</v>
      </c>
      <c r="D7" s="144" t="n">
        <f aca="false">D3-D6</f>
        <v>833.33</v>
      </c>
      <c r="E7" s="14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customFormat="false" ht="18.75" hidden="false" customHeight="true" outlineLevel="0" collapsed="false">
      <c r="A8" s="138"/>
      <c r="B8" s="145"/>
      <c r="C8" s="145"/>
      <c r="D8" s="145"/>
      <c r="E8" s="146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7" t="n">
        <f aca="false">B7+C7+D7+E3</f>
        <v>47687.5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40" t="n">
        <v>550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3" t="n">
        <f aca="false">(E9+E10)*20%</f>
        <v>9647.5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40" t="n">
        <v>0</v>
      </c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40" t="n">
        <v>585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40" t="n">
        <v>55</v>
      </c>
      <c r="F14" s="135"/>
      <c r="G14" s="135" t="s">
        <v>16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8" t="n">
        <f aca="false">(E9+E10+E13+E14+E11)-E12</f>
        <v>58525</v>
      </c>
      <c r="F15" s="135"/>
      <c r="G15" s="149" t="n">
        <f aca="false">E15</f>
        <v>58525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40" t="n">
        <v>0</v>
      </c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20" t="s">
        <v>19</v>
      </c>
      <c r="Z16" s="135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6"/>
      <c r="F17" s="135"/>
      <c r="G17" s="135" t="s">
        <v>21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20" t="s">
        <v>22</v>
      </c>
      <c r="Z17" s="135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50" t="n">
        <v>0</v>
      </c>
      <c r="F18" s="135"/>
      <c r="G18" s="149" t="n">
        <f aca="false">(B3+C3+D3+E3+E10)*1.2</f>
        <v>57885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0" t="s">
        <v>24</v>
      </c>
      <c r="Z18" s="135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50" t="n">
        <v>0</v>
      </c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50" t="n">
        <v>0</v>
      </c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1" t="n">
        <f aca="false">E15-((E18*1.2)+(E19*1.2)+(E20*1.2)+(E16*1.2))</f>
        <v>58525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customFormat="false" ht="18.75" hidden="false" customHeight="true" outlineLevel="0" collapsed="false">
      <c r="A22" s="145"/>
      <c r="B22" s="145"/>
      <c r="C22" s="145"/>
      <c r="D22" s="145"/>
      <c r="E22" s="14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customFormat="false" ht="17.35" hidden="false" customHeight="false" outlineLevel="0" collapsed="false">
      <c r="A23" s="145"/>
      <c r="B23" s="145"/>
      <c r="C23" s="145"/>
      <c r="D23" s="145"/>
      <c r="E23" s="14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customFormat="false" ht="18.75" hidden="false" customHeight="true" outlineLevel="0" collapsed="false">
      <c r="A25" s="138"/>
      <c r="B25" s="145"/>
      <c r="C25" s="145"/>
      <c r="D25" s="145"/>
      <c r="E25" s="146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5"/>
      <c r="G26" s="152"/>
      <c r="H26" s="15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customFormat="false" ht="18.75" hidden="false" customHeight="true" outlineLevel="0" collapsed="false">
      <c r="A27" s="138"/>
      <c r="B27" s="145"/>
      <c r="C27" s="145"/>
      <c r="D27" s="145"/>
      <c r="E27" s="146"/>
      <c r="F27" s="135"/>
      <c r="G27" s="153" t="s">
        <v>83</v>
      </c>
      <c r="H27" s="153" t="n">
        <f aca="false">IF(A32=Y103,1,IF(A32=Y104,1,IF(A32=Y105,3,IF(A32=Y106,6,IF(A32=Y107,9,IF(A32=Y108,12,IF(A32=Y109,3,IF(A32=Y110,6,IF(A32=Y111,9,0)))))))))</f>
        <v>0</v>
      </c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customFormat="false" ht="18.75" hidden="false" customHeight="true" outlineLevel="0" collapsed="false">
      <c r="A28" s="154" t="s">
        <v>33</v>
      </c>
      <c r="B28" s="155" t="s">
        <v>34</v>
      </c>
      <c r="C28" s="145"/>
      <c r="D28" s="155" t="s">
        <v>35</v>
      </c>
      <c r="E28" s="146"/>
      <c r="F28" s="135"/>
      <c r="G28" s="153" t="s">
        <v>84</v>
      </c>
      <c r="H28" s="153" t="n">
        <f aca="false">IF(A32=Y103,H29-H37,IF(A32=Y104,H29-H37,IF(A32=Y105,H29-1,IF(A32=Y106,H29-1,IF(A32=Y107,H29-1,IF(A32=Y108,H29-1,IF(A32=Y109,H29-H37,IF(A32=Y110,H29-H37,IF(A32=Y111,H29-H37,0)))))))))</f>
        <v>0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customFormat="false" ht="18.75" hidden="false" customHeight="true" outlineLevel="0" collapsed="false">
      <c r="A29" s="156" t="s">
        <v>37</v>
      </c>
      <c r="B29" s="37" t="n">
        <v>12345</v>
      </c>
      <c r="C29" s="37"/>
      <c r="D29" s="157" t="n">
        <f aca="true">TODAY()+1</f>
        <v>44926</v>
      </c>
      <c r="E29" s="157"/>
      <c r="F29" s="135"/>
      <c r="G29" s="152" t="s">
        <v>38</v>
      </c>
      <c r="H29" s="152" t="str">
        <f aca="false">B35</f>
        <v>12</v>
      </c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customFormat="false" ht="18.75" hidden="false" customHeight="true" outlineLevel="0" collapsed="false">
      <c r="A30" s="138"/>
      <c r="B30" s="40"/>
      <c r="C30" s="40"/>
      <c r="D30" s="145"/>
      <c r="E30" s="146"/>
      <c r="F30" s="135"/>
      <c r="G30" s="152" t="s">
        <v>39</v>
      </c>
      <c r="H30" s="152" t="str">
        <f aca="false">D35</f>
        <v>5000</v>
      </c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customFormat="false" ht="18.75" hidden="false" customHeight="true" outlineLevel="0" collapsed="false">
      <c r="A31" s="154" t="s">
        <v>30</v>
      </c>
      <c r="B31" s="155" t="s">
        <v>175</v>
      </c>
      <c r="C31" s="145"/>
      <c r="D31" s="155" t="s">
        <v>152</v>
      </c>
      <c r="E31" s="146"/>
      <c r="F31" s="135"/>
      <c r="G31" s="152" t="s">
        <v>176</v>
      </c>
      <c r="H31" s="158" t="str">
        <f aca="false">D38</f>
        <v>500</v>
      </c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customFormat="false" ht="18.75" hidden="false" customHeight="true" outlineLevel="0" collapsed="false">
      <c r="A32" s="156" t="s">
        <v>117</v>
      </c>
      <c r="B32" s="159" t="str">
        <f aca="false">IF(A32=Z103,D38,IF(A32=Z104,D38,IF(A32=Z105,(D38*3),IF(A32=Z106,(D38*6),IF(A32=Z107,(D38*9),IF(A32=Z108,(D38*12),IF(A32=Z109,D38,IF(A32=Z110,D38,IF(A32=Z111,D38,0)))))))))</f>
        <v>500</v>
      </c>
      <c r="C32" s="159"/>
      <c r="D32" s="159" t="n">
        <f aca="false">IF(A32=Z103,A41,IF(A32=Z104,A41,IF(A32=Z105,(A41*3),IF(A32=Z106,(A41*6),IF(A32=Z107,(A41*9),IF(A32=Z108,(A41*12),IF(A32=Z109,A41,IF(A32=Z110,A41,IF(A32=Z111,A41,0)))))))))</f>
        <v>0</v>
      </c>
      <c r="E32" s="159"/>
      <c r="F32" s="135"/>
      <c r="G32" s="160" t="s">
        <v>177</v>
      </c>
      <c r="H32" s="158" t="n">
        <f aca="false">A41</f>
        <v>0</v>
      </c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customFormat="false" ht="18.75" hidden="false" customHeight="true" outlineLevel="0" collapsed="false">
      <c r="A33" s="43"/>
      <c r="B33" s="118"/>
      <c r="C33" s="45"/>
      <c r="D33" s="161"/>
      <c r="E33" s="146"/>
      <c r="F33" s="135"/>
      <c r="G33" s="160" t="s">
        <v>178</v>
      </c>
      <c r="H33" s="158" t="n">
        <f aca="false">D41</f>
        <v>6000</v>
      </c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customFormat="false" ht="18.75" hidden="false" customHeight="true" outlineLevel="0" collapsed="false">
      <c r="A34" s="43" t="s">
        <v>153</v>
      </c>
      <c r="B34" s="48" t="s">
        <v>179</v>
      </c>
      <c r="C34" s="45"/>
      <c r="D34" s="49" t="s">
        <v>41</v>
      </c>
      <c r="E34" s="146"/>
      <c r="F34" s="135"/>
      <c r="G34" s="160" t="s">
        <v>180</v>
      </c>
      <c r="H34" s="158" t="str">
        <f aca="false">A44</f>
        <v>12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customFormat="false" ht="18.75" hidden="false" customHeight="true" outlineLevel="0" collapsed="false">
      <c r="A35" s="159" t="n">
        <f aca="false">B32+D32</f>
        <v>500</v>
      </c>
      <c r="B35" s="37" t="s">
        <v>44</v>
      </c>
      <c r="C35" s="37"/>
      <c r="D35" s="37" t="s">
        <v>45</v>
      </c>
      <c r="E35" s="37"/>
      <c r="F35" s="135"/>
      <c r="G35" s="162"/>
      <c r="H35" s="163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customFormat="false" ht="18.75" hidden="false" customHeight="true" outlineLevel="0" collapsed="false">
      <c r="A36" s="138"/>
      <c r="B36" s="145"/>
      <c r="C36" s="145"/>
      <c r="D36" s="145"/>
      <c r="E36" s="146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customFormat="false" ht="18.75" hidden="false" customHeight="true" outlineLevel="0" collapsed="false">
      <c r="A37" s="154" t="s">
        <v>42</v>
      </c>
      <c r="B37" s="155" t="s">
        <v>181</v>
      </c>
      <c r="C37" s="145"/>
      <c r="D37" s="155" t="s">
        <v>182</v>
      </c>
      <c r="E37" s="146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customFormat="false" ht="18.75" hidden="false" customHeight="true" outlineLevel="0" collapsed="false">
      <c r="A38" s="164" t="n">
        <f aca="false">(B35/12)*D35</f>
        <v>5000</v>
      </c>
      <c r="B38" s="37" t="s">
        <v>26</v>
      </c>
      <c r="C38" s="37"/>
      <c r="D38" s="42" t="s">
        <v>55</v>
      </c>
      <c r="E38" s="42"/>
      <c r="F38" s="135"/>
      <c r="G38" s="135"/>
      <c r="H38" s="135"/>
      <c r="I38" s="16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customFormat="false" ht="18.75" hidden="false" customHeight="true" outlineLevel="0" collapsed="false">
      <c r="A39" s="57"/>
      <c r="B39" s="45"/>
      <c r="C39" s="45"/>
      <c r="D39" s="145"/>
      <c r="E39" s="146"/>
      <c r="F39" s="135"/>
      <c r="G39" s="135"/>
      <c r="H39" s="165"/>
      <c r="I39" s="165"/>
      <c r="J39" s="16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customFormat="false" ht="18.75" hidden="false" customHeight="true" outlineLevel="0" collapsed="false">
      <c r="A40" s="58" t="s">
        <v>147</v>
      </c>
      <c r="B40" s="59" t="s">
        <v>112</v>
      </c>
      <c r="C40" s="45"/>
      <c r="D40" s="128" t="s">
        <v>183</v>
      </c>
      <c r="E40" s="146"/>
      <c r="F40" s="135"/>
      <c r="G40" s="135"/>
      <c r="H40" s="165"/>
      <c r="I40" s="16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6" t="n">
        <v>6000</v>
      </c>
      <c r="E41" s="166"/>
      <c r="F41" s="135"/>
      <c r="G41" s="135"/>
      <c r="H41" s="167"/>
      <c r="I41" s="16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5"/>
      <c r="G42" s="168" t="s">
        <v>56</v>
      </c>
      <c r="H42" s="168"/>
      <c r="I42" s="16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customFormat="false" ht="18.75" hidden="false" customHeight="true" outlineLevel="0" collapsed="false">
      <c r="A43" s="58" t="s">
        <v>163</v>
      </c>
      <c r="B43" s="59" t="s">
        <v>157</v>
      </c>
      <c r="C43" s="45"/>
      <c r="D43" s="59" t="s">
        <v>158</v>
      </c>
      <c r="E43" s="61"/>
      <c r="F43" s="135"/>
      <c r="G43" s="135" t="s">
        <v>184</v>
      </c>
      <c r="H43" s="165" t="n">
        <f aca="false">((((D38*(B35-1))+B32)/B35) + (A44/B35))</f>
        <v>501</v>
      </c>
      <c r="I43" s="16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customFormat="false" ht="18.75" hidden="false" customHeight="true" outlineLevel="0" collapsed="false">
      <c r="A44" s="42" t="s">
        <v>44</v>
      </c>
      <c r="B44" s="166" t="n">
        <v>0</v>
      </c>
      <c r="C44" s="166"/>
      <c r="D44" s="166" t="n">
        <v>0</v>
      </c>
      <c r="E44" s="166"/>
      <c r="F44" s="135"/>
      <c r="G44" s="135" t="s">
        <v>185</v>
      </c>
      <c r="H44" s="165" t="n">
        <f aca="false">H32</f>
        <v>0</v>
      </c>
      <c r="I44" s="62" t="n">
        <f aca="false">((A41*(B35-1))+D32)/B35</f>
        <v>0</v>
      </c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5"/>
      <c r="G45" s="135" t="s">
        <v>186</v>
      </c>
      <c r="H45" s="169" t="n">
        <f aca="false">H43+H44</f>
        <v>501</v>
      </c>
      <c r="I45" s="16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customFormat="false" ht="18.75" hidden="false" customHeight="true" outlineLevel="0" collapsed="false">
      <c r="A46" s="58" t="s">
        <v>159</v>
      </c>
      <c r="B46" s="59" t="s">
        <v>187</v>
      </c>
      <c r="C46" s="45"/>
      <c r="D46" s="59" t="s">
        <v>188</v>
      </c>
      <c r="E46" s="61"/>
      <c r="F46" s="135"/>
      <c r="G46" s="135" t="s">
        <v>189</v>
      </c>
      <c r="H46" s="165" t="n">
        <f aca="false">H43</f>
        <v>501</v>
      </c>
      <c r="I46" s="16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customFormat="false" ht="18.75" hidden="false" customHeight="true" outlineLevel="0" collapsed="false">
      <c r="A47" s="170" t="n">
        <v>0</v>
      </c>
      <c r="B47" s="171" t="n">
        <v>0</v>
      </c>
      <c r="C47" s="171"/>
      <c r="D47" s="166" t="n">
        <v>0</v>
      </c>
      <c r="E47" s="166"/>
      <c r="F47" s="135"/>
      <c r="G47" s="135"/>
      <c r="H47" s="165"/>
      <c r="I47" s="16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5"/>
      <c r="G48" s="135"/>
      <c r="H48" s="165"/>
      <c r="I48" s="16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5"/>
      <c r="G49" s="135"/>
      <c r="H49" s="165"/>
      <c r="I49" s="16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customFormat="false" ht="18.75" hidden="false" customHeight="true" outlineLevel="0" collapsed="false">
      <c r="B50" s="45"/>
      <c r="C50" s="45"/>
      <c r="D50" s="45"/>
      <c r="E50" s="61"/>
      <c r="F50" s="135"/>
      <c r="G50" s="135"/>
      <c r="H50" s="165"/>
      <c r="I50" s="16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5"/>
      <c r="G51" s="135"/>
      <c r="H51" s="165"/>
      <c r="I51" s="16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customFormat="false" ht="18.75" hidden="false" customHeight="true" outlineLevel="0" collapsed="false">
      <c r="A52" s="65" t="s">
        <v>73</v>
      </c>
      <c r="B52" s="45"/>
      <c r="C52" s="45"/>
      <c r="D52" s="45"/>
      <c r="E52" s="61"/>
      <c r="F52" s="135"/>
      <c r="G52" s="135"/>
      <c r="H52" s="165"/>
      <c r="I52" s="16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5"/>
      <c r="G53" s="135"/>
      <c r="H53" s="165"/>
      <c r="I53" s="16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customFormat="false" ht="18.75" hidden="false" customHeight="true" outlineLevel="0" collapsed="false">
      <c r="A54" s="172" t="s">
        <v>73</v>
      </c>
      <c r="B54" s="145"/>
      <c r="C54" s="145"/>
      <c r="D54" s="173"/>
      <c r="E54" s="174"/>
      <c r="F54" s="135"/>
      <c r="G54" s="135"/>
      <c r="H54" s="165"/>
      <c r="I54" s="16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customFormat="false" ht="18.75" hidden="false" customHeight="true" outlineLevel="0" collapsed="false">
      <c r="A55" s="138"/>
      <c r="B55" s="175"/>
      <c r="C55" s="175"/>
      <c r="D55" s="145"/>
      <c r="E55" s="146"/>
      <c r="F55" s="135"/>
      <c r="G55" s="135"/>
      <c r="H55" s="176"/>
      <c r="I55" s="16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customFormat="false" ht="18.75" hidden="false" customHeight="true" outlineLevel="0" collapsed="false">
      <c r="A56" s="71" t="s">
        <v>81</v>
      </c>
      <c r="B56" s="72" t="s">
        <v>82</v>
      </c>
      <c r="C56" s="72"/>
      <c r="D56" s="145"/>
      <c r="E56" s="146"/>
      <c r="F56" s="135"/>
      <c r="G56" s="135"/>
      <c r="H56" s="135"/>
      <c r="I56" s="16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5"/>
      <c r="E57" s="146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5"/>
      <c r="E58" s="146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customFormat="false" ht="18.75" hidden="false" customHeight="true" outlineLevel="0" collapsed="false">
      <c r="A59" s="138"/>
      <c r="B59" s="145"/>
      <c r="C59" s="145"/>
      <c r="D59" s="145"/>
      <c r="E59" s="146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customFormat="false" ht="18.75" hidden="false" customHeight="true" outlineLevel="0" collapsed="false">
      <c r="A60" s="177"/>
      <c r="B60" s="178"/>
      <c r="C60" s="178"/>
      <c r="D60" s="178"/>
      <c r="E60" s="179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customFormat="false" ht="18.75" hidden="false" customHeight="true" outlineLevel="0" collapsed="false">
      <c r="A61" s="145"/>
      <c r="B61" s="145"/>
      <c r="C61" s="145"/>
      <c r="D61" s="145"/>
      <c r="E61" s="145"/>
      <c r="F61" s="135"/>
      <c r="G61" s="145"/>
      <c r="H61" s="145"/>
      <c r="I61" s="145"/>
      <c r="J61" s="145"/>
      <c r="K61" s="145"/>
      <c r="L61" s="135"/>
      <c r="M61" s="145"/>
      <c r="N61" s="145"/>
      <c r="O61" s="145"/>
      <c r="P61" s="145"/>
      <c r="Q61" s="145"/>
      <c r="R61" s="135"/>
      <c r="S61" s="135"/>
      <c r="T61" s="135"/>
      <c r="U61" s="135"/>
      <c r="V61" s="135"/>
      <c r="W61" s="135"/>
      <c r="X61" s="135"/>
      <c r="Y61" s="135"/>
      <c r="Z61" s="135"/>
    </row>
    <row r="62" customFormat="false" ht="18.75" hidden="false" customHeight="true" outlineLevel="0" collapsed="false">
      <c r="A62" s="180"/>
      <c r="B62" s="181"/>
      <c r="C62" s="181"/>
      <c r="D62" s="181"/>
      <c r="E62" s="182"/>
      <c r="F62" s="135"/>
      <c r="G62" s="180"/>
      <c r="H62" s="181"/>
      <c r="I62" s="181"/>
      <c r="J62" s="181"/>
      <c r="K62" s="182"/>
      <c r="L62" s="135"/>
      <c r="M62" s="180"/>
      <c r="N62" s="181"/>
      <c r="O62" s="181"/>
      <c r="P62" s="181"/>
      <c r="Q62" s="182"/>
      <c r="R62" s="135"/>
      <c r="S62" s="135"/>
      <c r="T62" s="135"/>
      <c r="U62" s="135"/>
      <c r="V62" s="135"/>
      <c r="W62" s="135"/>
      <c r="X62" s="135"/>
      <c r="Y62" s="135"/>
      <c r="Z62" s="135"/>
    </row>
    <row r="63" customFormat="false" ht="18.75" hidden="false" customHeight="true" outlineLevel="0" collapsed="false">
      <c r="A63" s="138" t="s">
        <v>83</v>
      </c>
      <c r="B63" s="145" t="n">
        <f aca="false">IF(B105=Z103,1,IF(B105=Z104,1,IF(B105=Z105,3,IF(B105=Z106,6,IF(B105=Z107,9,IF(B105=Z108,12,IF(B105=Z109,3,IF(B105=Z110,6,IF(B105=Z111,9,0)))))))))</f>
        <v>9</v>
      </c>
      <c r="C63" s="145"/>
      <c r="D63" s="145"/>
      <c r="E63" s="146"/>
      <c r="F63" s="135"/>
      <c r="G63" s="138" t="s">
        <v>83</v>
      </c>
      <c r="H63" s="145" t="n">
        <f aca="false">IF(H105=Y103,1,IF(H105=Y104,1,IF(H105=Y105,3,IF(H105=Y106,6,IF(H105=Y107,9,IF(H105=Y108,12,IF(H105=Y109,3,IF(H105=Y110,6,IF(H105=Y111,9,0)))))))))</f>
        <v>0</v>
      </c>
      <c r="I63" s="145"/>
      <c r="J63" s="145"/>
      <c r="K63" s="146"/>
      <c r="L63" s="135"/>
      <c r="M63" s="138" t="s">
        <v>83</v>
      </c>
      <c r="N63" s="145" t="n">
        <f aca="false">IF(N105=Y103,1,IF(N105=Y104,1,IF(N105=Y105,3,IF(N105=Y106,6,IF(N105=Y107,9,IF(N105=Y108,12,IF(N105=Y109,3,IF(N105=Y110,6,IF(N105=Y111,9,0)))))))))</f>
        <v>0</v>
      </c>
      <c r="O63" s="145"/>
      <c r="P63" s="145"/>
      <c r="Q63" s="146"/>
      <c r="R63" s="135"/>
      <c r="S63" s="135"/>
      <c r="T63" s="135"/>
      <c r="U63" s="135"/>
      <c r="V63" s="135"/>
      <c r="W63" s="135"/>
      <c r="X63" s="135"/>
      <c r="Y63" s="135"/>
      <c r="Z63" s="135"/>
    </row>
    <row r="64" customFormat="false" ht="18.75" hidden="false" customHeight="true" outlineLevel="0" collapsed="false">
      <c r="A64" s="138" t="s">
        <v>84</v>
      </c>
      <c r="B64" s="145" t="n">
        <f aca="false">IF(B105=Z103,H29-B63,IF(B105=Z104,H29-B63,IF(B105=Z105,H29-1,IF(B105=Z106,H29-1,IF(B105=Z107,H29-1,IF(B105=Z108,H29-1,IF(B105=Z109,H29-B63,IF(B105=Z110,H29-B63,IF(B105=Z111,H29-B63,0)))))))))</f>
        <v>3</v>
      </c>
      <c r="C64" s="145"/>
      <c r="D64" s="145"/>
      <c r="E64" s="146"/>
      <c r="F64" s="135"/>
      <c r="G64" s="138" t="s">
        <v>84</v>
      </c>
      <c r="H64" s="145" t="n">
        <f aca="false">IF(H105=Y103,H29-H63,IF(H105=Y104,H29-H63,IF(H105=Y105,H29-1,IF(H105=Y106,H29-1,IF(H105=Y107,H29-1,IF(H105=Y108,H29-1,IF(H105=Y109,H29-H63,IF(H105=Y110,H29-H63,IF(H105=Y111,H29-H63,0)))))))))</f>
        <v>0</v>
      </c>
      <c r="I64" s="145"/>
      <c r="J64" s="145"/>
      <c r="K64" s="146"/>
      <c r="L64" s="135"/>
      <c r="M64" s="138" t="s">
        <v>84</v>
      </c>
      <c r="N64" s="145" t="n">
        <f aca="false">IF(N105=Y103,H29-N63,IF(N105=Y104,H29-N63,IF(N105=Y105,H29-1,IF(N105=Y106,H29-1,IF(N105=Y107,H29-1,IF(N105=Y108,H29-1,IF(N105=Y109,H29-N63,IF(N105=Y110,H29-N63,IF(N105=Y111,H29-N63,0)))))))))</f>
        <v>0</v>
      </c>
      <c r="O64" s="145"/>
      <c r="P64" s="145"/>
      <c r="Q64" s="146"/>
      <c r="R64" s="135"/>
      <c r="S64" s="135"/>
      <c r="T64" s="135"/>
      <c r="U64" s="135"/>
      <c r="V64" s="135"/>
      <c r="W64" s="135"/>
      <c r="X64" s="135"/>
      <c r="Y64" s="135"/>
      <c r="Z64" s="135"/>
    </row>
    <row r="65" customFormat="false" ht="18.75" hidden="false" customHeight="true" outlineLevel="0" collapsed="false">
      <c r="A65" s="138"/>
      <c r="C65" s="145"/>
      <c r="D65" s="145"/>
      <c r="E65" s="146"/>
      <c r="F65" s="135"/>
      <c r="G65" s="138"/>
      <c r="H65" s="145"/>
      <c r="I65" s="145"/>
      <c r="J65" s="145"/>
      <c r="K65" s="146"/>
      <c r="L65" s="135"/>
      <c r="M65" s="138"/>
      <c r="N65" s="145"/>
      <c r="O65" s="145"/>
      <c r="P65" s="145"/>
      <c r="Q65" s="146"/>
      <c r="R65" s="135"/>
      <c r="S65" s="135"/>
      <c r="T65" s="135"/>
      <c r="U65" s="135"/>
      <c r="V65" s="135"/>
      <c r="W65" s="135"/>
      <c r="X65" s="135"/>
      <c r="Y65" s="135"/>
      <c r="Z65" s="135"/>
    </row>
    <row r="66" customFormat="false" ht="18.75" hidden="false" customHeight="true" outlineLevel="0" collapsed="false">
      <c r="A66" s="138"/>
      <c r="B66" s="145"/>
      <c r="C66" s="145"/>
      <c r="D66" s="145"/>
      <c r="E66" s="146"/>
      <c r="F66" s="135"/>
      <c r="G66" s="138"/>
      <c r="H66" s="145"/>
      <c r="I66" s="145"/>
      <c r="J66" s="145"/>
      <c r="K66" s="146"/>
      <c r="L66" s="135"/>
      <c r="M66" s="138"/>
      <c r="N66" s="145"/>
      <c r="O66" s="145"/>
      <c r="P66" s="145"/>
      <c r="Q66" s="146"/>
      <c r="R66" s="135"/>
      <c r="S66" s="135"/>
      <c r="T66" s="135"/>
      <c r="U66" s="135"/>
      <c r="V66" s="135"/>
      <c r="W66" s="135"/>
      <c r="X66" s="135"/>
      <c r="Y66" s="135"/>
      <c r="Z66" s="135"/>
    </row>
    <row r="67" customFormat="false" ht="18.75" hidden="false" customHeight="true" outlineLevel="0" collapsed="false">
      <c r="A67" s="138" t="s">
        <v>21</v>
      </c>
      <c r="B67" s="144" t="n">
        <f aca="false">G18</f>
        <v>57885</v>
      </c>
      <c r="C67" s="145"/>
      <c r="D67" s="145"/>
      <c r="E67" s="146"/>
      <c r="F67" s="135"/>
      <c r="G67" s="138" t="s">
        <v>21</v>
      </c>
      <c r="H67" s="144" t="n">
        <f aca="false">G18</f>
        <v>57885</v>
      </c>
      <c r="I67" s="145"/>
      <c r="J67" s="145"/>
      <c r="K67" s="146"/>
      <c r="L67" s="135"/>
      <c r="M67" s="138" t="s">
        <v>21</v>
      </c>
      <c r="N67" s="144" t="n">
        <f aca="false">G18</f>
        <v>57885</v>
      </c>
      <c r="O67" s="145"/>
      <c r="P67" s="145"/>
      <c r="Q67" s="146"/>
      <c r="R67" s="135"/>
      <c r="S67" s="135"/>
      <c r="T67" s="135"/>
      <c r="U67" s="135"/>
      <c r="V67" s="135"/>
      <c r="W67" s="135"/>
      <c r="X67" s="135"/>
      <c r="Y67" s="135"/>
      <c r="Z67" s="135"/>
    </row>
    <row r="68" customFormat="false" ht="18.75" hidden="false" customHeight="true" outlineLevel="0" collapsed="false">
      <c r="A68" s="183" t="s">
        <v>85</v>
      </c>
      <c r="B68" s="184" t="n">
        <v>0.07</v>
      </c>
      <c r="C68" s="145"/>
      <c r="D68" s="145"/>
      <c r="E68" s="146"/>
      <c r="F68" s="135"/>
      <c r="G68" s="183" t="s">
        <v>85</v>
      </c>
      <c r="H68" s="184" t="n">
        <v>0.07</v>
      </c>
      <c r="I68" s="145"/>
      <c r="J68" s="145"/>
      <c r="K68" s="146"/>
      <c r="L68" s="135"/>
      <c r="M68" s="183" t="s">
        <v>85</v>
      </c>
      <c r="N68" s="184" t="n">
        <v>0.07</v>
      </c>
      <c r="O68" s="145"/>
      <c r="P68" s="145"/>
      <c r="Q68" s="146"/>
      <c r="R68" s="135"/>
      <c r="S68" s="135"/>
      <c r="T68" s="135"/>
      <c r="U68" s="135"/>
      <c r="V68" s="135"/>
      <c r="W68" s="135"/>
      <c r="X68" s="135"/>
      <c r="Y68" s="135"/>
      <c r="Z68" s="135"/>
    </row>
    <row r="69" customFormat="false" ht="18.75" hidden="false" customHeight="true" outlineLevel="0" collapsed="false">
      <c r="A69" s="138" t="s">
        <v>86</v>
      </c>
      <c r="B69" s="142" t="n">
        <f aca="false">B68+(B68*0.25*(H29/12-1))</f>
        <v>0.07</v>
      </c>
      <c r="C69" s="145"/>
      <c r="D69" s="145"/>
      <c r="E69" s="146"/>
      <c r="F69" s="135"/>
      <c r="G69" s="138" t="s">
        <v>86</v>
      </c>
      <c r="H69" s="142" t="n">
        <f aca="false">H68+(H68*0.25*(H29/12-1))</f>
        <v>0.07</v>
      </c>
      <c r="I69" s="145"/>
      <c r="J69" s="145"/>
      <c r="K69" s="146"/>
      <c r="L69" s="135"/>
      <c r="M69" s="138" t="s">
        <v>86</v>
      </c>
      <c r="N69" s="142" t="n">
        <f aca="false">N68+(N68*0.25*(H29/12-1))</f>
        <v>0.07</v>
      </c>
      <c r="O69" s="145"/>
      <c r="P69" s="145"/>
      <c r="Q69" s="146"/>
      <c r="R69" s="135"/>
      <c r="S69" s="135"/>
      <c r="T69" s="135"/>
      <c r="U69" s="135"/>
      <c r="V69" s="135"/>
      <c r="W69" s="135"/>
      <c r="X69" s="135"/>
      <c r="Y69" s="135"/>
      <c r="Z69" s="135"/>
    </row>
    <row r="70" customFormat="false" ht="18.75" hidden="false" customHeight="true" outlineLevel="0" collapsed="false">
      <c r="A70" s="177" t="s">
        <v>87</v>
      </c>
      <c r="B70" s="185" t="n">
        <f aca="false">B67*B69</f>
        <v>4051.95</v>
      </c>
      <c r="C70" s="145"/>
      <c r="D70" s="144" t="n">
        <f aca="false">B70-A151</f>
        <v>4051.95</v>
      </c>
      <c r="E70" s="146" t="n">
        <f aca="false">D70/12</f>
        <v>337.6625</v>
      </c>
      <c r="F70" s="135"/>
      <c r="G70" s="177" t="s">
        <v>87</v>
      </c>
      <c r="H70" s="185" t="n">
        <f aca="false">H67*H69</f>
        <v>4051.95</v>
      </c>
      <c r="I70" s="145"/>
      <c r="J70" s="144" t="n">
        <f aca="false">H70-G151</f>
        <v>4051.95</v>
      </c>
      <c r="K70" s="146"/>
      <c r="L70" s="135"/>
      <c r="M70" s="177" t="s">
        <v>87</v>
      </c>
      <c r="N70" s="185" t="n">
        <f aca="false">N67*N69</f>
        <v>4051.95</v>
      </c>
      <c r="O70" s="145"/>
      <c r="P70" s="144" t="n">
        <f aca="false">N70-M151</f>
        <v>4051.95</v>
      </c>
      <c r="Q70" s="146"/>
      <c r="R70" s="135"/>
      <c r="S70" s="135"/>
      <c r="T70" s="135"/>
      <c r="U70" s="135"/>
      <c r="V70" s="135"/>
      <c r="W70" s="135"/>
      <c r="X70" s="135"/>
      <c r="Y70" s="135"/>
      <c r="Z70" s="135"/>
    </row>
    <row r="71" customFormat="false" ht="18.75" hidden="false" customHeight="true" outlineLevel="0" collapsed="false">
      <c r="A71" s="183" t="s">
        <v>88</v>
      </c>
      <c r="B71" s="184" t="n">
        <v>0.01</v>
      </c>
      <c r="C71" s="145"/>
      <c r="D71" s="145"/>
      <c r="E71" s="146"/>
      <c r="F71" s="135"/>
      <c r="G71" s="183" t="s">
        <v>88</v>
      </c>
      <c r="H71" s="184" t="n">
        <v>0.005</v>
      </c>
      <c r="I71" s="145"/>
      <c r="J71" s="145"/>
      <c r="K71" s="146"/>
      <c r="L71" s="135"/>
      <c r="M71" s="183" t="s">
        <v>88</v>
      </c>
      <c r="N71" s="184" t="n">
        <v>0.005</v>
      </c>
      <c r="O71" s="145"/>
      <c r="P71" s="145"/>
      <c r="Q71" s="146"/>
      <c r="R71" s="135"/>
      <c r="S71" s="135"/>
      <c r="T71" s="135"/>
      <c r="U71" s="135"/>
      <c r="V71" s="135"/>
      <c r="W71" s="135"/>
      <c r="X71" s="135"/>
      <c r="Y71" s="135"/>
      <c r="Z71" s="135"/>
    </row>
    <row r="72" customFormat="false" ht="18.75" hidden="false" customHeight="true" outlineLevel="0" collapsed="false">
      <c r="A72" s="138" t="s">
        <v>89</v>
      </c>
      <c r="B72" s="142" t="n">
        <f aca="false">B71+(B71*0.5*(H29/12-1))</f>
        <v>0.01</v>
      </c>
      <c r="C72" s="145"/>
      <c r="D72" s="145"/>
      <c r="E72" s="146"/>
      <c r="F72" s="135"/>
      <c r="G72" s="138" t="s">
        <v>89</v>
      </c>
      <c r="H72" s="142" t="n">
        <f aca="false">H71+(H71*0.5*(H29/12-1))</f>
        <v>0.005</v>
      </c>
      <c r="I72" s="145"/>
      <c r="J72" s="145"/>
      <c r="K72" s="146"/>
      <c r="L72" s="135"/>
      <c r="M72" s="138" t="s">
        <v>89</v>
      </c>
      <c r="N72" s="142" t="n">
        <f aca="false">N71+(N71*0.5*(H29/12-1))</f>
        <v>0.005</v>
      </c>
      <c r="O72" s="145"/>
      <c r="P72" s="145"/>
      <c r="Q72" s="146"/>
      <c r="R72" s="135"/>
      <c r="S72" s="135"/>
      <c r="T72" s="135"/>
      <c r="U72" s="135"/>
      <c r="V72" s="135"/>
      <c r="W72" s="135"/>
      <c r="X72" s="135"/>
      <c r="Y72" s="135"/>
      <c r="Z72" s="135"/>
    </row>
    <row r="73" customFormat="false" ht="18.75" hidden="false" customHeight="true" outlineLevel="0" collapsed="false">
      <c r="A73" s="177" t="s">
        <v>90</v>
      </c>
      <c r="B73" s="185" t="n">
        <f aca="false">B67*B72</f>
        <v>578.85</v>
      </c>
      <c r="C73" s="145"/>
      <c r="D73" s="144"/>
      <c r="E73" s="146"/>
      <c r="F73" s="135"/>
      <c r="G73" s="177" t="s">
        <v>90</v>
      </c>
      <c r="H73" s="185" t="n">
        <f aca="false">H67*H72</f>
        <v>289.425</v>
      </c>
      <c r="I73" s="145"/>
      <c r="J73" s="144"/>
      <c r="K73" s="146"/>
      <c r="L73" s="135"/>
      <c r="M73" s="177" t="s">
        <v>90</v>
      </c>
      <c r="N73" s="185" t="n">
        <f aca="false">N67*N72</f>
        <v>289.425</v>
      </c>
      <c r="O73" s="145"/>
      <c r="P73" s="144"/>
      <c r="Q73" s="146"/>
      <c r="R73" s="135"/>
      <c r="S73" s="135"/>
      <c r="T73" s="135"/>
      <c r="U73" s="135"/>
      <c r="V73" s="135"/>
      <c r="W73" s="135"/>
      <c r="X73" s="135"/>
      <c r="Y73" s="135"/>
      <c r="Z73" s="135"/>
    </row>
    <row r="74" customFormat="false" ht="18.75" hidden="false" customHeight="true" outlineLevel="0" collapsed="false">
      <c r="A74" s="183" t="s">
        <v>91</v>
      </c>
      <c r="B74" s="184" t="n">
        <v>0.0075</v>
      </c>
      <c r="C74" s="145"/>
      <c r="D74" s="145"/>
      <c r="E74" s="146"/>
      <c r="F74" s="135"/>
      <c r="G74" s="183" t="s">
        <v>91</v>
      </c>
      <c r="H74" s="184" t="n">
        <v>0.0075</v>
      </c>
      <c r="I74" s="145"/>
      <c r="J74" s="145"/>
      <c r="K74" s="146"/>
      <c r="L74" s="135"/>
      <c r="M74" s="183" t="s">
        <v>91</v>
      </c>
      <c r="N74" s="184" t="n">
        <v>0.0075</v>
      </c>
      <c r="O74" s="145"/>
      <c r="P74" s="145"/>
      <c r="Q74" s="146"/>
      <c r="R74" s="135"/>
      <c r="S74" s="135"/>
      <c r="T74" s="135"/>
      <c r="U74" s="135"/>
      <c r="V74" s="135"/>
      <c r="W74" s="135"/>
      <c r="X74" s="135"/>
      <c r="Y74" s="135"/>
      <c r="Z74" s="135"/>
    </row>
    <row r="75" customFormat="false" ht="18.75" hidden="false" customHeight="true" outlineLevel="0" collapsed="false">
      <c r="A75" s="136" t="s">
        <v>92</v>
      </c>
      <c r="B75" s="186" t="n">
        <v>0.12</v>
      </c>
      <c r="C75" s="145"/>
      <c r="D75" s="145"/>
      <c r="E75" s="146"/>
      <c r="F75" s="135"/>
      <c r="G75" s="136" t="s">
        <v>92</v>
      </c>
      <c r="H75" s="186" t="n">
        <v>0.12</v>
      </c>
      <c r="I75" s="145"/>
      <c r="J75" s="145"/>
      <c r="K75" s="146"/>
      <c r="L75" s="135"/>
      <c r="M75" s="136" t="s">
        <v>92</v>
      </c>
      <c r="N75" s="186" t="n">
        <v>0.12</v>
      </c>
      <c r="O75" s="145"/>
      <c r="P75" s="145"/>
      <c r="Q75" s="146"/>
      <c r="R75" s="135"/>
      <c r="S75" s="135"/>
      <c r="T75" s="135"/>
      <c r="U75" s="135"/>
      <c r="V75" s="135"/>
      <c r="W75" s="135"/>
      <c r="X75" s="135"/>
      <c r="Y75" s="135"/>
      <c r="Z75" s="135"/>
    </row>
    <row r="76" customFormat="false" ht="18.75" hidden="false" customHeight="true" outlineLevel="0" collapsed="false">
      <c r="A76" s="177" t="s">
        <v>93</v>
      </c>
      <c r="B76" s="187" t="n">
        <f aca="false">B74*(1+B75)</f>
        <v>0.0084</v>
      </c>
      <c r="C76" s="145"/>
      <c r="D76" s="145"/>
      <c r="E76" s="146"/>
      <c r="F76" s="135"/>
      <c r="G76" s="177" t="s">
        <v>93</v>
      </c>
      <c r="H76" s="187" t="n">
        <f aca="false">H74*(1+H75)</f>
        <v>0.0084</v>
      </c>
      <c r="I76" s="145"/>
      <c r="J76" s="145"/>
      <c r="K76" s="146"/>
      <c r="L76" s="135"/>
      <c r="M76" s="177" t="s">
        <v>93</v>
      </c>
      <c r="N76" s="187" t="n">
        <f aca="false">N74*(1+N75)</f>
        <v>0.0084</v>
      </c>
      <c r="O76" s="145"/>
      <c r="P76" s="145"/>
      <c r="Q76" s="146"/>
      <c r="R76" s="135"/>
      <c r="S76" s="135"/>
      <c r="T76" s="135"/>
      <c r="U76" s="135"/>
      <c r="V76" s="135"/>
      <c r="W76" s="135"/>
      <c r="X76" s="135"/>
      <c r="Y76" s="135"/>
      <c r="Z76" s="135"/>
    </row>
    <row r="77" customFormat="false" ht="18.75" hidden="false" customHeight="true" outlineLevel="0" collapsed="false">
      <c r="A77" s="183" t="s">
        <v>94</v>
      </c>
      <c r="B77" s="188" t="n">
        <v>200</v>
      </c>
      <c r="C77" s="145"/>
      <c r="D77" s="145"/>
      <c r="E77" s="146"/>
      <c r="F77" s="135"/>
      <c r="G77" s="183" t="s">
        <v>94</v>
      </c>
      <c r="H77" s="188" t="n">
        <v>160</v>
      </c>
      <c r="I77" s="145"/>
      <c r="J77" s="145"/>
      <c r="K77" s="146"/>
      <c r="L77" s="135"/>
      <c r="M77" s="183" t="s">
        <v>94</v>
      </c>
      <c r="N77" s="188" t="n">
        <v>160</v>
      </c>
      <c r="O77" s="145"/>
      <c r="P77" s="145"/>
      <c r="Q77" s="146"/>
      <c r="R77" s="135"/>
      <c r="S77" s="135"/>
      <c r="T77" s="135"/>
      <c r="U77" s="135"/>
      <c r="V77" s="135"/>
      <c r="W77" s="135"/>
      <c r="X77" s="135"/>
      <c r="Y77" s="135"/>
      <c r="Z77" s="135"/>
    </row>
    <row r="78" customFormat="false" ht="18.75" hidden="false" customHeight="true" outlineLevel="0" collapsed="false">
      <c r="A78" s="136" t="s">
        <v>95</v>
      </c>
      <c r="B78" s="189" t="n">
        <v>5</v>
      </c>
      <c r="C78" s="145"/>
      <c r="D78" s="145"/>
      <c r="E78" s="146"/>
      <c r="F78" s="135"/>
      <c r="G78" s="136" t="s">
        <v>95</v>
      </c>
      <c r="H78" s="189" t="n">
        <v>4.5</v>
      </c>
      <c r="I78" s="145"/>
      <c r="J78" s="145"/>
      <c r="K78" s="146"/>
      <c r="L78" s="135"/>
      <c r="M78" s="136" t="s">
        <v>95</v>
      </c>
      <c r="N78" s="189" t="n">
        <v>4.5</v>
      </c>
      <c r="O78" s="145"/>
      <c r="P78" s="145"/>
      <c r="Q78" s="146"/>
      <c r="R78" s="135"/>
      <c r="S78" s="135"/>
      <c r="T78" s="135"/>
      <c r="U78" s="135"/>
      <c r="V78" s="135"/>
      <c r="W78" s="135"/>
      <c r="X78" s="135"/>
      <c r="Y78" s="135"/>
      <c r="Z78" s="135"/>
    </row>
    <row r="79" customFormat="false" ht="18.75" hidden="false" customHeight="true" outlineLevel="0" collapsed="false">
      <c r="A79" s="177" t="s">
        <v>96</v>
      </c>
      <c r="B79" s="185" t="n">
        <f aca="false">B78*H29</f>
        <v>60</v>
      </c>
      <c r="C79" s="145"/>
      <c r="D79" s="144" t="n">
        <f aca="false">B79+B77</f>
        <v>260</v>
      </c>
      <c r="E79" s="190" t="n">
        <f aca="false">D79+D85+D86</f>
        <v>660</v>
      </c>
      <c r="F79" s="135"/>
      <c r="G79" s="177" t="s">
        <v>96</v>
      </c>
      <c r="H79" s="185" t="n">
        <f aca="false">H78*H29</f>
        <v>54</v>
      </c>
      <c r="I79" s="145"/>
      <c r="J79" s="144" t="n">
        <f aca="false">H79+H77</f>
        <v>214</v>
      </c>
      <c r="K79" s="146"/>
      <c r="L79" s="135"/>
      <c r="M79" s="177" t="s">
        <v>96</v>
      </c>
      <c r="N79" s="185" t="n">
        <f aca="false">N78*H29</f>
        <v>54</v>
      </c>
      <c r="O79" s="145"/>
      <c r="P79" s="144" t="n">
        <f aca="false">N79+N77</f>
        <v>214</v>
      </c>
      <c r="Q79" s="146"/>
      <c r="R79" s="135"/>
      <c r="S79" s="135"/>
      <c r="T79" s="135"/>
      <c r="U79" s="135"/>
      <c r="V79" s="135"/>
      <c r="W79" s="135"/>
      <c r="X79" s="135"/>
      <c r="Y79" s="135"/>
      <c r="Z79" s="135"/>
    </row>
    <row r="80" customFormat="false" ht="18.75" hidden="false" customHeight="true" outlineLevel="0" collapsed="false">
      <c r="A80" s="183" t="s">
        <v>97</v>
      </c>
      <c r="B80" s="188" t="n">
        <v>165</v>
      </c>
      <c r="C80" s="145"/>
      <c r="D80" s="145"/>
      <c r="E80" s="190" t="n">
        <f aca="false">E79+D82</f>
        <v>703.333333333333</v>
      </c>
      <c r="F80" s="135"/>
      <c r="G80" s="183" t="s">
        <v>97</v>
      </c>
      <c r="H80" s="188" t="n">
        <v>150</v>
      </c>
      <c r="I80" s="145"/>
      <c r="J80" s="145"/>
      <c r="K80" s="146"/>
      <c r="L80" s="135"/>
      <c r="M80" s="191" t="s">
        <v>97</v>
      </c>
      <c r="N80" s="192" t="n">
        <v>0</v>
      </c>
      <c r="O80" s="145"/>
      <c r="P80" s="145"/>
      <c r="Q80" s="146"/>
      <c r="R80" s="135"/>
      <c r="S80" s="135"/>
      <c r="T80" s="135"/>
      <c r="U80" s="135"/>
      <c r="V80" s="135"/>
      <c r="W80" s="135"/>
      <c r="X80" s="135"/>
      <c r="Y80" s="135"/>
      <c r="Z80" s="135"/>
    </row>
    <row r="81" customFormat="false" ht="18.75" hidden="false" customHeight="true" outlineLevel="0" collapsed="false">
      <c r="A81" s="136" t="s">
        <v>98</v>
      </c>
      <c r="B81" s="189" t="n">
        <v>355</v>
      </c>
      <c r="C81" s="145"/>
      <c r="D81" s="145"/>
      <c r="E81" s="146" t="n">
        <f aca="false">E80/12</f>
        <v>58.6111111111111</v>
      </c>
      <c r="F81" s="135"/>
      <c r="G81" s="136" t="s">
        <v>98</v>
      </c>
      <c r="H81" s="189" t="n">
        <f aca="false">IF(G18&gt;40000, 325, 0)</f>
        <v>325</v>
      </c>
      <c r="I81" s="145"/>
      <c r="J81" s="145"/>
      <c r="K81" s="146"/>
      <c r="L81" s="135"/>
      <c r="M81" s="193" t="s">
        <v>98</v>
      </c>
      <c r="N81" s="194" t="n">
        <v>0</v>
      </c>
      <c r="O81" s="145"/>
      <c r="P81" s="145"/>
      <c r="Q81" s="146"/>
      <c r="R81" s="135"/>
      <c r="S81" s="135"/>
      <c r="T81" s="135"/>
      <c r="U81" s="135"/>
      <c r="V81" s="135"/>
      <c r="W81" s="135"/>
      <c r="X81" s="135"/>
      <c r="Y81" s="135"/>
      <c r="Z81" s="135"/>
    </row>
    <row r="82" customFormat="false" ht="18.75" hidden="false" customHeight="true" outlineLevel="0" collapsed="false">
      <c r="A82" s="177" t="s">
        <v>99</v>
      </c>
      <c r="B82" s="185" t="n">
        <f aca="false">((B80+B81)/12)*(H29-11)</f>
        <v>43.3333333333333</v>
      </c>
      <c r="C82" s="145"/>
      <c r="D82" s="144" t="n">
        <f aca="false">IF(A50="YES", 0, B82)</f>
        <v>43.3333333333333</v>
      </c>
      <c r="E82" s="146"/>
      <c r="F82" s="135"/>
      <c r="G82" s="177" t="s">
        <v>99</v>
      </c>
      <c r="H82" s="185" t="n">
        <f aca="false">((H80+H81)/12)*(H29-11)</f>
        <v>39.5833333333333</v>
      </c>
      <c r="I82" s="145"/>
      <c r="J82" s="144" t="n">
        <f aca="false">IF(A50="YES", 0, H82)</f>
        <v>39.5833333333333</v>
      </c>
      <c r="K82" s="146"/>
      <c r="L82" s="135"/>
      <c r="M82" s="195" t="s">
        <v>99</v>
      </c>
      <c r="N82" s="196" t="n">
        <f aca="false">((N80+N81)/12)*(H29-11)</f>
        <v>0</v>
      </c>
      <c r="O82" s="145"/>
      <c r="P82" s="144" t="n">
        <f aca="false">IF(A50="YES", 0, N82)</f>
        <v>0</v>
      </c>
      <c r="Q82" s="146"/>
      <c r="R82" s="135"/>
      <c r="S82" s="135"/>
      <c r="T82" s="135"/>
      <c r="U82" s="135"/>
      <c r="V82" s="135"/>
      <c r="W82" s="135"/>
      <c r="X82" s="135"/>
      <c r="Y82" s="135"/>
      <c r="Z82" s="135"/>
    </row>
    <row r="83" customFormat="false" ht="18.75" hidden="false" customHeight="true" outlineLevel="0" collapsed="false">
      <c r="A83" s="183" t="s">
        <v>100</v>
      </c>
      <c r="B83" s="188" t="n">
        <v>0</v>
      </c>
      <c r="C83" s="145"/>
      <c r="D83" s="144" t="n">
        <f aca="false">B83</f>
        <v>0</v>
      </c>
      <c r="E83" s="146" t="n">
        <f aca="false">D83/12</f>
        <v>0</v>
      </c>
      <c r="F83" s="135"/>
      <c r="G83" s="183" t="s">
        <v>100</v>
      </c>
      <c r="H83" s="188" t="n">
        <f aca="false">H108</f>
        <v>1200</v>
      </c>
      <c r="I83" s="145"/>
      <c r="J83" s="144" t="n">
        <f aca="false">H83</f>
        <v>1200</v>
      </c>
      <c r="K83" s="146"/>
      <c r="L83" s="135"/>
      <c r="M83" s="183" t="s">
        <v>100</v>
      </c>
      <c r="N83" s="188" t="n">
        <f aca="false">N108</f>
        <v>1200</v>
      </c>
      <c r="O83" s="145"/>
      <c r="P83" s="144" t="n">
        <f aca="false">N83</f>
        <v>1200</v>
      </c>
      <c r="Q83" s="146"/>
      <c r="R83" s="135"/>
      <c r="S83" s="135"/>
      <c r="T83" s="135"/>
      <c r="U83" s="135"/>
      <c r="V83" s="135"/>
      <c r="W83" s="135"/>
      <c r="X83" s="135"/>
      <c r="Y83" s="135"/>
      <c r="Z83" s="135"/>
    </row>
    <row r="84" customFormat="false" ht="18.75" hidden="false" customHeight="true" outlineLevel="0" collapsed="false">
      <c r="A84" s="138" t="s">
        <v>101</v>
      </c>
      <c r="B84" s="143" t="n">
        <v>0</v>
      </c>
      <c r="C84" s="145"/>
      <c r="D84" s="144" t="n">
        <f aca="false">B84</f>
        <v>0</v>
      </c>
      <c r="E84" s="146"/>
      <c r="F84" s="135"/>
      <c r="G84" s="138" t="s">
        <v>102</v>
      </c>
      <c r="H84" s="143" t="n">
        <f aca="false">J108</f>
        <v>1500</v>
      </c>
      <c r="I84" s="145"/>
      <c r="J84" s="144" t="n">
        <f aca="false">H84</f>
        <v>1500</v>
      </c>
      <c r="K84" s="146"/>
      <c r="L84" s="135"/>
      <c r="M84" s="138" t="s">
        <v>102</v>
      </c>
      <c r="N84" s="143" t="n">
        <f aca="false">P108</f>
        <v>1500</v>
      </c>
      <c r="O84" s="145"/>
      <c r="P84" s="144" t="n">
        <f aca="false">N84</f>
        <v>1500</v>
      </c>
      <c r="Q84" s="146"/>
      <c r="R84" s="135"/>
      <c r="S84" s="135"/>
      <c r="T84" s="135"/>
      <c r="U84" s="135"/>
      <c r="V84" s="135"/>
      <c r="W84" s="135"/>
      <c r="X84" s="135"/>
      <c r="Y84" s="135"/>
      <c r="Z84" s="135"/>
    </row>
    <row r="85" customFormat="false" ht="18.75" hidden="false" customHeight="true" outlineLevel="0" collapsed="false">
      <c r="A85" s="136" t="s">
        <v>103</v>
      </c>
      <c r="B85" s="189" t="n">
        <v>200</v>
      </c>
      <c r="C85" s="145"/>
      <c r="D85" s="144" t="n">
        <f aca="false">B85</f>
        <v>200</v>
      </c>
      <c r="E85" s="146"/>
      <c r="F85" s="135"/>
      <c r="G85" s="136" t="s">
        <v>103</v>
      </c>
      <c r="H85" s="189" t="n">
        <v>100</v>
      </c>
      <c r="I85" s="145"/>
      <c r="J85" s="144" t="n">
        <f aca="false">H85</f>
        <v>100</v>
      </c>
      <c r="K85" s="146"/>
      <c r="L85" s="135"/>
      <c r="M85" s="136" t="s">
        <v>103</v>
      </c>
      <c r="N85" s="189" t="n">
        <v>100</v>
      </c>
      <c r="O85" s="145"/>
      <c r="P85" s="144" t="n">
        <f aca="false">N85</f>
        <v>100</v>
      </c>
      <c r="Q85" s="146"/>
      <c r="R85" s="135"/>
      <c r="S85" s="135"/>
      <c r="T85" s="135"/>
      <c r="U85" s="135"/>
      <c r="V85" s="135"/>
      <c r="W85" s="135"/>
      <c r="X85" s="135"/>
      <c r="Y85" s="135"/>
      <c r="Z85" s="135"/>
    </row>
    <row r="86" customFormat="false" ht="18.75" hidden="false" customHeight="true" outlineLevel="0" collapsed="false">
      <c r="A86" s="197" t="s">
        <v>104</v>
      </c>
      <c r="B86" s="198" t="n">
        <v>200</v>
      </c>
      <c r="C86" s="145"/>
      <c r="D86" s="144" t="n">
        <f aca="false">B86</f>
        <v>200</v>
      </c>
      <c r="E86" s="146"/>
      <c r="F86" s="135"/>
      <c r="G86" s="197" t="s">
        <v>104</v>
      </c>
      <c r="H86" s="198" t="n">
        <v>100</v>
      </c>
      <c r="I86" s="145"/>
      <c r="J86" s="144" t="n">
        <f aca="false">H86</f>
        <v>100</v>
      </c>
      <c r="K86" s="146"/>
      <c r="L86" s="135"/>
      <c r="M86" s="197" t="s">
        <v>104</v>
      </c>
      <c r="N86" s="198" t="n">
        <v>100</v>
      </c>
      <c r="O86" s="145"/>
      <c r="P86" s="144" t="n">
        <f aca="false">N86</f>
        <v>100</v>
      </c>
      <c r="Q86" s="146"/>
      <c r="R86" s="135"/>
      <c r="S86" s="135"/>
      <c r="T86" s="135"/>
      <c r="U86" s="135"/>
      <c r="V86" s="135"/>
      <c r="W86" s="135"/>
      <c r="X86" s="135"/>
      <c r="Y86" s="135"/>
      <c r="Z86" s="135"/>
    </row>
    <row r="87" customFormat="false" ht="18.75" hidden="false" customHeight="true" outlineLevel="0" collapsed="false">
      <c r="A87" s="199" t="s">
        <v>105</v>
      </c>
      <c r="B87" s="200" t="n">
        <f aca="false">SUM(D70:D86)</f>
        <v>4755.28333333333</v>
      </c>
      <c r="C87" s="145"/>
      <c r="D87" s="145"/>
      <c r="E87" s="146"/>
      <c r="F87" s="135"/>
      <c r="G87" s="199" t="s">
        <v>105</v>
      </c>
      <c r="H87" s="200" t="n">
        <f aca="false">SUM(J70:J86)</f>
        <v>7205.53333333333</v>
      </c>
      <c r="I87" s="145"/>
      <c r="J87" s="145"/>
      <c r="K87" s="146"/>
      <c r="L87" s="135"/>
      <c r="M87" s="199" t="s">
        <v>105</v>
      </c>
      <c r="N87" s="200" t="n">
        <f aca="false">SUM(P70:P86)</f>
        <v>7165.95</v>
      </c>
      <c r="O87" s="145"/>
      <c r="P87" s="145"/>
      <c r="Q87" s="146"/>
      <c r="R87" s="135"/>
      <c r="S87" s="135"/>
      <c r="T87" s="135"/>
      <c r="U87" s="135"/>
      <c r="V87" s="135"/>
      <c r="W87" s="135"/>
      <c r="X87" s="135"/>
      <c r="Y87" s="135"/>
      <c r="Z87" s="135"/>
    </row>
    <row r="88" customFormat="false" ht="18.75" hidden="false" customHeight="true" outlineLevel="0" collapsed="false">
      <c r="A88" s="138" t="s">
        <v>106</v>
      </c>
      <c r="B88" s="143" t="n">
        <f aca="false">B87/H29</f>
        <v>396.273611111111</v>
      </c>
      <c r="C88" s="145"/>
      <c r="D88" s="145"/>
      <c r="E88" s="146"/>
      <c r="F88" s="135"/>
      <c r="G88" s="138" t="s">
        <v>106</v>
      </c>
      <c r="H88" s="143" t="n">
        <f aca="false">H87/H29</f>
        <v>600.461111111111</v>
      </c>
      <c r="I88" s="145"/>
      <c r="J88" s="145"/>
      <c r="K88" s="146"/>
      <c r="L88" s="135"/>
      <c r="M88" s="138" t="s">
        <v>106</v>
      </c>
      <c r="N88" s="143" t="n">
        <f aca="false">N87/H29</f>
        <v>597.1625</v>
      </c>
      <c r="O88" s="145"/>
      <c r="P88" s="145"/>
      <c r="Q88" s="146"/>
      <c r="R88" s="135"/>
      <c r="S88" s="135"/>
      <c r="T88" s="135"/>
      <c r="U88" s="135"/>
      <c r="V88" s="135"/>
      <c r="W88" s="135"/>
      <c r="X88" s="135"/>
      <c r="Y88" s="135"/>
      <c r="Z88" s="135"/>
    </row>
    <row r="89" customFormat="false" ht="18.75" hidden="false" customHeight="true" outlineLevel="0" collapsed="false">
      <c r="A89" s="201" t="s">
        <v>107</v>
      </c>
      <c r="B89" s="202" t="n">
        <f aca="false">H46</f>
        <v>501</v>
      </c>
      <c r="C89" s="145"/>
      <c r="D89" s="145"/>
      <c r="E89" s="146"/>
      <c r="F89" s="135"/>
      <c r="G89" s="201" t="s">
        <v>107</v>
      </c>
      <c r="H89" s="202" t="n">
        <f aca="false">H46</f>
        <v>501</v>
      </c>
      <c r="I89" s="145"/>
      <c r="J89" s="145"/>
      <c r="K89" s="146"/>
      <c r="L89" s="135"/>
      <c r="M89" s="201" t="s">
        <v>107</v>
      </c>
      <c r="N89" s="202" t="n">
        <f aca="false">H46</f>
        <v>501</v>
      </c>
      <c r="O89" s="145"/>
      <c r="P89" s="145"/>
      <c r="Q89" s="146"/>
      <c r="R89" s="135"/>
      <c r="S89" s="135"/>
      <c r="T89" s="135"/>
      <c r="U89" s="135"/>
      <c r="V89" s="135"/>
      <c r="W89" s="135"/>
      <c r="X89" s="135"/>
      <c r="Y89" s="135"/>
      <c r="Z89" s="135"/>
    </row>
    <row r="90" customFormat="false" ht="18.75" hidden="false" customHeight="true" outlineLevel="0" collapsed="false">
      <c r="A90" s="138"/>
      <c r="B90" s="144"/>
      <c r="C90" s="145"/>
      <c r="D90" s="145"/>
      <c r="E90" s="146"/>
      <c r="F90" s="135"/>
      <c r="G90" s="138"/>
      <c r="H90" s="144"/>
      <c r="I90" s="145"/>
      <c r="J90" s="145"/>
      <c r="K90" s="146"/>
      <c r="L90" s="135"/>
      <c r="M90" s="138"/>
      <c r="N90" s="144"/>
      <c r="O90" s="145"/>
      <c r="P90" s="145"/>
      <c r="Q90" s="146"/>
      <c r="R90" s="135"/>
      <c r="S90" s="135"/>
      <c r="T90" s="135"/>
      <c r="U90" s="135"/>
      <c r="V90" s="135"/>
      <c r="W90" s="135"/>
      <c r="X90" s="135"/>
      <c r="Y90" s="135"/>
      <c r="Z90" s="135"/>
    </row>
    <row r="91" customFormat="false" ht="18.75" hidden="false" customHeight="true" outlineLevel="0" collapsed="false">
      <c r="A91" s="180" t="s">
        <v>108</v>
      </c>
      <c r="B91" s="203" t="n">
        <f aca="false">((B89*H29)+B87)*1.2</f>
        <v>12920.74</v>
      </c>
      <c r="C91" s="145"/>
      <c r="D91" s="145"/>
      <c r="E91" s="146"/>
      <c r="F91" s="135"/>
      <c r="G91" s="180" t="s">
        <v>108</v>
      </c>
      <c r="H91" s="203" t="n">
        <f aca="false">((H89*H29)+H87)*1.2</f>
        <v>15861.04</v>
      </c>
      <c r="I91" s="145"/>
      <c r="J91" s="145"/>
      <c r="K91" s="146"/>
      <c r="L91" s="135"/>
      <c r="M91" s="180" t="s">
        <v>108</v>
      </c>
      <c r="N91" s="203" t="n">
        <f aca="false">((N89*H29)+N87)</f>
        <v>13177.95</v>
      </c>
      <c r="O91" s="145"/>
      <c r="P91" s="145"/>
      <c r="Q91" s="146"/>
      <c r="R91" s="135"/>
      <c r="S91" s="135"/>
      <c r="T91" s="135"/>
      <c r="U91" s="135"/>
      <c r="V91" s="135"/>
      <c r="W91" s="135"/>
      <c r="X91" s="135"/>
      <c r="Y91" s="135"/>
      <c r="Z91" s="135"/>
    </row>
    <row r="92" customFormat="false" ht="18.75" hidden="false" customHeight="true" outlineLevel="0" collapsed="false">
      <c r="A92" s="138" t="s">
        <v>109</v>
      </c>
      <c r="B92" s="143" t="n">
        <f aca="false">(((B89*H29)+B87)/(1-B76))*B76</f>
        <v>91.211355385236</v>
      </c>
      <c r="C92" s="145"/>
      <c r="D92" s="145"/>
      <c r="E92" s="204"/>
      <c r="F92" s="135"/>
      <c r="G92" s="138" t="s">
        <v>109</v>
      </c>
      <c r="H92" s="143" t="n">
        <f aca="false">(((H89*H29)+H87)/(1-H76))*H76</f>
        <v>111.967809600645</v>
      </c>
      <c r="I92" s="145"/>
      <c r="J92" s="145"/>
      <c r="K92" s="146"/>
      <c r="L92" s="135"/>
      <c r="M92" s="138" t="s">
        <v>109</v>
      </c>
      <c r="N92" s="143" t="n">
        <f aca="false">(N91/(1-N76))*N76</f>
        <v>111.632492940702</v>
      </c>
      <c r="O92" s="145"/>
      <c r="P92" s="145"/>
      <c r="Q92" s="146"/>
      <c r="R92" s="135"/>
      <c r="S92" s="135"/>
      <c r="T92" s="135"/>
      <c r="U92" s="135"/>
      <c r="V92" s="135"/>
      <c r="W92" s="135"/>
      <c r="X92" s="135"/>
      <c r="Y92" s="135"/>
      <c r="Z92" s="135"/>
    </row>
    <row r="93" customFormat="false" ht="18.75" hidden="false" customHeight="true" outlineLevel="0" collapsed="false">
      <c r="A93" s="177" t="s">
        <v>110</v>
      </c>
      <c r="B93" s="185" t="n">
        <f aca="false">IF(B116="YES",((B91+B92)-E120),(B91+B92))</f>
        <v>9011.95135538524</v>
      </c>
      <c r="C93" s="145"/>
      <c r="D93" s="145"/>
      <c r="E93" s="146"/>
      <c r="F93" s="135"/>
      <c r="G93" s="177" t="s">
        <v>110</v>
      </c>
      <c r="H93" s="185" t="n">
        <f aca="false">IF(H116="YES",((H91+H92)-K120),(H91+H92))</f>
        <v>17973.0078096006</v>
      </c>
      <c r="I93" s="145"/>
      <c r="J93" s="145"/>
      <c r="K93" s="146"/>
      <c r="L93" s="135"/>
      <c r="M93" s="177" t="s">
        <v>110</v>
      </c>
      <c r="N93" s="185" t="n">
        <f aca="false">IF(N116="YES",((N91+N92)-K120),(N91+N92))</f>
        <v>15289.5824929407</v>
      </c>
      <c r="O93" s="145"/>
      <c r="P93" s="145"/>
      <c r="Q93" s="146"/>
      <c r="R93" s="135"/>
      <c r="S93" s="135"/>
      <c r="T93" s="135"/>
      <c r="U93" s="135"/>
      <c r="V93" s="135"/>
      <c r="W93" s="135"/>
      <c r="X93" s="135"/>
      <c r="Y93" s="135"/>
      <c r="Z93" s="135"/>
    </row>
    <row r="94" customFormat="false" ht="18.75" hidden="false" customHeight="true" outlineLevel="0" collapsed="false">
      <c r="A94" s="138"/>
      <c r="B94" s="144"/>
      <c r="C94" s="145"/>
      <c r="D94" s="145"/>
      <c r="E94" s="146"/>
      <c r="F94" s="135"/>
      <c r="G94" s="138"/>
      <c r="H94" s="144"/>
      <c r="I94" s="145"/>
      <c r="J94" s="145"/>
      <c r="K94" s="146"/>
      <c r="L94" s="135"/>
      <c r="M94" s="138"/>
      <c r="N94" s="144"/>
      <c r="O94" s="145"/>
      <c r="P94" s="145"/>
      <c r="Q94" s="146"/>
      <c r="R94" s="135"/>
      <c r="S94" s="135"/>
      <c r="T94" s="135"/>
      <c r="U94" s="135"/>
      <c r="V94" s="135"/>
      <c r="W94" s="135"/>
      <c r="X94" s="135"/>
      <c r="Y94" s="135"/>
      <c r="Z94" s="135"/>
    </row>
    <row r="95" customFormat="false" ht="18.75" hidden="false" customHeight="true" outlineLevel="0" collapsed="false">
      <c r="A95" s="199" t="s">
        <v>65</v>
      </c>
      <c r="B95" s="200" t="n">
        <f aca="false">IF(B105=Z104,(((H44*B35)+(H44*B35)*(B111/100))/(B64)),(((H44*B35)+(H44*B35)*(B111/100))/(B63+B64)))*1.2</f>
        <v>0</v>
      </c>
      <c r="C95" s="145"/>
      <c r="D95" s="145"/>
      <c r="E95" s="146"/>
      <c r="F95" s="135"/>
      <c r="G95" s="199" t="s">
        <v>65</v>
      </c>
      <c r="H95" s="200" t="e">
        <f aca="false">(((H44*B35)+((H44*B35)*H111))/(H63+H64))*1.2</f>
        <v>#DIV/0!</v>
      </c>
      <c r="I95" s="145"/>
      <c r="J95" s="145"/>
      <c r="K95" s="146"/>
      <c r="L95" s="135"/>
      <c r="M95" s="199" t="s">
        <v>65</v>
      </c>
      <c r="N95" s="200" t="e">
        <f aca="false">((H44*B35)+((H44*B35)*N111))/(N63+N64)</f>
        <v>#DIV/0!</v>
      </c>
      <c r="O95" s="145"/>
      <c r="P95" s="145"/>
      <c r="Q95" s="146"/>
      <c r="R95" s="135"/>
      <c r="S95" s="135"/>
      <c r="T95" s="135"/>
      <c r="U95" s="135"/>
      <c r="V95" s="135"/>
      <c r="W95" s="135"/>
      <c r="X95" s="135"/>
      <c r="Y95" s="135"/>
      <c r="Z95" s="135"/>
    </row>
    <row r="96" customFormat="false" ht="18.75" hidden="false" customHeight="true" outlineLevel="0" collapsed="false">
      <c r="A96" s="205" t="s">
        <v>111</v>
      </c>
      <c r="B96" s="206" t="n">
        <f aca="false">IF(B105=Z104, (B93-D111)/(B64), B93/(B63+B64))</f>
        <v>750.995946282103</v>
      </c>
      <c r="C96" s="145"/>
      <c r="D96" s="145"/>
      <c r="E96" s="146"/>
      <c r="F96" s="135"/>
      <c r="G96" s="205" t="s">
        <v>111</v>
      </c>
      <c r="H96" s="206" t="e">
        <f aca="false">IF(H105=Y104, (H93-J111)/(H64), H93/(H63+H64))</f>
        <v>#DIV/0!</v>
      </c>
      <c r="I96" s="145"/>
      <c r="J96" s="145"/>
      <c r="K96" s="146"/>
      <c r="L96" s="135"/>
      <c r="M96" s="205" t="s">
        <v>111</v>
      </c>
      <c r="N96" s="206" t="e">
        <f aca="false">IF(N105=Y104, (N93-P111)/(N64), N93/(N63+N64))</f>
        <v>#DIV/0!</v>
      </c>
      <c r="O96" s="145"/>
      <c r="P96" s="145"/>
      <c r="Q96" s="146"/>
      <c r="R96" s="135"/>
      <c r="S96" s="135"/>
      <c r="T96" s="135"/>
      <c r="U96" s="135"/>
      <c r="V96" s="135"/>
      <c r="W96" s="135"/>
      <c r="X96" s="135"/>
      <c r="Y96" s="135"/>
      <c r="Z96" s="135"/>
    </row>
    <row r="97" customFormat="false" ht="18.75" hidden="false" customHeight="true" outlineLevel="0" collapsed="false">
      <c r="A97" s="207" t="s">
        <v>112</v>
      </c>
      <c r="B97" s="208" t="n">
        <f aca="false">IF(A111="YES", B96+B95, B96)</f>
        <v>750.995946282103</v>
      </c>
      <c r="C97" s="145"/>
      <c r="D97" s="209"/>
      <c r="E97" s="146"/>
      <c r="F97" s="135"/>
      <c r="G97" s="207" t="s">
        <v>112</v>
      </c>
      <c r="H97" s="208" t="e">
        <f aca="false">IF(G111="YES", H96+H95, H96)</f>
        <v>#DIV/0!</v>
      </c>
      <c r="I97" s="145"/>
      <c r="J97" s="145"/>
      <c r="K97" s="146"/>
      <c r="L97" s="135"/>
      <c r="M97" s="207" t="s">
        <v>112</v>
      </c>
      <c r="N97" s="208" t="e">
        <f aca="false">IF(M111="YES", N96+N95, N96)</f>
        <v>#DIV/0!</v>
      </c>
      <c r="O97" s="145"/>
      <c r="P97" s="145"/>
      <c r="Q97" s="146"/>
      <c r="R97" s="135"/>
      <c r="S97" s="135"/>
      <c r="T97" s="135"/>
      <c r="U97" s="135"/>
      <c r="V97" s="135"/>
      <c r="W97" s="135"/>
      <c r="X97" s="135"/>
      <c r="Y97" s="135"/>
      <c r="Z97" s="135"/>
    </row>
    <row r="98" customFormat="false" ht="18.75" hidden="false" customHeight="true" outlineLevel="0" collapsed="false">
      <c r="A98" s="177"/>
      <c r="B98" s="178"/>
      <c r="C98" s="178"/>
      <c r="D98" s="178"/>
      <c r="E98" s="179"/>
      <c r="F98" s="135"/>
      <c r="G98" s="177"/>
      <c r="H98" s="178"/>
      <c r="I98" s="178"/>
      <c r="J98" s="178"/>
      <c r="K98" s="179"/>
      <c r="L98" s="135"/>
      <c r="M98" s="177"/>
      <c r="N98" s="178"/>
      <c r="O98" s="178"/>
      <c r="P98" s="178"/>
      <c r="Q98" s="179"/>
      <c r="R98" s="135"/>
      <c r="S98" s="135"/>
      <c r="T98" s="135"/>
      <c r="U98" s="135"/>
      <c r="V98" s="135"/>
      <c r="W98" s="135"/>
      <c r="X98" s="135"/>
      <c r="Y98" s="135"/>
      <c r="Z98" s="135"/>
    </row>
    <row r="99" customFormat="false" ht="18.75" hidden="false" customHeight="true" outlineLevel="0" collapsed="false">
      <c r="A99" s="145"/>
      <c r="B99" s="145"/>
      <c r="C99" s="145"/>
      <c r="D99" s="145"/>
      <c r="E99" s="145"/>
      <c r="F99" s="135"/>
      <c r="G99" s="145"/>
      <c r="H99" s="145"/>
      <c r="I99" s="145"/>
      <c r="J99" s="145"/>
      <c r="K99" s="145"/>
      <c r="L99" s="135"/>
      <c r="M99" s="145"/>
      <c r="N99" s="145"/>
      <c r="O99" s="145"/>
      <c r="P99" s="145"/>
      <c r="Q99" s="145"/>
      <c r="R99" s="135"/>
      <c r="S99" s="135"/>
      <c r="T99" s="135"/>
      <c r="U99" s="135"/>
      <c r="V99" s="135"/>
      <c r="W99" s="135"/>
      <c r="X99" s="135"/>
      <c r="Y99" s="135"/>
      <c r="Z99" s="135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5"/>
      <c r="G100" s="27" t="s">
        <v>114</v>
      </c>
      <c r="H100" s="27"/>
      <c r="I100" s="27"/>
      <c r="J100" s="27"/>
      <c r="K100" s="27"/>
      <c r="L100" s="135"/>
      <c r="M100" s="27" t="s">
        <v>115</v>
      </c>
      <c r="N100" s="27"/>
      <c r="O100" s="27"/>
      <c r="P100" s="27"/>
      <c r="Q100" s="27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customFormat="false" ht="18.75" hidden="false" customHeight="true" outlineLevel="0" collapsed="false">
      <c r="A101" s="138"/>
      <c r="B101" s="145"/>
      <c r="C101" s="145"/>
      <c r="D101" s="145"/>
      <c r="E101" s="146"/>
      <c r="F101" s="135"/>
      <c r="G101" s="138"/>
      <c r="H101" s="145"/>
      <c r="I101" s="145"/>
      <c r="J101" s="145"/>
      <c r="K101" s="146"/>
      <c r="L101" s="135"/>
      <c r="M101" s="138"/>
      <c r="N101" s="145"/>
      <c r="O101" s="145"/>
      <c r="P101" s="145"/>
      <c r="Q101" s="146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customFormat="false" ht="18.75" hidden="false" customHeight="true" outlineLevel="0" collapsed="false">
      <c r="A102" s="29" t="s">
        <v>116</v>
      </c>
      <c r="B102" s="29"/>
      <c r="C102" s="29"/>
      <c r="D102" s="29"/>
      <c r="E102" s="29"/>
      <c r="F102" s="135"/>
      <c r="G102" s="29" t="s">
        <v>116</v>
      </c>
      <c r="H102" s="29"/>
      <c r="I102" s="29"/>
      <c r="J102" s="29"/>
      <c r="K102" s="29"/>
      <c r="L102" s="135"/>
      <c r="M102" s="29" t="s">
        <v>116</v>
      </c>
      <c r="N102" s="29"/>
      <c r="O102" s="29"/>
      <c r="P102" s="29"/>
      <c r="Q102" s="29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customFormat="false" ht="18.75" hidden="false" customHeight="true" outlineLevel="0" collapsed="false">
      <c r="A103" s="138"/>
      <c r="B103" s="145"/>
      <c r="C103" s="145"/>
      <c r="D103" s="145"/>
      <c r="E103" s="146"/>
      <c r="F103" s="135"/>
      <c r="G103" s="138"/>
      <c r="H103" s="145"/>
      <c r="I103" s="145"/>
      <c r="J103" s="145"/>
      <c r="K103" s="146"/>
      <c r="L103" s="135"/>
      <c r="M103" s="138"/>
      <c r="N103" s="145"/>
      <c r="O103" s="145"/>
      <c r="P103" s="145"/>
      <c r="Q103" s="146"/>
      <c r="R103" s="135"/>
      <c r="S103" s="135"/>
      <c r="T103" s="135"/>
      <c r="U103" s="135"/>
      <c r="V103" s="135"/>
      <c r="W103" s="135"/>
      <c r="X103" s="135"/>
      <c r="Y103" s="135"/>
      <c r="Z103" s="135" t="s">
        <v>117</v>
      </c>
    </row>
    <row r="104" customFormat="false" ht="18.75" hidden="false" customHeight="true" outlineLevel="0" collapsed="false">
      <c r="A104" s="138" t="s">
        <v>118</v>
      </c>
      <c r="B104" s="145" t="s">
        <v>30</v>
      </c>
      <c r="C104" s="145"/>
      <c r="D104" s="145" t="s">
        <v>119</v>
      </c>
      <c r="E104" s="146"/>
      <c r="F104" s="135"/>
      <c r="G104" s="138" t="s">
        <v>118</v>
      </c>
      <c r="H104" s="145" t="s">
        <v>30</v>
      </c>
      <c r="I104" s="145"/>
      <c r="J104" s="145" t="s">
        <v>119</v>
      </c>
      <c r="K104" s="146"/>
      <c r="L104" s="135"/>
      <c r="M104" s="138" t="s">
        <v>118</v>
      </c>
      <c r="N104" s="145" t="s">
        <v>30</v>
      </c>
      <c r="O104" s="145"/>
      <c r="P104" s="145" t="s">
        <v>119</v>
      </c>
      <c r="Q104" s="146"/>
      <c r="R104" s="135"/>
      <c r="S104" s="135"/>
      <c r="T104" s="135"/>
      <c r="U104" s="135"/>
      <c r="V104" s="135"/>
      <c r="W104" s="135"/>
      <c r="X104" s="135"/>
      <c r="Y104" s="135"/>
      <c r="Z104" s="135" t="s">
        <v>120</v>
      </c>
    </row>
    <row r="105" customFormat="false" ht="18.75" hidden="false" customHeight="true" outlineLevel="0" collapsed="false">
      <c r="A105" s="154"/>
      <c r="B105" s="109" t="s">
        <v>190</v>
      </c>
      <c r="C105" s="109"/>
      <c r="D105" s="110" t="n">
        <v>1000</v>
      </c>
      <c r="E105" s="110"/>
      <c r="F105" s="135"/>
      <c r="G105" s="154" t="s">
        <v>121</v>
      </c>
      <c r="H105" s="109" t="s">
        <v>122</v>
      </c>
      <c r="I105" s="109"/>
      <c r="J105" s="110" t="n">
        <v>5000</v>
      </c>
      <c r="K105" s="110"/>
      <c r="L105" s="135"/>
      <c r="M105" s="154" t="s">
        <v>121</v>
      </c>
      <c r="N105" s="109" t="s">
        <v>123</v>
      </c>
      <c r="O105" s="109"/>
      <c r="P105" s="110" t="n">
        <v>0</v>
      </c>
      <c r="Q105" s="110"/>
      <c r="R105" s="135"/>
      <c r="S105" s="135"/>
      <c r="T105" s="135"/>
      <c r="U105" s="135"/>
      <c r="V105" s="135"/>
      <c r="W105" s="135"/>
      <c r="X105" s="135"/>
      <c r="Y105" s="135"/>
      <c r="Z105" s="135" t="s">
        <v>124</v>
      </c>
    </row>
    <row r="106" customFormat="false" ht="18.75" hidden="false" customHeight="true" outlineLevel="0" collapsed="false">
      <c r="A106" s="138"/>
      <c r="B106" s="145"/>
      <c r="C106" s="145"/>
      <c r="D106" s="145"/>
      <c r="E106" s="146"/>
      <c r="F106" s="135"/>
      <c r="G106" s="138"/>
      <c r="H106" s="145"/>
      <c r="I106" s="145"/>
      <c r="J106" s="145"/>
      <c r="K106" s="146"/>
      <c r="L106" s="135"/>
      <c r="M106" s="138"/>
      <c r="N106" s="145"/>
      <c r="O106" s="145"/>
      <c r="P106" s="145"/>
      <c r="Q106" s="146"/>
      <c r="R106" s="135"/>
      <c r="S106" s="135"/>
      <c r="T106" s="135"/>
      <c r="U106" s="135"/>
      <c r="V106" s="135"/>
      <c r="W106" s="135"/>
      <c r="X106" s="135"/>
      <c r="Y106" s="135"/>
      <c r="Z106" s="135" t="s">
        <v>125</v>
      </c>
    </row>
    <row r="107" customFormat="false" ht="18.75" hidden="false" customHeight="true" outlineLevel="0" collapsed="false">
      <c r="A107" s="138" t="s">
        <v>126</v>
      </c>
      <c r="B107" s="145" t="s">
        <v>127</v>
      </c>
      <c r="C107" s="145"/>
      <c r="D107" s="145" t="s">
        <v>128</v>
      </c>
      <c r="E107" s="146"/>
      <c r="F107" s="135"/>
      <c r="G107" s="138" t="s">
        <v>126</v>
      </c>
      <c r="H107" s="145" t="s">
        <v>127</v>
      </c>
      <c r="I107" s="145"/>
      <c r="J107" s="145" t="s">
        <v>128</v>
      </c>
      <c r="K107" s="146"/>
      <c r="L107" s="135"/>
      <c r="M107" s="138" t="s">
        <v>126</v>
      </c>
      <c r="N107" s="145" t="s">
        <v>127</v>
      </c>
      <c r="O107" s="145"/>
      <c r="P107" s="145" t="s">
        <v>128</v>
      </c>
      <c r="Q107" s="146"/>
      <c r="R107" s="135"/>
      <c r="S107" s="135"/>
      <c r="T107" s="135"/>
      <c r="U107" s="135"/>
      <c r="V107" s="135"/>
      <c r="W107" s="135"/>
      <c r="X107" s="135"/>
      <c r="Y107" s="135"/>
      <c r="Z107" s="135" t="s">
        <v>129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5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5"/>
      <c r="M108" s="111" t="n">
        <v>199.99</v>
      </c>
      <c r="N108" s="112" t="n">
        <v>1200</v>
      </c>
      <c r="O108" s="112"/>
      <c r="P108" s="112" t="n">
        <v>1500</v>
      </c>
      <c r="Q108" s="112"/>
      <c r="R108" s="135"/>
      <c r="S108" s="135"/>
      <c r="T108" s="135"/>
      <c r="U108" s="135"/>
      <c r="V108" s="135"/>
      <c r="W108" s="135"/>
      <c r="X108" s="135"/>
      <c r="Y108" s="135"/>
      <c r="Z108" s="135" t="s">
        <v>123</v>
      </c>
    </row>
    <row r="109" customFormat="false" ht="18.75" hidden="false" customHeight="true" outlineLevel="0" collapsed="false">
      <c r="A109" s="138"/>
      <c r="B109" s="145"/>
      <c r="C109" s="145"/>
      <c r="D109" s="145"/>
      <c r="E109" s="146"/>
      <c r="F109" s="135"/>
      <c r="G109" s="138"/>
      <c r="H109" s="145"/>
      <c r="I109" s="145"/>
      <c r="J109" s="145"/>
      <c r="K109" s="146"/>
      <c r="L109" s="135"/>
      <c r="M109" s="138"/>
      <c r="N109" s="145"/>
      <c r="O109" s="145"/>
      <c r="P109" s="145"/>
      <c r="Q109" s="146"/>
      <c r="R109" s="135"/>
      <c r="S109" s="135"/>
      <c r="T109" s="135"/>
      <c r="U109" s="135"/>
      <c r="V109" s="135"/>
      <c r="W109" s="135"/>
      <c r="X109" s="135"/>
      <c r="Y109" s="135"/>
      <c r="Z109" s="135" t="s">
        <v>122</v>
      </c>
    </row>
    <row r="110" customFormat="false" ht="18.75" hidden="false" customHeight="true" outlineLevel="0" collapsed="false">
      <c r="A110" s="154" t="s">
        <v>130</v>
      </c>
      <c r="B110" s="135" t="s">
        <v>131</v>
      </c>
      <c r="C110" s="145"/>
      <c r="D110" s="145" t="s">
        <v>132</v>
      </c>
      <c r="E110" s="146"/>
      <c r="F110" s="135"/>
      <c r="G110" s="154" t="s">
        <v>130</v>
      </c>
      <c r="H110" s="135" t="s">
        <v>131</v>
      </c>
      <c r="I110" s="145"/>
      <c r="J110" s="145" t="s">
        <v>132</v>
      </c>
      <c r="K110" s="146"/>
      <c r="L110" s="135"/>
      <c r="M110" s="154" t="s">
        <v>130</v>
      </c>
      <c r="N110" s="135" t="s">
        <v>131</v>
      </c>
      <c r="O110" s="145"/>
      <c r="P110" s="145" t="s">
        <v>132</v>
      </c>
      <c r="Q110" s="146"/>
      <c r="R110" s="135"/>
      <c r="S110" s="135"/>
      <c r="T110" s="135"/>
      <c r="U110" s="135"/>
      <c r="V110" s="135"/>
      <c r="W110" s="135"/>
      <c r="X110" s="135"/>
      <c r="Y110" s="135"/>
      <c r="Z110" s="135" t="s">
        <v>133</v>
      </c>
    </row>
    <row r="111" customFormat="false" ht="18.75" hidden="false" customHeight="true" outlineLevel="0" collapsed="false">
      <c r="A111" s="156" t="s">
        <v>26</v>
      </c>
      <c r="B111" s="109" t="n">
        <v>0</v>
      </c>
      <c r="C111" s="109"/>
      <c r="D111" s="112" t="s">
        <v>191</v>
      </c>
      <c r="E111" s="112"/>
      <c r="F111" s="135"/>
      <c r="G111" s="156" t="s">
        <v>25</v>
      </c>
      <c r="H111" s="113" t="n">
        <v>0.2</v>
      </c>
      <c r="I111" s="113"/>
      <c r="J111" s="112" t="n">
        <v>5000</v>
      </c>
      <c r="K111" s="112"/>
      <c r="L111" s="135"/>
      <c r="M111" s="156" t="s">
        <v>25</v>
      </c>
      <c r="N111" s="113" t="n">
        <v>0.2</v>
      </c>
      <c r="O111" s="113"/>
      <c r="P111" s="112" t="n">
        <v>5000</v>
      </c>
      <c r="Q111" s="112"/>
      <c r="R111" s="135"/>
      <c r="S111" s="135"/>
      <c r="T111" s="135"/>
      <c r="U111" s="135"/>
      <c r="V111" s="135"/>
      <c r="W111" s="135"/>
      <c r="X111" s="135"/>
      <c r="Y111" s="135"/>
      <c r="Z111" s="135" t="s">
        <v>134</v>
      </c>
    </row>
    <row r="112" customFormat="false" ht="18.75" hidden="false" customHeight="true" outlineLevel="0" collapsed="false">
      <c r="A112" s="138"/>
      <c r="B112" s="145"/>
      <c r="C112" s="145"/>
      <c r="D112" s="145" t="s">
        <v>75</v>
      </c>
      <c r="E112" s="146"/>
      <c r="F112" s="135"/>
      <c r="G112" s="138"/>
      <c r="H112" s="145"/>
      <c r="I112" s="145"/>
      <c r="J112" s="145"/>
      <c r="K112" s="146"/>
      <c r="L112" s="135"/>
      <c r="M112" s="138"/>
      <c r="N112" s="145"/>
      <c r="O112" s="145"/>
      <c r="P112" s="145"/>
      <c r="Q112" s="146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customFormat="false" ht="18.75" hidden="false" customHeight="true" outlineLevel="0" collapsed="false">
      <c r="A113" s="138"/>
      <c r="B113" s="145"/>
      <c r="C113" s="145"/>
      <c r="D113" s="145"/>
      <c r="E113" s="146"/>
      <c r="F113" s="135"/>
      <c r="G113" s="138"/>
      <c r="H113" s="145"/>
      <c r="I113" s="145"/>
      <c r="J113" s="145"/>
      <c r="K113" s="146"/>
      <c r="L113" s="135"/>
      <c r="M113" s="138"/>
      <c r="N113" s="145" t="s">
        <v>135</v>
      </c>
      <c r="O113" s="156" t="s">
        <v>25</v>
      </c>
      <c r="P113" s="145"/>
      <c r="Q113" s="146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customFormat="false" ht="18.75" hidden="false" customHeight="true" outlineLevel="0" collapsed="false">
      <c r="A114" s="29" t="s">
        <v>136</v>
      </c>
      <c r="B114" s="29"/>
      <c r="C114" s="29"/>
      <c r="D114" s="29"/>
      <c r="E114" s="29"/>
      <c r="F114" s="135"/>
      <c r="G114" s="29" t="s">
        <v>136</v>
      </c>
      <c r="H114" s="29"/>
      <c r="I114" s="29"/>
      <c r="J114" s="29"/>
      <c r="K114" s="29"/>
      <c r="L114" s="135"/>
      <c r="M114" s="29" t="s">
        <v>136</v>
      </c>
      <c r="N114" s="29"/>
      <c r="O114" s="29"/>
      <c r="P114" s="29"/>
      <c r="Q114" s="29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customFormat="false" ht="18.75" hidden="false" customHeight="true" outlineLevel="0" collapsed="false">
      <c r="A115" s="138"/>
      <c r="B115" s="145"/>
      <c r="C115" s="145"/>
      <c r="D115" s="145"/>
      <c r="E115" s="146"/>
      <c r="F115" s="135"/>
      <c r="G115" s="138"/>
      <c r="H115" s="145"/>
      <c r="I115" s="145"/>
      <c r="J115" s="145"/>
      <c r="K115" s="146"/>
      <c r="L115" s="135"/>
      <c r="M115" s="138"/>
      <c r="N115" s="145"/>
      <c r="O115" s="145"/>
      <c r="P115" s="145"/>
      <c r="Q115" s="146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customFormat="false" ht="18.75" hidden="false" customHeight="true" outlineLevel="0" collapsed="false">
      <c r="A116" s="138" t="s">
        <v>137</v>
      </c>
      <c r="B116" s="156" t="s">
        <v>25</v>
      </c>
      <c r="C116" s="145"/>
      <c r="D116" s="145"/>
      <c r="E116" s="146"/>
      <c r="F116" s="135"/>
      <c r="G116" s="138" t="s">
        <v>137</v>
      </c>
      <c r="H116" s="156" t="s">
        <v>25</v>
      </c>
      <c r="I116" s="145"/>
      <c r="J116" s="145"/>
      <c r="K116" s="146"/>
      <c r="L116" s="135"/>
      <c r="M116" s="138" t="s">
        <v>137</v>
      </c>
      <c r="N116" s="156" t="s">
        <v>25</v>
      </c>
      <c r="O116" s="145"/>
      <c r="P116" s="145"/>
      <c r="Q116" s="146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customFormat="false" ht="18.75" hidden="false" customHeight="true" outlineLevel="0" collapsed="false">
      <c r="A117" s="138"/>
      <c r="B117" s="145"/>
      <c r="C117" s="145"/>
      <c r="D117" s="145"/>
      <c r="E117" s="146"/>
      <c r="F117" s="135"/>
      <c r="G117" s="138"/>
      <c r="H117" s="145"/>
      <c r="I117" s="145"/>
      <c r="J117" s="145"/>
      <c r="K117" s="146"/>
      <c r="L117" s="135"/>
      <c r="M117" s="138"/>
      <c r="N117" s="145"/>
      <c r="O117" s="145"/>
      <c r="P117" s="145"/>
      <c r="Q117" s="146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customFormat="false" ht="18.75" hidden="false" customHeight="true" outlineLevel="0" collapsed="false">
      <c r="A118" s="138" t="s">
        <v>138</v>
      </c>
      <c r="B118" s="145"/>
      <c r="C118" s="145"/>
      <c r="D118" s="111" t="n">
        <v>10000</v>
      </c>
      <c r="E118" s="112" t="n">
        <v>6000</v>
      </c>
      <c r="F118" s="135"/>
      <c r="G118" s="138" t="s">
        <v>138</v>
      </c>
      <c r="H118" s="145"/>
      <c r="I118" s="145"/>
      <c r="J118" s="111" t="n">
        <v>10000</v>
      </c>
      <c r="K118" s="112" t="n">
        <v>5000</v>
      </c>
      <c r="L118" s="135"/>
      <c r="M118" s="138" t="s">
        <v>138</v>
      </c>
      <c r="N118" s="145"/>
      <c r="O118" s="145"/>
      <c r="P118" s="111" t="n">
        <v>10000</v>
      </c>
      <c r="Q118" s="112" t="n">
        <v>5000</v>
      </c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customFormat="false" ht="18.75" hidden="false" customHeight="true" outlineLevel="0" collapsed="false">
      <c r="A119" s="138" t="s">
        <v>139</v>
      </c>
      <c r="B119" s="145"/>
      <c r="C119" s="145"/>
      <c r="D119" s="210" t="n">
        <f aca="false">E119</f>
        <v>2000</v>
      </c>
      <c r="E119" s="112" t="n">
        <v>2000</v>
      </c>
      <c r="F119" s="135"/>
      <c r="G119" s="138" t="s">
        <v>139</v>
      </c>
      <c r="H119" s="145"/>
      <c r="I119" s="145"/>
      <c r="J119" s="210" t="n">
        <f aca="false">K119</f>
        <v>7000</v>
      </c>
      <c r="K119" s="112" t="n">
        <v>7000</v>
      </c>
      <c r="L119" s="135"/>
      <c r="M119" s="138" t="s">
        <v>139</v>
      </c>
      <c r="N119" s="145"/>
      <c r="O119" s="145"/>
      <c r="P119" s="210" t="n">
        <f aca="false">Q119</f>
        <v>7000</v>
      </c>
      <c r="Q119" s="112" t="n">
        <v>7000</v>
      </c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customFormat="false" ht="18.75" hidden="false" customHeight="true" outlineLevel="0" collapsed="false">
      <c r="A120" s="138" t="s">
        <v>140</v>
      </c>
      <c r="B120" s="145"/>
      <c r="C120" s="145"/>
      <c r="D120" s="210" t="n">
        <f aca="false">D118-D119</f>
        <v>8000</v>
      </c>
      <c r="E120" s="115" t="n">
        <f aca="false">E118-E119</f>
        <v>4000</v>
      </c>
      <c r="F120" s="135"/>
      <c r="G120" s="138" t="s">
        <v>140</v>
      </c>
      <c r="H120" s="145"/>
      <c r="I120" s="145"/>
      <c r="J120" s="210" t="n">
        <f aca="false">J118-J119</f>
        <v>3000</v>
      </c>
      <c r="K120" s="115" t="n">
        <f aca="false">K118-K119</f>
        <v>-2000</v>
      </c>
      <c r="L120" s="135"/>
      <c r="M120" s="138" t="s">
        <v>140</v>
      </c>
      <c r="N120" s="145"/>
      <c r="O120" s="145"/>
      <c r="P120" s="210" t="n">
        <f aca="false">P118-P119</f>
        <v>3000</v>
      </c>
      <c r="Q120" s="115" t="n">
        <f aca="false">Q118-Q119</f>
        <v>-2000</v>
      </c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customFormat="false" ht="18.75" hidden="false" customHeight="true" outlineLevel="0" collapsed="false">
      <c r="A121" s="138" t="s">
        <v>141</v>
      </c>
      <c r="B121" s="145"/>
      <c r="C121" s="145"/>
      <c r="D121" s="210" t="n">
        <f aca="false">D120-E120</f>
        <v>4000</v>
      </c>
      <c r="E121" s="146"/>
      <c r="F121" s="135"/>
      <c r="G121" s="138" t="s">
        <v>141</v>
      </c>
      <c r="H121" s="145"/>
      <c r="I121" s="145"/>
      <c r="J121" s="210" t="n">
        <f aca="false">J120-K120</f>
        <v>5000</v>
      </c>
      <c r="K121" s="146"/>
      <c r="L121" s="135"/>
      <c r="M121" s="138" t="s">
        <v>141</v>
      </c>
      <c r="N121" s="145"/>
      <c r="O121" s="145"/>
      <c r="P121" s="210" t="n">
        <f aca="false">P120-Q120</f>
        <v>5000</v>
      </c>
      <c r="Q121" s="146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customFormat="false" ht="18.75" hidden="false" customHeight="true" outlineLevel="0" collapsed="false">
      <c r="A122" s="138"/>
      <c r="B122" s="145"/>
      <c r="C122" s="145"/>
      <c r="D122" s="145"/>
      <c r="E122" s="146"/>
      <c r="F122" s="135"/>
      <c r="G122" s="138"/>
      <c r="H122" s="145"/>
      <c r="I122" s="145"/>
      <c r="J122" s="145"/>
      <c r="K122" s="146"/>
      <c r="L122" s="135"/>
      <c r="M122" s="138"/>
      <c r="N122" s="145"/>
      <c r="O122" s="145"/>
      <c r="P122" s="145"/>
      <c r="Q122" s="146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customFormat="false" ht="18.75" hidden="false" customHeight="true" outlineLevel="0" collapsed="false">
      <c r="A123" s="180" t="s">
        <v>142</v>
      </c>
      <c r="B123" s="181"/>
      <c r="C123" s="181"/>
      <c r="D123" s="181"/>
      <c r="E123" s="203" t="n">
        <f aca="false">D105</f>
        <v>1000</v>
      </c>
      <c r="F123" s="135"/>
      <c r="G123" s="180" t="s">
        <v>142</v>
      </c>
      <c r="H123" s="181"/>
      <c r="I123" s="181"/>
      <c r="J123" s="181"/>
      <c r="K123" s="203" t="n">
        <f aca="false">J105</f>
        <v>5000</v>
      </c>
      <c r="L123" s="135"/>
      <c r="M123" s="180" t="s">
        <v>142</v>
      </c>
      <c r="N123" s="181"/>
      <c r="O123" s="181"/>
      <c r="P123" s="181"/>
      <c r="Q123" s="203" t="n">
        <f aca="false">P105</f>
        <v>0</v>
      </c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customFormat="false" ht="18.75" hidden="false" customHeight="true" outlineLevel="0" collapsed="false">
      <c r="A124" s="138" t="s">
        <v>52</v>
      </c>
      <c r="B124" s="145"/>
      <c r="C124" s="145"/>
      <c r="D124" s="145"/>
      <c r="E124" s="143" t="n">
        <f aca="false">A108</f>
        <v>239.99</v>
      </c>
      <c r="F124" s="135"/>
      <c r="G124" s="138" t="s">
        <v>52</v>
      </c>
      <c r="H124" s="145"/>
      <c r="I124" s="145"/>
      <c r="J124" s="145"/>
      <c r="K124" s="143" t="n">
        <f aca="false">G108</f>
        <v>239.988</v>
      </c>
      <c r="L124" s="135"/>
      <c r="M124" s="138" t="s">
        <v>52</v>
      </c>
      <c r="N124" s="145"/>
      <c r="O124" s="145"/>
      <c r="P124" s="145"/>
      <c r="Q124" s="143" t="n">
        <f aca="false">M108</f>
        <v>199.99</v>
      </c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customFormat="false" ht="18.75" hidden="false" customHeight="true" outlineLevel="0" collapsed="false">
      <c r="A125" s="211" t="s">
        <v>143</v>
      </c>
      <c r="B125" s="178"/>
      <c r="C125" s="178"/>
      <c r="D125" s="178"/>
      <c r="E125" s="185" t="n">
        <f aca="false">(E124+E123)-E120</f>
        <v>-2760.01</v>
      </c>
      <c r="F125" s="135"/>
      <c r="G125" s="211" t="s">
        <v>143</v>
      </c>
      <c r="H125" s="178"/>
      <c r="I125" s="178"/>
      <c r="J125" s="178"/>
      <c r="K125" s="185" t="n">
        <f aca="false">(K124+K123)-K120</f>
        <v>7239.988</v>
      </c>
      <c r="L125" s="135"/>
      <c r="M125" s="211" t="s">
        <v>143</v>
      </c>
      <c r="N125" s="178"/>
      <c r="O125" s="178"/>
      <c r="P125" s="178"/>
      <c r="Q125" s="185" t="n">
        <f aca="false">(Q124+Q123)-Q120</f>
        <v>2199.99</v>
      </c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customFormat="false" ht="18.75" hidden="false" customHeight="true" outlineLevel="0" collapsed="false">
      <c r="A126" s="138"/>
      <c r="B126" s="145"/>
      <c r="C126" s="145"/>
      <c r="D126" s="145"/>
      <c r="E126" s="146"/>
      <c r="F126" s="135"/>
      <c r="G126" s="138"/>
      <c r="H126" s="145"/>
      <c r="I126" s="145"/>
      <c r="J126" s="145"/>
      <c r="K126" s="146"/>
      <c r="L126" s="135"/>
      <c r="M126" s="138"/>
      <c r="N126" s="145"/>
      <c r="O126" s="145"/>
      <c r="P126" s="145"/>
      <c r="Q126" s="146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customFormat="false" ht="18.75" hidden="false" customHeight="true" outlineLevel="0" collapsed="false">
      <c r="A127" s="138"/>
      <c r="B127" s="145"/>
      <c r="C127" s="145"/>
      <c r="D127" s="145"/>
      <c r="E127" s="146"/>
      <c r="F127" s="135"/>
      <c r="G127" s="138"/>
      <c r="H127" s="145"/>
      <c r="I127" s="145"/>
      <c r="J127" s="145"/>
      <c r="K127" s="146"/>
      <c r="L127" s="135"/>
      <c r="M127" s="138"/>
      <c r="N127" s="145"/>
      <c r="O127" s="145"/>
      <c r="P127" s="145"/>
      <c r="Q127" s="146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customFormat="false" ht="18.75" hidden="false" customHeight="true" outlineLevel="0" collapsed="false">
      <c r="A128" s="29" t="s">
        <v>144</v>
      </c>
      <c r="B128" s="29"/>
      <c r="C128" s="29"/>
      <c r="D128" s="29"/>
      <c r="E128" s="29"/>
      <c r="F128" s="135"/>
      <c r="G128" s="29" t="s">
        <v>144</v>
      </c>
      <c r="H128" s="29"/>
      <c r="I128" s="29"/>
      <c r="J128" s="29"/>
      <c r="K128" s="29"/>
      <c r="L128" s="135"/>
      <c r="M128" s="29" t="s">
        <v>144</v>
      </c>
      <c r="N128" s="29"/>
      <c r="O128" s="29"/>
      <c r="P128" s="29"/>
      <c r="Q128" s="29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customFormat="false" ht="18.75" hidden="false" customHeight="true" outlineLevel="0" collapsed="false">
      <c r="A129" s="138"/>
      <c r="B129" s="145"/>
      <c r="C129" s="145"/>
      <c r="D129" s="145"/>
      <c r="E129" s="146"/>
      <c r="F129" s="135"/>
      <c r="G129" s="138"/>
      <c r="H129" s="145"/>
      <c r="I129" s="145"/>
      <c r="J129" s="145"/>
      <c r="K129" s="146"/>
      <c r="L129" s="135"/>
      <c r="M129" s="138"/>
      <c r="N129" s="145"/>
      <c r="O129" s="145"/>
      <c r="P129" s="145"/>
      <c r="Q129" s="146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customFormat="false" ht="18.75" hidden="false" customHeight="true" outlineLevel="0" collapsed="false">
      <c r="A130" s="138" t="s">
        <v>145</v>
      </c>
      <c r="B130" s="117" t="n">
        <v>0</v>
      </c>
      <c r="C130" s="117"/>
      <c r="D130" s="145"/>
      <c r="E130" s="146"/>
      <c r="F130" s="135"/>
      <c r="G130" s="138" t="s">
        <v>145</v>
      </c>
      <c r="H130" s="117" t="n">
        <v>0</v>
      </c>
      <c r="I130" s="117"/>
      <c r="J130" s="145"/>
      <c r="K130" s="146"/>
      <c r="L130" s="135"/>
      <c r="M130" s="138" t="s">
        <v>145</v>
      </c>
      <c r="N130" s="117" t="n">
        <v>0</v>
      </c>
      <c r="O130" s="117"/>
      <c r="P130" s="145"/>
      <c r="Q130" s="146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customFormat="false" ht="18.75" hidden="false" customHeight="true" outlineLevel="0" collapsed="false">
      <c r="A131" s="138"/>
      <c r="B131" s="145"/>
      <c r="C131" s="145"/>
      <c r="D131" s="145"/>
      <c r="E131" s="146"/>
      <c r="F131" s="135"/>
      <c r="G131" s="138"/>
      <c r="H131" s="145"/>
      <c r="I131" s="145"/>
      <c r="J131" s="145"/>
      <c r="K131" s="146"/>
      <c r="L131" s="135"/>
      <c r="M131" s="138"/>
      <c r="N131" s="145"/>
      <c r="O131" s="145"/>
      <c r="P131" s="145"/>
      <c r="Q131" s="146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customFormat="false" ht="18.75" hidden="false" customHeight="true" outlineLevel="0" collapsed="false">
      <c r="A132" s="138" t="s">
        <v>81</v>
      </c>
      <c r="B132" s="145" t="s">
        <v>82</v>
      </c>
      <c r="C132" s="145"/>
      <c r="D132" s="145" t="s">
        <v>84</v>
      </c>
      <c r="E132" s="146"/>
      <c r="F132" s="135"/>
      <c r="G132" s="138" t="s">
        <v>81</v>
      </c>
      <c r="H132" s="145" t="s">
        <v>82</v>
      </c>
      <c r="I132" s="145"/>
      <c r="J132" s="145" t="s">
        <v>84</v>
      </c>
      <c r="K132" s="146"/>
      <c r="L132" s="135"/>
      <c r="M132" s="138" t="s">
        <v>81</v>
      </c>
      <c r="N132" s="145" t="s">
        <v>82</v>
      </c>
      <c r="O132" s="145"/>
      <c r="P132" s="145" t="s">
        <v>84</v>
      </c>
      <c r="Q132" s="146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6"/>
      <c r="F133" s="135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6"/>
      <c r="L133" s="135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6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customFormat="false" ht="18.75" hidden="false" customHeight="true" outlineLevel="0" collapsed="false">
      <c r="A134" s="138"/>
      <c r="B134" s="145"/>
      <c r="C134" s="145"/>
      <c r="D134" s="145"/>
      <c r="E134" s="146"/>
      <c r="F134" s="135"/>
      <c r="G134" s="138"/>
      <c r="H134" s="145"/>
      <c r="I134" s="145"/>
      <c r="J134" s="145"/>
      <c r="K134" s="146"/>
      <c r="L134" s="135"/>
      <c r="M134" s="138"/>
      <c r="N134" s="145"/>
      <c r="O134" s="145"/>
      <c r="P134" s="145"/>
      <c r="Q134" s="146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customFormat="false" ht="18.75" hidden="false" customHeight="true" outlineLevel="0" collapsed="false">
      <c r="A135" s="212" t="s">
        <v>146</v>
      </c>
      <c r="B135" s="213" t="s">
        <v>147</v>
      </c>
      <c r="C135" s="213"/>
      <c r="D135" s="213" t="s">
        <v>112</v>
      </c>
      <c r="E135" s="146"/>
      <c r="F135" s="135"/>
      <c r="G135" s="212" t="s">
        <v>148</v>
      </c>
      <c r="H135" s="213" t="s">
        <v>149</v>
      </c>
      <c r="I135" s="213"/>
      <c r="J135" s="213" t="s">
        <v>150</v>
      </c>
      <c r="K135" s="146"/>
      <c r="L135" s="135"/>
      <c r="M135" s="212" t="s">
        <v>146</v>
      </c>
      <c r="N135" s="213" t="s">
        <v>147</v>
      </c>
      <c r="O135" s="213"/>
      <c r="P135" s="213" t="s">
        <v>112</v>
      </c>
      <c r="Q135" s="146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customFormat="false" ht="18.75" hidden="false" customHeight="true" outlineLevel="0" collapsed="false">
      <c r="A136" s="122" t="n">
        <f aca="false">B96</f>
        <v>750.995946282103</v>
      </c>
      <c r="B136" s="214" t="n">
        <f aca="false">IF(A111="YES", B95*B63, 0)</f>
        <v>0</v>
      </c>
      <c r="C136" s="214"/>
      <c r="D136" s="214" t="n">
        <f aca="false">B97</f>
        <v>750.995946282103</v>
      </c>
      <c r="E136" s="146"/>
      <c r="F136" s="135"/>
      <c r="G136" s="122" t="e">
        <f aca="false">H96</f>
        <v>#DIV/0!</v>
      </c>
      <c r="H136" s="214" t="e">
        <f aca="false">IF(G111="YES", H95*H63, 0)</f>
        <v>#DIV/0!</v>
      </c>
      <c r="I136" s="214"/>
      <c r="J136" s="124" t="e">
        <f aca="false">H97</f>
        <v>#DIV/0!</v>
      </c>
      <c r="K136" s="146"/>
      <c r="L136" s="135"/>
      <c r="M136" s="122" t="e">
        <f aca="false">N96</f>
        <v>#DIV/0!</v>
      </c>
      <c r="N136" s="214" t="e">
        <f aca="false">IF(M111="YES", N95*N63, 0)</f>
        <v>#DIV/0!</v>
      </c>
      <c r="O136" s="214"/>
      <c r="P136" s="214" t="e">
        <f aca="false">N97</f>
        <v>#DIV/0!</v>
      </c>
      <c r="Q136" s="146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customFormat="false" ht="18.75" hidden="false" customHeight="true" outlineLevel="0" collapsed="false">
      <c r="A137" s="138"/>
      <c r="B137" s="145"/>
      <c r="C137" s="145"/>
      <c r="D137" s="145"/>
      <c r="E137" s="146"/>
      <c r="F137" s="135"/>
      <c r="G137" s="138"/>
      <c r="H137" s="145"/>
      <c r="I137" s="145"/>
      <c r="J137" s="145"/>
      <c r="K137" s="146"/>
      <c r="L137" s="135"/>
      <c r="M137" s="138"/>
      <c r="N137" s="145"/>
      <c r="O137" s="145"/>
      <c r="P137" s="145"/>
      <c r="Q137" s="146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customFormat="false" ht="18.75" hidden="false" customHeight="true" outlineLevel="0" collapsed="false">
      <c r="A138" s="138" t="s">
        <v>151</v>
      </c>
      <c r="B138" s="145" t="s">
        <v>152</v>
      </c>
      <c r="C138" s="145"/>
      <c r="D138" s="145" t="s">
        <v>153</v>
      </c>
      <c r="E138" s="146"/>
      <c r="F138" s="135"/>
      <c r="G138" s="138" t="s">
        <v>154</v>
      </c>
      <c r="H138" s="145" t="s">
        <v>155</v>
      </c>
      <c r="I138" s="145"/>
      <c r="J138" s="145" t="s">
        <v>156</v>
      </c>
      <c r="K138" s="146"/>
      <c r="L138" s="135"/>
      <c r="M138" s="138" t="s">
        <v>151</v>
      </c>
      <c r="N138" s="145" t="s">
        <v>152</v>
      </c>
      <c r="O138" s="145"/>
      <c r="P138" s="145" t="s">
        <v>153</v>
      </c>
      <c r="Q138" s="146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customFormat="false" ht="18.75" hidden="false" customHeight="true" outlineLevel="0" collapsed="false">
      <c r="A139" s="125" t="n">
        <f aca="false">B96*B63</f>
        <v>6758.96351653893</v>
      </c>
      <c r="B139" s="215" t="n">
        <f aca="false">IF(A111="YES", B95*B63, 0)</f>
        <v>0</v>
      </c>
      <c r="C139" s="155"/>
      <c r="D139" s="128" t="n">
        <f aca="false">B97*B63</f>
        <v>6758.96351653893</v>
      </c>
      <c r="E139" s="146"/>
      <c r="F139" s="135"/>
      <c r="G139" s="125" t="e">
        <f aca="false">H96*H63</f>
        <v>#DIV/0!</v>
      </c>
      <c r="H139" s="215" t="e">
        <f aca="false">IF(G111="YES", H95*H63, 0)</f>
        <v>#DIV/0!</v>
      </c>
      <c r="I139" s="155"/>
      <c r="J139" s="215" t="e">
        <f aca="false">H97*H63</f>
        <v>#DIV/0!</v>
      </c>
      <c r="K139" s="146"/>
      <c r="L139" s="135"/>
      <c r="M139" s="125" t="e">
        <f aca="false">N96*N63</f>
        <v>#DIV/0!</v>
      </c>
      <c r="N139" s="215" t="e">
        <f aca="false">IF(M111="YES", N95*N63, 0)</f>
        <v>#DIV/0!</v>
      </c>
      <c r="O139" s="155"/>
      <c r="P139" s="128" t="e">
        <f aca="false">N97*N63</f>
        <v>#DIV/0!</v>
      </c>
      <c r="Q139" s="146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customFormat="false" ht="18.75" hidden="false" customHeight="true" outlineLevel="0" collapsed="false">
      <c r="A140" s="138"/>
      <c r="B140" s="145"/>
      <c r="C140" s="145"/>
      <c r="D140" s="145"/>
      <c r="E140" s="146"/>
      <c r="F140" s="135"/>
      <c r="G140" s="138"/>
      <c r="H140" s="145"/>
      <c r="I140" s="145"/>
      <c r="J140" s="145"/>
      <c r="K140" s="146"/>
      <c r="L140" s="135"/>
      <c r="M140" s="138"/>
      <c r="N140" s="145"/>
      <c r="O140" s="145"/>
      <c r="P140" s="145"/>
      <c r="Q140" s="146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customFormat="false" ht="18.75" hidden="false" customHeight="true" outlineLevel="0" collapsed="false">
      <c r="A141" s="138" t="s">
        <v>157</v>
      </c>
      <c r="B141" s="145" t="s">
        <v>158</v>
      </c>
      <c r="C141" s="145"/>
      <c r="D141" s="145" t="s">
        <v>159</v>
      </c>
      <c r="E141" s="146"/>
      <c r="F141" s="135"/>
      <c r="G141" s="138" t="s">
        <v>160</v>
      </c>
      <c r="H141" s="145" t="s">
        <v>161</v>
      </c>
      <c r="I141" s="145"/>
      <c r="J141" s="145" t="s">
        <v>162</v>
      </c>
      <c r="K141" s="146"/>
      <c r="L141" s="135"/>
      <c r="M141" s="138" t="s">
        <v>157</v>
      </c>
      <c r="N141" s="145" t="s">
        <v>158</v>
      </c>
      <c r="O141" s="145"/>
      <c r="P141" s="145" t="s">
        <v>159</v>
      </c>
      <c r="Q141" s="146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customFormat="false" ht="18.75" hidden="false" customHeight="true" outlineLevel="0" collapsed="false">
      <c r="A142" s="129" t="n">
        <f aca="false">E15*0.000006</f>
        <v>0.35115</v>
      </c>
      <c r="B142" s="215" t="n">
        <f aca="false">IF(A111="YES", E15*0.000002, 0)</f>
        <v>0</v>
      </c>
      <c r="C142" s="215"/>
      <c r="D142" s="215" t="n">
        <f aca="false">A142+B142</f>
        <v>0.35115</v>
      </c>
      <c r="E142" s="130"/>
      <c r="F142" s="135"/>
      <c r="G142" s="129" t="n">
        <f aca="false">E15*0.000006</f>
        <v>0.35115</v>
      </c>
      <c r="H142" s="215" t="n">
        <f aca="false">IF(G111="YES", E15*0.000002, 0)</f>
        <v>0.11705</v>
      </c>
      <c r="I142" s="215"/>
      <c r="J142" s="215" t="n">
        <f aca="false">G142+H142</f>
        <v>0.4682</v>
      </c>
      <c r="K142" s="130"/>
      <c r="L142" s="135"/>
      <c r="M142" s="129" t="n">
        <f aca="false">E15*0.000006</f>
        <v>0.35115</v>
      </c>
      <c r="N142" s="215" t="n">
        <f aca="false">IF(M111="YES", E15*0.000002, 0)</f>
        <v>0.11705</v>
      </c>
      <c r="O142" s="215"/>
      <c r="P142" s="215" t="n">
        <f aca="false">M142+N142</f>
        <v>0.4682</v>
      </c>
      <c r="Q142" s="130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customFormat="false" ht="18.75" hidden="false" customHeight="true" outlineLevel="0" collapsed="false">
      <c r="A143" s="138"/>
      <c r="B143" s="145"/>
      <c r="C143" s="145"/>
      <c r="D143" s="145"/>
      <c r="E143" s="146"/>
      <c r="F143" s="135"/>
      <c r="G143" s="138"/>
      <c r="H143" s="145"/>
      <c r="I143" s="145"/>
      <c r="J143" s="145"/>
      <c r="K143" s="146"/>
      <c r="L143" s="135"/>
      <c r="M143" s="138"/>
      <c r="N143" s="145"/>
      <c r="O143" s="145"/>
      <c r="P143" s="145"/>
      <c r="Q143" s="146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customFormat="false" ht="18.75" hidden="false" customHeight="true" outlineLevel="0" collapsed="false">
      <c r="A144" s="138" t="s">
        <v>163</v>
      </c>
      <c r="B144" s="145" t="s">
        <v>164</v>
      </c>
      <c r="C144" s="145"/>
      <c r="D144" s="145" t="s">
        <v>165</v>
      </c>
      <c r="E144" s="146"/>
      <c r="F144" s="135"/>
      <c r="G144" s="138" t="s">
        <v>166</v>
      </c>
      <c r="H144" s="145" t="s">
        <v>164</v>
      </c>
      <c r="I144" s="145"/>
      <c r="J144" s="145" t="s">
        <v>165</v>
      </c>
      <c r="K144" s="146"/>
      <c r="L144" s="135"/>
      <c r="M144" s="138" t="s">
        <v>163</v>
      </c>
      <c r="N144" s="145" t="s">
        <v>164</v>
      </c>
      <c r="O144" s="145"/>
      <c r="P144" s="145" t="s">
        <v>165</v>
      </c>
      <c r="Q144" s="146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customFormat="false" ht="18.75" hidden="false" customHeight="true" outlineLevel="0" collapsed="false">
      <c r="A145" s="129" t="n">
        <f aca="false">A108</f>
        <v>239.99</v>
      </c>
      <c r="B145" s="215" t="n">
        <f aca="false">B73/1.2</f>
        <v>482.375</v>
      </c>
      <c r="C145" s="215"/>
      <c r="D145" s="215" t="n">
        <f aca="false">B108*0.9</f>
        <v>0</v>
      </c>
      <c r="E145" s="130"/>
      <c r="F145" s="135"/>
      <c r="G145" s="129" t="n">
        <f aca="false">G108</f>
        <v>239.988</v>
      </c>
      <c r="H145" s="215" t="n">
        <f aca="false">H73/1.2</f>
        <v>241.1875</v>
      </c>
      <c r="I145" s="215"/>
      <c r="J145" s="215" t="n">
        <f aca="false">H108*0.9</f>
        <v>1080</v>
      </c>
      <c r="K145" s="130"/>
      <c r="L145" s="135"/>
      <c r="M145" s="129" t="n">
        <f aca="false">M108</f>
        <v>199.99</v>
      </c>
      <c r="N145" s="215" t="n">
        <f aca="false">N73/1.2</f>
        <v>241.1875</v>
      </c>
      <c r="O145" s="215"/>
      <c r="P145" s="215" t="n">
        <f aca="false">N108*0.9</f>
        <v>1080</v>
      </c>
      <c r="Q145" s="130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customFormat="false" ht="18.75" hidden="false" customHeight="true" outlineLevel="0" collapsed="false">
      <c r="A146" s="138"/>
      <c r="B146" s="145"/>
      <c r="C146" s="145"/>
      <c r="D146" s="145"/>
      <c r="E146" s="146"/>
      <c r="F146" s="135"/>
      <c r="G146" s="138"/>
      <c r="H146" s="145"/>
      <c r="I146" s="145"/>
      <c r="J146" s="145"/>
      <c r="K146" s="146"/>
      <c r="L146" s="135"/>
      <c r="M146" s="138"/>
      <c r="N146" s="145"/>
      <c r="O146" s="145"/>
      <c r="P146" s="145"/>
      <c r="Q146" s="146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customFormat="false" ht="18.75" hidden="false" customHeight="true" outlineLevel="0" collapsed="false">
      <c r="A147" s="138" t="s">
        <v>167</v>
      </c>
      <c r="B147" s="145" t="s">
        <v>168</v>
      </c>
      <c r="C147" s="145"/>
      <c r="D147" s="145" t="s">
        <v>169</v>
      </c>
      <c r="E147" s="146"/>
      <c r="F147" s="135"/>
      <c r="G147" s="138" t="s">
        <v>167</v>
      </c>
      <c r="H147" s="145" t="s">
        <v>168</v>
      </c>
      <c r="I147" s="145"/>
      <c r="J147" s="145" t="s">
        <v>169</v>
      </c>
      <c r="K147" s="146"/>
      <c r="L147" s="135"/>
      <c r="M147" s="138" t="s">
        <v>167</v>
      </c>
      <c r="N147" s="145" t="s">
        <v>168</v>
      </c>
      <c r="O147" s="145"/>
      <c r="P147" s="145" t="s">
        <v>169</v>
      </c>
      <c r="Q147" s="146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5" t="n">
        <f aca="false">A108-100</f>
        <v>139.99</v>
      </c>
      <c r="C148" s="215"/>
      <c r="D148" s="215" t="n">
        <f aca="false">(B145+D145+A148+B148)-B151</f>
        <v>622.365</v>
      </c>
      <c r="E148" s="130"/>
      <c r="F148" s="135"/>
      <c r="G148" s="129" t="n">
        <f aca="false">IF(G111="YES", ((A41*H111)*0.1)*(G133), 0)</f>
        <v>0</v>
      </c>
      <c r="H148" s="215" t="n">
        <f aca="false">G108-100</f>
        <v>139.988</v>
      </c>
      <c r="I148" s="215"/>
      <c r="J148" s="215" t="n">
        <f aca="false">(H145+J145+G148+H148)-H151</f>
        <v>1461.1755</v>
      </c>
      <c r="K148" s="130"/>
      <c r="L148" s="135"/>
      <c r="M148" s="129" t="n">
        <f aca="false">IF(M111="YES", ((A41*N111)*0.1)*(M133), 0)</f>
        <v>0</v>
      </c>
      <c r="N148" s="215" t="n">
        <f aca="false">M108-100</f>
        <v>99.99</v>
      </c>
      <c r="O148" s="215"/>
      <c r="P148" s="215" t="n">
        <f aca="false">(N145+P145+M148+N148)-N151</f>
        <v>1421.1775</v>
      </c>
      <c r="Q148" s="130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customFormat="false" ht="18.75" hidden="false" customHeight="true" outlineLevel="0" collapsed="false">
      <c r="A149" s="138"/>
      <c r="B149" s="145"/>
      <c r="C149" s="145"/>
      <c r="D149" s="145"/>
      <c r="E149" s="146"/>
      <c r="F149" s="135"/>
      <c r="G149" s="138"/>
      <c r="H149" s="145"/>
      <c r="I149" s="145"/>
      <c r="J149" s="145"/>
      <c r="K149" s="146"/>
      <c r="L149" s="135"/>
      <c r="M149" s="138"/>
      <c r="N149" s="145"/>
      <c r="O149" s="145"/>
      <c r="P149" s="145"/>
      <c r="Q149" s="146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customFormat="false" ht="18.75" hidden="false" customHeight="true" outlineLevel="0" collapsed="false">
      <c r="A150" s="138" t="s">
        <v>170</v>
      </c>
      <c r="B150" s="145" t="s">
        <v>171</v>
      </c>
      <c r="C150" s="145"/>
      <c r="D150" s="145"/>
      <c r="E150" s="146"/>
      <c r="F150" s="135"/>
      <c r="G150" s="138" t="s">
        <v>170</v>
      </c>
      <c r="H150" s="145" t="s">
        <v>171</v>
      </c>
      <c r="I150" s="145"/>
      <c r="J150" s="145"/>
      <c r="K150" s="146"/>
      <c r="L150" s="135"/>
      <c r="M150" s="138" t="s">
        <v>170</v>
      </c>
      <c r="N150" s="145" t="s">
        <v>171</v>
      </c>
      <c r="O150" s="145"/>
      <c r="P150" s="145"/>
      <c r="Q150" s="146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customFormat="false" ht="18.75" hidden="false" customHeight="true" outlineLevel="0" collapsed="false">
      <c r="A151" s="129" t="n">
        <v>0</v>
      </c>
      <c r="B151" s="215" t="n">
        <f aca="false">(B145+D145+A148+B148)*(A151/B70)</f>
        <v>0</v>
      </c>
      <c r="C151" s="145"/>
      <c r="D151" s="145"/>
      <c r="E151" s="146"/>
      <c r="F151" s="135"/>
      <c r="G151" s="129" t="n">
        <f aca="false">IF((1200-H108) &lt;= 0, 0, (1200-H108))</f>
        <v>0</v>
      </c>
      <c r="H151" s="215" t="n">
        <f aca="false">(H145+J145+G148+H148)*(G151/H70)</f>
        <v>0</v>
      </c>
      <c r="I151" s="145"/>
      <c r="J151" s="145"/>
      <c r="K151" s="146"/>
      <c r="L151" s="135"/>
      <c r="M151" s="129" t="n">
        <f aca="false">IF((1200-N108) &lt;= 0, 0, (1200-N108))</f>
        <v>0</v>
      </c>
      <c r="N151" s="215" t="n">
        <f aca="false">(N145+P145+M148+N148)*(M151/N70)</f>
        <v>0</v>
      </c>
      <c r="O151" s="145"/>
      <c r="P151" s="145"/>
      <c r="Q151" s="146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customFormat="false" ht="18.75" hidden="false" customHeight="true" outlineLevel="0" collapsed="false">
      <c r="A152" s="138"/>
      <c r="B152" s="145"/>
      <c r="C152" s="145"/>
      <c r="D152" s="145"/>
      <c r="E152" s="146"/>
      <c r="F152" s="135"/>
      <c r="G152" s="138"/>
      <c r="H152" s="145"/>
      <c r="I152" s="145"/>
      <c r="J152" s="145"/>
      <c r="K152" s="146"/>
      <c r="L152" s="135"/>
      <c r="M152" s="129"/>
      <c r="N152" s="215"/>
      <c r="O152" s="145"/>
      <c r="P152" s="145"/>
      <c r="Q152" s="146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customFormat="false" ht="18.75" hidden="false" customHeight="true" outlineLevel="0" collapsed="false">
      <c r="A153" s="138"/>
      <c r="B153" s="145"/>
      <c r="C153" s="145"/>
      <c r="D153" s="145"/>
      <c r="E153" s="146"/>
      <c r="F153" s="135"/>
      <c r="G153" s="138"/>
      <c r="H153" s="145"/>
      <c r="I153" s="145"/>
      <c r="J153" s="145"/>
      <c r="K153" s="146"/>
      <c r="L153" s="135"/>
      <c r="M153" s="131" t="s">
        <v>172</v>
      </c>
      <c r="N153" s="210" t="s">
        <v>173</v>
      </c>
      <c r="O153" s="145"/>
      <c r="P153" s="145"/>
      <c r="Q153" s="146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customFormat="false" ht="18.75" hidden="false" customHeight="true" outlineLevel="0" collapsed="false">
      <c r="A154" s="172" t="s">
        <v>174</v>
      </c>
      <c r="B154" s="145"/>
      <c r="C154" s="145"/>
      <c r="D154" s="173"/>
      <c r="E154" s="174"/>
      <c r="F154" s="135"/>
      <c r="G154" s="172" t="s">
        <v>174</v>
      </c>
      <c r="H154" s="145"/>
      <c r="I154" s="145"/>
      <c r="J154" s="173"/>
      <c r="K154" s="174"/>
      <c r="L154" s="135"/>
      <c r="M154" s="132" t="n">
        <f aca="false">H40</f>
        <v>0</v>
      </c>
      <c r="N154" s="133" t="n">
        <v>0.99</v>
      </c>
      <c r="O154" s="133"/>
      <c r="P154" s="145"/>
      <c r="Q154" s="146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customFormat="false" ht="18.75" hidden="false" customHeight="true" outlineLevel="0" collapsed="false">
      <c r="A155" s="138"/>
      <c r="B155" s="175"/>
      <c r="C155" s="175"/>
      <c r="D155" s="145"/>
      <c r="E155" s="146"/>
      <c r="F155" s="135"/>
      <c r="G155" s="138"/>
      <c r="H155" s="175"/>
      <c r="I155" s="175"/>
      <c r="J155" s="145"/>
      <c r="K155" s="146"/>
      <c r="L155" s="135"/>
      <c r="M155" s="138"/>
      <c r="N155" s="145"/>
      <c r="O155" s="145"/>
      <c r="P155" s="145"/>
      <c r="Q155" s="146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customFormat="false" ht="18.75" hidden="false" customHeight="true" outlineLevel="0" collapsed="false">
      <c r="A156" s="71" t="s">
        <v>81</v>
      </c>
      <c r="B156" s="72" t="s">
        <v>82</v>
      </c>
      <c r="C156" s="72"/>
      <c r="D156" s="145"/>
      <c r="E156" s="146"/>
      <c r="F156" s="135"/>
      <c r="G156" s="71" t="s">
        <v>81</v>
      </c>
      <c r="H156" s="72" t="s">
        <v>82</v>
      </c>
      <c r="I156" s="72"/>
      <c r="J156" s="145"/>
      <c r="K156" s="146"/>
      <c r="L156" s="135"/>
      <c r="M156" s="138"/>
      <c r="N156" s="145"/>
      <c r="O156" s="145"/>
      <c r="P156" s="145"/>
      <c r="Q156" s="146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5"/>
      <c r="E157" s="146"/>
      <c r="F157" s="135"/>
      <c r="G157" s="71"/>
      <c r="H157" s="73" t="str">
        <f aca="false">B57</f>
        <v>5000</v>
      </c>
      <c r="I157" s="73"/>
      <c r="J157" s="145"/>
      <c r="K157" s="146"/>
      <c r="L157" s="135"/>
      <c r="M157" s="172" t="s">
        <v>174</v>
      </c>
      <c r="N157" s="145"/>
      <c r="O157" s="145"/>
      <c r="P157" s="173"/>
      <c r="Q157" s="174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750.995946282103</v>
      </c>
      <c r="C158" s="75"/>
      <c r="D158" s="145"/>
      <c r="E158" s="146"/>
      <c r="F158" s="135"/>
      <c r="G158" s="74" t="str">
        <f aca="false">A58</f>
        <v>12</v>
      </c>
      <c r="H158" s="75" t="e">
        <f aca="false">H97</f>
        <v>#DIV/0!</v>
      </c>
      <c r="I158" s="75"/>
      <c r="J158" s="145"/>
      <c r="K158" s="146"/>
      <c r="L158" s="135"/>
      <c r="M158" s="138"/>
      <c r="N158" s="175"/>
      <c r="O158" s="175"/>
      <c r="P158" s="145"/>
      <c r="Q158" s="146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customFormat="false" ht="18.75" hidden="false" customHeight="true" outlineLevel="0" collapsed="false">
      <c r="A159" s="138"/>
      <c r="B159" s="145"/>
      <c r="C159" s="145"/>
      <c r="D159" s="145"/>
      <c r="E159" s="146"/>
      <c r="F159" s="135"/>
      <c r="G159" s="138"/>
      <c r="H159" s="145"/>
      <c r="I159" s="145"/>
      <c r="J159" s="145"/>
      <c r="K159" s="146"/>
      <c r="L159" s="135"/>
      <c r="M159" s="71" t="s">
        <v>81</v>
      </c>
      <c r="N159" s="72" t="s">
        <v>82</v>
      </c>
      <c r="O159" s="72"/>
      <c r="P159" s="145"/>
      <c r="Q159" s="146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customFormat="false" ht="18.75" hidden="false" customHeight="true" outlineLevel="0" collapsed="false">
      <c r="A160" s="138"/>
      <c r="B160" s="145"/>
      <c r="C160" s="145"/>
      <c r="D160" s="145"/>
      <c r="E160" s="146"/>
      <c r="F160" s="135"/>
      <c r="G160" s="138"/>
      <c r="H160" s="145"/>
      <c r="I160" s="145"/>
      <c r="J160" s="145"/>
      <c r="K160" s="146"/>
      <c r="L160" s="135"/>
      <c r="M160" s="71"/>
      <c r="N160" s="73" t="str">
        <f aca="false">B57</f>
        <v>5000</v>
      </c>
      <c r="O160" s="73"/>
      <c r="P160" s="145"/>
      <c r="Q160" s="146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customFormat="false" ht="18.75" hidden="false" customHeight="true" outlineLevel="0" collapsed="false">
      <c r="A161" s="138"/>
      <c r="B161" s="145"/>
      <c r="C161" s="145"/>
      <c r="D161" s="145"/>
      <c r="E161" s="146"/>
      <c r="F161" s="135"/>
      <c r="G161" s="138"/>
      <c r="H161" s="145"/>
      <c r="I161" s="145"/>
      <c r="J161" s="145"/>
      <c r="K161" s="146"/>
      <c r="L161" s="135"/>
      <c r="M161" s="74" t="str">
        <f aca="false">A58</f>
        <v>12</v>
      </c>
      <c r="N161" s="75" t="e">
        <f aca="false">N97</f>
        <v>#DIV/0!</v>
      </c>
      <c r="O161" s="75"/>
      <c r="P161" s="145"/>
      <c r="Q161" s="146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customFormat="false" ht="18.75" hidden="false" customHeight="true" outlineLevel="0" collapsed="false">
      <c r="A162" s="138"/>
      <c r="B162" s="145"/>
      <c r="C162" s="145"/>
      <c r="D162" s="145"/>
      <c r="E162" s="146"/>
      <c r="F162" s="135"/>
      <c r="G162" s="138"/>
      <c r="H162" s="145"/>
      <c r="I162" s="145"/>
      <c r="J162" s="145"/>
      <c r="K162" s="146"/>
      <c r="L162" s="135"/>
      <c r="M162" s="138"/>
      <c r="N162" s="145"/>
      <c r="O162" s="145"/>
      <c r="P162" s="145"/>
      <c r="Q162" s="146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customFormat="false" ht="18.75" hidden="false" customHeight="true" outlineLevel="0" collapsed="false">
      <c r="A163" s="177"/>
      <c r="B163" s="178"/>
      <c r="C163" s="178"/>
      <c r="D163" s="178"/>
      <c r="E163" s="179"/>
      <c r="F163" s="135"/>
      <c r="G163" s="177"/>
      <c r="H163" s="178"/>
      <c r="I163" s="178"/>
      <c r="J163" s="178"/>
      <c r="K163" s="179"/>
      <c r="L163" s="135"/>
      <c r="M163" s="138"/>
      <c r="N163" s="145"/>
      <c r="O163" s="145"/>
      <c r="P163" s="145"/>
      <c r="Q163" s="146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customFormat="false" ht="18.75" hidden="false" customHeight="true" outlineLevel="0" collapsed="false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8"/>
      <c r="N164" s="145"/>
      <c r="O164" s="145"/>
      <c r="P164" s="145"/>
      <c r="Q164" s="146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customFormat="false" ht="18.75" hidden="false" customHeight="true" outlineLevel="0" collapsed="false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8"/>
      <c r="N165" s="145"/>
      <c r="O165" s="145"/>
      <c r="P165" s="145"/>
      <c r="Q165" s="146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customFormat="false" ht="18.75" hidden="false" customHeight="true" outlineLevel="0" collapsed="false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8"/>
      <c r="N166" s="145"/>
      <c r="O166" s="145"/>
      <c r="P166" s="145"/>
      <c r="Q166" s="146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customFormat="false" ht="18.75" hidden="false" customHeight="true" outlineLevel="0" collapsed="false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8"/>
      <c r="N167" s="145"/>
      <c r="O167" s="145"/>
      <c r="P167" s="145"/>
      <c r="Q167" s="146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customFormat="false" ht="18.75" hidden="false" customHeight="true" outlineLevel="0" collapsed="false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77"/>
      <c r="N168" s="178"/>
      <c r="O168" s="178"/>
      <c r="P168" s="178"/>
      <c r="Q168" s="179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customFormat="false" ht="18.75" hidden="false" customHeight="true" outlineLevel="0" collapsed="false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customFormat="false" ht="18.75" hidden="false" customHeight="true" outlineLevel="0" collapsed="false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customFormat="false" ht="18.75" hidden="false" customHeight="true" outlineLevel="0" collapsed="false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customFormat="false" ht="18.75" hidden="false" customHeight="true" outlineLevel="0" collapsed="false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customFormat="false" ht="18.75" hidden="false" customHeight="true" outlineLevel="0" collapsed="false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customFormat="false" ht="18.75" hidden="false" customHeight="true" outlineLevel="0" collapsed="false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customFormat="false" ht="18.75" hidden="false" customHeight="true" outlineLevel="0" collapsed="false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customFormat="false" ht="18.75" hidden="false" customHeight="true" outlineLevel="0" collapsed="false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customFormat="false" ht="18.75" hidden="false" customHeight="true" outlineLevel="0" collapsed="false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customFormat="false" ht="18.75" hidden="false" customHeight="true" outlineLevel="0" collapsed="false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customFormat="false" ht="18.75" hidden="false" customHeight="true" outlineLevel="0" collapsed="false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customFormat="false" ht="18.75" hidden="false" customHeight="true" outlineLevel="0" collapsed="false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customFormat="false" ht="18.75" hidden="false" customHeight="true" outlineLevel="0" collapsed="false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customFormat="false" ht="18.75" hidden="false" customHeight="true" outlineLevel="0" collapsed="false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customFormat="false" ht="18.75" hidden="false" customHeight="true" outlineLevel="0" collapsed="false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customFormat="false" ht="18.75" hidden="false" customHeight="true" outlineLevel="0" collapsed="false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customFormat="false" ht="18.75" hidden="false" customHeight="true" outlineLevel="0" collapsed="false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customFormat="false" ht="18.75" hidden="false" customHeight="true" outlineLevel="0" collapsed="false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customFormat="false" ht="18.75" hidden="false" customHeight="true" outlineLevel="0" collapsed="false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customFormat="false" ht="18.75" hidden="false" customHeight="true" outlineLevel="0" collapsed="false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customFormat="false" ht="18.75" hidden="false" customHeight="true" outlineLevel="0" collapsed="false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customFormat="false" ht="18.75" hidden="false" customHeight="true" outlineLevel="0" collapsed="false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customFormat="false" ht="18.75" hidden="false" customHeight="true" outlineLevel="0" collapsed="false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customFormat="false" ht="18.75" hidden="false" customHeight="true" outlineLevel="0" collapsed="false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customFormat="false" ht="18.75" hidden="false" customHeight="true" outlineLevel="0" collapsed="false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customFormat="false" ht="18.75" hidden="false" customHeight="true" outlineLevel="0" collapsed="false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customFormat="false" ht="18.75" hidden="false" customHeight="true" outlineLevel="0" collapsed="false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customFormat="false" ht="18.75" hidden="false" customHeight="true" outlineLevel="0" collapsed="false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customFormat="false" ht="18.75" hidden="false" customHeight="true" outlineLevel="0" collapsed="false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customFormat="false" ht="18.75" hidden="false" customHeight="true" outlineLevel="0" collapsed="false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customFormat="false" ht="18.75" hidden="false" customHeight="true" outlineLevel="0" collapsed="false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customFormat="false" ht="18.75" hidden="false" customHeight="true" outlineLevel="0" collapsed="false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customFormat="false" ht="18.75" hidden="false" customHeight="true" outlineLevel="0" collapsed="false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customFormat="false" ht="18.75" hidden="false" customHeight="true" outlineLevel="0" collapsed="false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customFormat="false" ht="18.75" hidden="false" customHeight="true" outlineLevel="0" collapsed="false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customFormat="false" ht="18.75" hidden="false" customHeight="true" outlineLevel="0" collapsed="false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customFormat="false" ht="18.75" hidden="false" customHeight="true" outlineLevel="0" collapsed="false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customFormat="false" ht="18.75" hidden="false" customHeight="true" outlineLevel="0" collapsed="false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customFormat="false" ht="18.75" hidden="false" customHeight="true" outlineLevel="0" collapsed="false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customFormat="false" ht="18.75" hidden="false" customHeight="true" outlineLevel="0" collapsed="false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customFormat="false" ht="18.75" hidden="false" customHeight="true" outlineLevel="0" collapsed="false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customFormat="false" ht="18.75" hidden="false" customHeight="true" outlineLevel="0" collapsed="false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customFormat="false" ht="18.75" hidden="false" customHeight="true" outlineLevel="0" collapsed="false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customFormat="false" ht="18.75" hidden="false" customHeight="true" outlineLevel="0" collapsed="false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customFormat="false" ht="18.75" hidden="false" customHeight="true" outlineLevel="0" collapsed="false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customFormat="false" ht="18.75" hidden="false" customHeight="true" outlineLevel="0" collapsed="false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customFormat="false" ht="18.75" hidden="false" customHeight="true" outlineLevel="0" collapsed="false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customFormat="false" ht="18.75" hidden="false" customHeight="true" outlineLevel="0" collapsed="false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customFormat="false" ht="18.75" hidden="false" customHeight="true" outlineLevel="0" collapsed="false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customFormat="false" ht="18.75" hidden="false" customHeight="true" outlineLevel="0" collapsed="false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customFormat="false" ht="18.75" hidden="false" customHeight="true" outlineLevel="0" collapsed="false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customFormat="false" ht="18.75" hidden="false" customHeight="true" outlineLevel="0" collapsed="false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customFormat="false" ht="18.75" hidden="false" customHeight="true" outlineLevel="0" collapsed="false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customFormat="false" ht="18.75" hidden="false" customHeight="true" outlineLevel="0" collapsed="false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customFormat="false" ht="18.75" hidden="false" customHeight="true" outlineLevel="0" collapsed="false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customFormat="false" ht="18.75" hidden="false" customHeight="true" outlineLevel="0" collapsed="false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customFormat="false" ht="18.75" hidden="false" customHeight="true" outlineLevel="0" collapsed="false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customFormat="false" ht="18.75" hidden="false" customHeight="true" outlineLevel="0" collapsed="false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customFormat="false" ht="18.75" hidden="false" customHeight="true" outlineLevel="0" collapsed="false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customFormat="false" ht="18.75" hidden="false" customHeight="true" outlineLevel="0" collapsed="false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customFormat="false" ht="18.75" hidden="false" customHeight="true" outlineLevel="0" collapsed="false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customFormat="false" ht="18.75" hidden="false" customHeight="true" outlineLevel="0" collapsed="false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customFormat="false" ht="18.75" hidden="false" customHeight="true" outlineLevel="0" collapsed="false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customFormat="false" ht="18.75" hidden="false" customHeight="true" outlineLevel="0" collapsed="false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customFormat="false" ht="18.75" hidden="false" customHeight="true" outlineLevel="0" collapsed="false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customFormat="false" ht="18.75" hidden="false" customHeight="true" outlineLevel="0" collapsed="false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customFormat="false" ht="18.75" hidden="false" customHeight="true" outlineLevel="0" collapsed="false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customFormat="false" ht="18.75" hidden="false" customHeight="true" outlineLevel="0" collapsed="false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customFormat="false" ht="18.75" hidden="false" customHeight="true" outlineLevel="0" collapsed="false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customFormat="false" ht="18.75" hidden="false" customHeight="true" outlineLevel="0" collapsed="false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customFormat="false" ht="18.75" hidden="false" customHeight="true" outlineLevel="0" collapsed="false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customFormat="false" ht="18.75" hidden="false" customHeight="true" outlineLevel="0" collapsed="false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customFormat="false" ht="18.75" hidden="false" customHeight="true" outlineLevel="0" collapsed="false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customFormat="false" ht="18.75" hidden="false" customHeight="true" outlineLevel="0" collapsed="false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customFormat="false" ht="18.75" hidden="false" customHeight="true" outlineLevel="0" collapsed="false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customFormat="false" ht="18.75" hidden="false" customHeight="true" outlineLevel="0" collapsed="false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customFormat="false" ht="18.75" hidden="false" customHeight="true" outlineLevel="0" collapsed="false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customFormat="false" ht="18.75" hidden="false" customHeight="true" outlineLevel="0" collapsed="false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customFormat="false" ht="18.75" hidden="false" customHeight="true" outlineLevel="0" collapsed="false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customFormat="false" ht="18.75" hidden="false" customHeight="true" outlineLevel="0" collapsed="false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customFormat="false" ht="18.75" hidden="false" customHeight="true" outlineLevel="0" collapsed="false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customFormat="false" ht="18.75" hidden="false" customHeight="true" outlineLevel="0" collapsed="false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customFormat="false" ht="18.75" hidden="false" customHeight="true" outlineLevel="0" collapsed="false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customFormat="false" ht="18.75" hidden="false" customHeight="true" outlineLevel="0" collapsed="false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customFormat="false" ht="18.75" hidden="false" customHeight="true" outlineLevel="0" collapsed="false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customFormat="false" ht="18.75" hidden="false" customHeight="true" outlineLevel="0" collapsed="false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customFormat="false" ht="18.75" hidden="false" customHeight="true" outlineLevel="0" collapsed="false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customFormat="false" ht="18.75" hidden="false" customHeight="true" outlineLevel="0" collapsed="false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customFormat="false" ht="18.75" hidden="false" customHeight="true" outlineLevel="0" collapsed="false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customFormat="false" ht="18.75" hidden="false" customHeight="true" outlineLevel="0" collapsed="false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customFormat="false" ht="18.75" hidden="false" customHeight="true" outlineLevel="0" collapsed="false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customFormat="false" ht="18.75" hidden="false" customHeight="true" outlineLevel="0" collapsed="false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customFormat="false" ht="18.75" hidden="false" customHeight="true" outlineLevel="0" collapsed="false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customFormat="false" ht="18.75" hidden="false" customHeight="true" outlineLevel="0" collapsed="false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customFormat="false" ht="18.75" hidden="false" customHeight="true" outlineLevel="0" collapsed="false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customFormat="false" ht="18.75" hidden="false" customHeight="true" outlineLevel="0" collapsed="false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customFormat="false" ht="18.75" hidden="false" customHeight="true" outlineLevel="0" collapsed="false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customFormat="false" ht="18.75" hidden="false" customHeight="true" outlineLevel="0" collapsed="false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customFormat="false" ht="18.75" hidden="false" customHeight="true" outlineLevel="0" collapsed="false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customFormat="false" ht="18.75" hidden="false" customHeight="true" outlineLevel="0" collapsed="false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customFormat="false" ht="18.75" hidden="false" customHeight="true" outlineLevel="0" collapsed="false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customFormat="false" ht="18.75" hidden="false" customHeight="true" outlineLevel="0" collapsed="false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customFormat="false" ht="18.75" hidden="false" customHeight="true" outlineLevel="0" collapsed="false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customFormat="false" ht="18.75" hidden="false" customHeight="true" outlineLevel="0" collapsed="false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customFormat="false" ht="18.75" hidden="false" customHeight="true" outlineLevel="0" collapsed="false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customFormat="false" ht="18.75" hidden="false" customHeight="true" outlineLevel="0" collapsed="false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customFormat="false" ht="18.75" hidden="false" customHeight="true" outlineLevel="0" collapsed="false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customFormat="false" ht="18.75" hidden="false" customHeight="true" outlineLevel="0" collapsed="false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customFormat="false" ht="18.75" hidden="false" customHeight="true" outlineLevel="0" collapsed="false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customFormat="false" ht="18.75" hidden="false" customHeight="true" outlineLevel="0" collapsed="false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customFormat="false" ht="18.75" hidden="false" customHeight="true" outlineLevel="0" collapsed="false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customFormat="false" ht="18.75" hidden="false" customHeight="true" outlineLevel="0" collapsed="false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customFormat="false" ht="18.75" hidden="false" customHeight="true" outlineLevel="0" collapsed="false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customFormat="false" ht="18.75" hidden="false" customHeight="true" outlineLevel="0" collapsed="false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customFormat="false" ht="18.75" hidden="false" customHeight="true" outlineLevel="0" collapsed="false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customFormat="false" ht="18.75" hidden="false" customHeight="true" outlineLevel="0" collapsed="false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customFormat="false" ht="18.75" hidden="false" customHeight="true" outlineLevel="0" collapsed="false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customFormat="false" ht="18.75" hidden="false" customHeight="true" outlineLevel="0" collapsed="false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customFormat="false" ht="18.75" hidden="false" customHeight="true" outlineLevel="0" collapsed="false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customFormat="false" ht="18.75" hidden="false" customHeight="true" outlineLevel="0" collapsed="false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customFormat="false" ht="18.75" hidden="false" customHeight="true" outlineLevel="0" collapsed="false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customFormat="false" ht="18.75" hidden="false" customHeight="true" outlineLevel="0" collapsed="false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customFormat="false" ht="18.75" hidden="false" customHeight="true" outlineLevel="0" collapsed="false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customFormat="false" ht="18.75" hidden="false" customHeight="true" outlineLevel="0" collapsed="false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customFormat="false" ht="18.75" hidden="false" customHeight="true" outlineLevel="0" collapsed="false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customFormat="false" ht="18.75" hidden="false" customHeight="true" outlineLevel="0" collapsed="false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customFormat="false" ht="18.75" hidden="false" customHeight="true" outlineLevel="0" collapsed="false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customFormat="false" ht="18.75" hidden="false" customHeight="true" outlineLevel="0" collapsed="false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customFormat="false" ht="18.75" hidden="false" customHeight="true" outlineLevel="0" collapsed="false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customFormat="false" ht="18.75" hidden="false" customHeight="true" outlineLevel="0" collapsed="false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customFormat="false" ht="18.75" hidden="false" customHeight="true" outlineLevel="0" collapsed="false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customFormat="false" ht="18.75" hidden="false" customHeight="true" outlineLevel="0" collapsed="false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customFormat="false" ht="18.75" hidden="false" customHeight="true" outlineLevel="0" collapsed="false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customFormat="false" ht="18.75" hidden="false" customHeight="true" outlineLevel="0" collapsed="false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customFormat="false" ht="18.75" hidden="false" customHeight="true" outlineLevel="0" collapsed="false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customFormat="false" ht="18.75" hidden="false" customHeight="true" outlineLevel="0" collapsed="false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customFormat="false" ht="18.75" hidden="false" customHeight="true" outlineLevel="0" collapsed="false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customFormat="false" ht="18.75" hidden="false" customHeight="true" outlineLevel="0" collapsed="false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customFormat="false" ht="18.75" hidden="false" customHeight="true" outlineLevel="0" collapsed="false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customFormat="false" ht="18.75" hidden="false" customHeight="true" outlineLevel="0" collapsed="false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customFormat="false" ht="18.75" hidden="false" customHeight="true" outlineLevel="0" collapsed="false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customFormat="false" ht="18.75" hidden="false" customHeight="true" outlineLevel="0" collapsed="false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customFormat="false" ht="18.75" hidden="false" customHeight="true" outlineLevel="0" collapsed="false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customFormat="false" ht="18.75" hidden="false" customHeight="true" outlineLevel="0" collapsed="false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customFormat="false" ht="18.75" hidden="false" customHeight="true" outlineLevel="0" collapsed="false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customFormat="false" ht="18.75" hidden="false" customHeight="true" outlineLevel="0" collapsed="false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customFormat="false" ht="18.75" hidden="false" customHeight="true" outlineLevel="0" collapsed="false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customFormat="false" ht="18.75" hidden="false" customHeight="true" outlineLevel="0" collapsed="false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customFormat="false" ht="18.75" hidden="false" customHeight="true" outlineLevel="0" collapsed="false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customFormat="false" ht="18.75" hidden="false" customHeight="true" outlineLevel="0" collapsed="false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customFormat="false" ht="18.75" hidden="false" customHeight="true" outlineLevel="0" collapsed="false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customFormat="false" ht="18.75" hidden="false" customHeight="true" outlineLevel="0" collapsed="false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customFormat="false" ht="18.75" hidden="false" customHeight="true" outlineLevel="0" collapsed="false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customFormat="false" ht="18.75" hidden="false" customHeight="true" outlineLevel="0" collapsed="false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customFormat="false" ht="18.75" hidden="false" customHeight="true" outlineLevel="0" collapsed="false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customFormat="false" ht="18.75" hidden="false" customHeight="true" outlineLevel="0" collapsed="false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customFormat="false" ht="18.75" hidden="false" customHeight="true" outlineLevel="0" collapsed="false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customFormat="false" ht="18.75" hidden="false" customHeight="true" outlineLevel="0" collapsed="false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customFormat="false" ht="18.75" hidden="false" customHeight="true" outlineLevel="0" collapsed="false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customFormat="false" ht="18.75" hidden="false" customHeight="true" outlineLevel="0" collapsed="false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customFormat="false" ht="18.75" hidden="false" customHeight="true" outlineLevel="0" collapsed="false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customFormat="false" ht="18.75" hidden="false" customHeight="true" outlineLevel="0" collapsed="false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customFormat="false" ht="18.75" hidden="false" customHeight="true" outlineLevel="0" collapsed="false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customFormat="false" ht="18.75" hidden="false" customHeight="true" outlineLevel="0" collapsed="false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customFormat="false" ht="18.75" hidden="false" customHeight="true" outlineLevel="0" collapsed="false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customFormat="false" ht="18.75" hidden="false" customHeight="true" outlineLevel="0" collapsed="false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customFormat="false" ht="18.75" hidden="false" customHeight="true" outlineLevel="0" collapsed="false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customFormat="false" ht="18.75" hidden="false" customHeight="true" outlineLevel="0" collapsed="false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customFormat="false" ht="18.75" hidden="false" customHeight="true" outlineLevel="0" collapsed="false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customFormat="false" ht="18.75" hidden="false" customHeight="true" outlineLevel="0" collapsed="false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customFormat="false" ht="18.75" hidden="false" customHeight="true" outlineLevel="0" collapsed="false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customFormat="false" ht="18.75" hidden="false" customHeight="true" outlineLevel="0" collapsed="false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customFormat="false" ht="18.75" hidden="false" customHeight="true" outlineLevel="0" collapsed="false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customFormat="false" ht="18.75" hidden="false" customHeight="true" outlineLevel="0" collapsed="false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customFormat="false" ht="18.75" hidden="false" customHeight="true" outlineLevel="0" collapsed="false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customFormat="false" ht="18.75" hidden="false" customHeight="true" outlineLevel="0" collapsed="false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customFormat="false" ht="18.75" hidden="false" customHeight="true" outlineLevel="0" collapsed="false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customFormat="false" ht="18.75" hidden="false" customHeight="true" outlineLevel="0" collapsed="false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customFormat="false" ht="18.75" hidden="false" customHeight="true" outlineLevel="0" collapsed="false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customFormat="false" ht="18.75" hidden="false" customHeight="true" outlineLevel="0" collapsed="false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customFormat="false" ht="18.75" hidden="false" customHeight="true" outlineLevel="0" collapsed="false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customFormat="false" ht="18.75" hidden="false" customHeight="true" outlineLevel="0" collapsed="false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customFormat="false" ht="18.75" hidden="false" customHeight="true" outlineLevel="0" collapsed="false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customFormat="false" ht="18.75" hidden="false" customHeight="true" outlineLevel="0" collapsed="false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customFormat="false" ht="18.75" hidden="false" customHeight="true" outlineLevel="0" collapsed="false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customFormat="false" ht="18.75" hidden="false" customHeight="true" outlineLevel="0" collapsed="false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customFormat="false" ht="18.75" hidden="false" customHeight="true" outlineLevel="0" collapsed="false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customFormat="false" ht="18.75" hidden="false" customHeight="true" outlineLevel="0" collapsed="false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customFormat="false" ht="18.75" hidden="false" customHeight="true" outlineLevel="0" collapsed="false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customFormat="false" ht="18.75" hidden="false" customHeight="true" outlineLevel="0" collapsed="false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customFormat="false" ht="18.75" hidden="false" customHeight="true" outlineLevel="0" collapsed="false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customFormat="false" ht="18.75" hidden="false" customHeight="true" outlineLevel="0" collapsed="false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customFormat="false" ht="18.75" hidden="false" customHeight="true" outlineLevel="0" collapsed="false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2022-12-30T15:35:11Z</dcterms:modified>
  <cp:revision>303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