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<sst xmlns="http://schemas.openxmlformats.org/spreadsheetml/2006/main" count="32276" uniqueCount="386">
  <si>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</si>
  <si>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</si>
  <si>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</si>
  <si>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</si>
  <si>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</si>
  <si>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</si>
  <si>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</si>
  <si>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</si>
  <si>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</si>
  <si>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</si>
  <si>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</si>
  <si>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</si>
  <si>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</si>
  <si>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</si>
  <si>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</si>
  <si>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</si>
  <si>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</si>
  <si>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</si>
  <si>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</si>
  <si>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</si>
  <si>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</si>
  <si>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</si>
  <si>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</si>
  <si>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</si>
  <si>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</si>
  <si>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</si>
  <si>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</si>
  <si>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</si>
  <si>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</si>
  <si>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</si>
  <si>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</si>
  <si>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</si>
  <si>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</si>
  <si>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</si>
  <si>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</si>
  <si>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</si>
  <si>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</si>
  <si>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</si>
  <si>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</si>
  <si>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</si>
  <si>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</si>
  <si>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</si>
  <si>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</si>
  <si>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</si>
  <si>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</si>
  <si>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</si>
  <si>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</si>
  <si>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</si>
  <si>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</si>
  <si>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</si>
  <si>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</si>
  <si>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</si>
  <si>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</si>
  <si>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</si>
  <si>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</si>
  <si>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</si>
  <si>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</si>
  <si>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</si>
  <si>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</si>
  <si>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</si>
  <si>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</si>
  <si>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</si>
  <si>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</si>
  <si>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</si>
  <si>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</si>
  <si>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</si>
  <si>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</si>
  <si>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</si>
  <si>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</si>
  <si>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</si>
  <si>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</si>
  <si>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</si>
  <si>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</si>
  <si>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</si>
  <si>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</si>
  <si>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</si>
  <si>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</si>
  <si>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</si>
  <si>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</si>
  <si>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</si>
  <si>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</si>
  <si>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</si>
  <si>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</si>
  <si>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</si>
  <si>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</si>
  <si>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</si>
  <si>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</si>
  <si>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</si>
  <si>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</si>
  <si>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</si>
  <si>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</si>
  <si>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</si>
  <si>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</si>
  <si>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</si>
  <si>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</si>
  <si>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</si>
  <si>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</si>
  <si>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</si>
  <si>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</si>
  <si>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</si>
  <si>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</si>
  <si>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</si>
  <si>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</si>
  <si>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</si>
  <si>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</si>
  <si>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</si>
  <si>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</si>
  <si>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</si>
  <si>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</si>
  <si>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</si>
  <si>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</si>
  <si>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</si>
  <si>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</si>
  <si>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</si>
  <si>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</si>
  <si>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</si>
  <si>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</si>
  <si>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</si>
  <si>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</si>
  <si>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</si>
  <si>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</si>
  <si>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</si>
  <si>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</si>
  <si>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</si>
  <si>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</si>
  <si>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</si>
  <si>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</si>
  <si>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</si>
  <si>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</si>
  <si>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</si>
  <si>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</si>
  <si>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</si>
  <si>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</si>
  <si>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</si>
  <si>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</si>
  <si>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</si>
  <si>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</si>
  <si>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</si>
  <si>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</si>
  <si>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</si>
  <si>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</si>
  <si>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</si>
  <si>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</si>
  <si>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</si>
  <si>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</si>
  <si>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</si>
  <si>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</si>
  <si>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</si>
  <si>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</si>
  <si>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</si>
  <si>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</si>
  <si>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</si>
  <si>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</si>
  <si>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</si>
  <si>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</si>
  <si>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</si>
  <si>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</si>
  <si>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</si>
  <si>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</si>
  <si>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</si>
  <si>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</si>
  <si>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</si>
  <si>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</si>
  <si>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</si>
  <si>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</si>
  <si>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</si>
  <si>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</si>
  <si>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</si>
  <si>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</si>
  <si>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</si>
  <si>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</si>
  <si>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</si>
  <si>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</si>
  <si>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</si>
  <si>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</si>
  <si>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</si>
  <si>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</si>
  <si>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</si>
  <si>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</si>
  <si>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</si>
  <si>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</si>
  <si>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</si>
  <si>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</si>
  <si>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</si>
  <si>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</si>
  <si>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</si>
  <si>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</si>
  <si>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</si>
  <si>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</si>
  <si>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</si>
  <si>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</si>
  <si>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</si>
  <si>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</si>
  <si>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</si>
  <si>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</si>
  <si>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</si>
  <si>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</si>
  <si>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</si>
  <si>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</si>
  <si>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</si>
  <si>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</si>
  <si>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</si>
  <si>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</si>
  <si>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</si>
  <si>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</si>
  <si>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</si>
  <si>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</si>
  <si>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</si>
  <si>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</si>
  <si>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</si>
  <si>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</si>
  <si>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</si>
  <si>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</si>
  <si>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</si>
  <si>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</si>
  <si>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</si>
  <si>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</si>
  <si>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</si>
  <si>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</si>
  <si>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</si>
  <si>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</si>
  <si>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</si>
  <si>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</si>
  <si>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</si>
  <si>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</si>
  <si>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</si>
  <si>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</si>
  <si>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</si>
  <si>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</si>
  <si>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</si>
  <si>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</si>
  <si>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</si>
  <si>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</si>
  <si>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</si>
  <si>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</si>
  <si>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</si>
  <si>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</si>
  <si>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</si>
  <si>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</si>
  <si>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</si>
  <si>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</si>
  <si>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</si>
  <si>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</si>
  <si>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</si>
  <si>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</si>
  <si>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</si>
  <si>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</si>
  <si>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</si>
  <si>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</si>
  <si>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</si>
  <si>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</si>
  <si>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</si>
  <si>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</si>
  <si>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</si>
  <si>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</si>
  <si>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</si>
  <si>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</si>
  <si>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</si>
  <si>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</si>
  <si>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</si>
  <si>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</si>
  <si>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</si>
  <si>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</si>
  <si>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</si>
  <si>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</si>
  <si>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</si>
  <si>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</si>
  <si>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</si>
  <si>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</si>
  <si>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</si>
  <si>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</si>
  <si>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</si>
  <si>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</si>
  <si>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</si>
  <si>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</si>
  <si>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</si>
  <si>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</si>
  <si>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</si>
  <si>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</si>
  <si>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</si>
  <si>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</si>
  <si>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</si>
  <si>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</si>
  <si>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</si>
  <si>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</si>
  <si>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</si>
  <si>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</si>
  <si>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</si>
  <si>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</si>
  <si>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</si>
  <si>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</si>
  <si>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</si>
  <si>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</si>
  <si>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</si>
  <si>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</si>
  <si>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</si>
  <si>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</si>
  <si>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</si>
  <si>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</si>
  <si>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</si>
  <si>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</si>
  <si>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</si>
  <si>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</si>
  <si>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</si>
  <si>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</si>
  <si>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</si>
  <si>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</si>
  <si>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</si>
  <si>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</si>
  <si>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</si>
  <si>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</si>
  <si>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</si>
  <si>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</si>
  <si>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</si>
  <si>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</si>
  <si>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</si>
  <si>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</si>
  <si>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</si>
  <si>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</si>
  <si>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</si>
  <si>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</si>
  <si>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</si>
  <si>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</si>
  <si>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</si>
  <si>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</si>
  <si>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</si>
  <si>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</si>
  <si>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</si>
  <si>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</si>
  <si>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</si>
  <si>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</si>
  <si>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</si>
  <si>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</si>
  <si>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</si>
  <si>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</si>
  <si>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</si>
  <si>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</si>
  <si>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</si>
  <si>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</si>
  <si>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</si>
  <si>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</si>
  <si>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</si>
  <si>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</si>
  <si>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</si>
  <si>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</si>
  <si>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</si>
  <si>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</si>
  <si>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</si>
  <si>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</si>
  <si>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</si>
  <si>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</si>
  <si>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</si>
  <si>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</si>
  <si>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</si>
  <si>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</si>
  <si>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</si>
  <si>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</si>
  <si>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</si>
  <si>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</si>
  <si>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</si>
  <si>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</si>
  <si>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</si>
  <si>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</si>
  <si>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</si>
  <si>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</si>
  <si>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</si>
  <si>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</si>
  <si>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</si>
  <si>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</si>
  <si>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</si>
  <si>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</si>
  <si>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</si>
  <si>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</si>
  <si>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</si>
  <si>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</si>
  <si>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</si>
  <si>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</si>
  <si>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</si>
  <si>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</si>
  <si>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</si>
  <si>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</si>
  <si>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</si>
  <si>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</si>
  <si>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</si>
  <si>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4.38</t>
  </si>
  <si>
    <t xml:space="preserve">RFL included?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</si>
</sst>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133" colorId="64" zoomScale="85" zoomScaleNormal="85" zoomScalePageLayoutView="100" workbookViewId="0">
      <selection pane="topLeft" activeCell="H151" activeCellId="0" sqref="H151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2.47"/>
    <col collapsed="false" customWidth="true" hidden="false" outlineLevel="0" max="14" min="14" style="1" width="20.93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4.23"/>
    <col collapsed="false" customWidth="true" hidden="false" outlineLevel="0" max="14" min="14" style="1" width="16.72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45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18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45157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45157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317" t="n">
        <v>10000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7.2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7.2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17190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984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8595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50</v>
      </c>
      <c r="B45" s="93"/>
      <c r="C45" s="62" t="n">
        <v>50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19230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156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9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2.47"/>
    <col collapsed="false" customWidth="true" hidden="false" outlineLevel="0" max="14" min="14" style="1" width="20.93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1505.72591792776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0</v>
      </c>
      <c r="C176" s="174"/>
      <c r="D176" s="174"/>
      <c r="E176" s="177" t="n">
        <f aca="false">B105</f>
        <v>1505.72591792776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239.99</v>
      </c>
      <c r="C191" s="103"/>
      <c r="D191" s="23"/>
      <c r="E191" s="103" t="n">
        <f aca="false">E188+A191+B191+A194</f>
        <v>22812.9750972053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219.783316666667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1505.72591792776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E188+A210+B191+A194</f>
        <v>22130.8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0</v>
      </c>
      <c r="C221" s="174"/>
      <c r="D221" s="174"/>
      <c r="E221" s="177" t="n">
        <f aca="false">E176</f>
        <v>1505.72591792776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239.99</v>
      </c>
      <c r="C233" s="103"/>
      <c r="D233" s="113"/>
      <c r="E233" s="103" t="n">
        <f aca="false">E191</f>
        <v>22812.9750972053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0</v>
      </c>
      <c r="C239" s="186"/>
      <c r="D239" s="186"/>
      <c r="E239" s="103" t="n">
        <f aca="false">E176</f>
        <v>1505.72591792776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2178.11331666667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648.416783871979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648.416783871979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4.23"/>
    <col collapsed="false" customWidth="true" hidden="false" outlineLevel="0" max="14" min="14" style="1" width="16.72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1973.30341105396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199.99</v>
      </c>
      <c r="C182" s="103"/>
      <c r="D182" s="23"/>
      <c r="E182" s="103" t="n">
        <f aca="false">E179+A182+(B182*1.2)+A185</f>
        <v>23382.1634280035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E179+A201+(B182*1.2)+A185</f>
        <v>22696.748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199.99</v>
      </c>
      <c r="C224" s="103"/>
      <c r="D224" s="113"/>
      <c r="E224" s="103" t="n">
        <f aca="false">E182</f>
        <v>23382.1634280035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651.655448003471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651.655448003471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45157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3323.66666666667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276.972222222222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7146.8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50.4513916901977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7197.2513916902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599.770949307517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671.770949307517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599.770949307517</v>
      </c>
      <c r="B134" s="321" t="n">
        <f aca="false">IF(A111="YES", B95, 0)</f>
        <v>72</v>
      </c>
      <c r="C134" s="325"/>
      <c r="D134" s="321" t="n">
        <f aca="false">B97</f>
        <v>671.770949307517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599.770949307517</v>
      </c>
      <c r="C137" s="317"/>
      <c r="D137" s="38" t="n">
        <f aca="false">IF(A111="YES", B95*B63, 0)</f>
        <v>72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671.770949307517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599.770949307517</v>
      </c>
      <c r="B143" s="38" t="n">
        <f aca="false">IF(A111="YES", B95, 0)</f>
        <v>72</v>
      </c>
      <c r="C143" s="317"/>
      <c r="D143" s="38" t="n">
        <f aca="false">B97</f>
        <v>671.770949307517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699.011666666667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671.770949307517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599.770949307517</v>
      </c>
      <c r="B177" s="355" t="n">
        <f aca="false">IF(A111="YES", B95, 0)</f>
        <v>72</v>
      </c>
      <c r="C177" s="357"/>
      <c r="D177" s="355" t="n">
        <f aca="false">A177+B177</f>
        <v>671.770949307517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599.770949307517</v>
      </c>
      <c r="C180" s="353"/>
      <c r="D180" s="103" t="n">
        <f aca="false">IF(A111="YES", B95*B63, 0)</f>
        <v>72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671.770949307517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599.770949307517</v>
      </c>
      <c r="B186" s="103" t="n">
        <f aca="false">IF(A111="YES", B95, 0)</f>
        <v>72</v>
      </c>
      <c r="C186" s="353"/>
      <c r="D186" s="103" t="n">
        <f aca="false">B97</f>
        <v>671.770949307517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699.011666666667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459.991666666667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2120.97166666667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50.4513916901977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45157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2657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221.416666666667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5289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44.8039532069383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5333.80395320694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444.483662767245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444.483662767245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444.483662767245</v>
      </c>
      <c r="B134" s="321" t="n">
        <f aca="false">IF(A111="YES", B95, 0)</f>
        <v>0</v>
      </c>
      <c r="C134" s="326"/>
      <c r="D134" s="321" t="n">
        <f aca="false">B97</f>
        <v>444.483662767245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4000.3529649052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4000.3529649052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444.483662767245</v>
      </c>
      <c r="B143" s="38" t="n">
        <f aca="false">IF(A111="YES", B95, 0)</f>
        <v>0</v>
      </c>
      <c r="C143" s="317"/>
      <c r="D143" s="38" t="n">
        <f aca="false">B97</f>
        <v>444.483662767245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444.483662767245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444.483662767245</v>
      </c>
      <c r="B177" s="355" t="n">
        <f aca="false">IF(A111="YES", B95, 0)</f>
        <v>0</v>
      </c>
      <c r="C177" s="358"/>
      <c r="D177" s="355" t="n">
        <f aca="false">B91</f>
        <v>5289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4000.3529649052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4000.3529649052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444.483662767245</v>
      </c>
      <c r="B186" s="103" t="n">
        <f aca="false">IF(A111="YES", B95, 0)</f>
        <v>0</v>
      </c>
      <c r="C186" s="353"/>
      <c r="D186" s="103" t="n">
        <f aca="false">B97</f>
        <v>444.483662767245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44.8039532069383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B91</f>
        <v>11202.8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-26766.5028158088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93"/>
      <c r="D81" s="93"/>
      <c r="E81" s="113"/>
      <c r="F81" s="25" t="s">
        <v>105</v>
      </c>
      <c r="G81" s="27" t="n">
        <f aca="false">G158</f>
        <v>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10753.5075423224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27.1122826196943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-10753.5075423224</v>
      </c>
      <c r="C88" s="93"/>
      <c r="D88" s="93"/>
      <c r="E88" s="113"/>
      <c r="F88" s="31" t="s">
        <v>112</v>
      </c>
      <c r="G88" s="33" t="n">
        <f aca="false">G81-G86</f>
        <v>-13332.1137955163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-396.628631132337</v>
      </c>
      <c r="C89" s="93"/>
      <c r="D89" s="93"/>
      <c r="E89" s="113"/>
      <c r="F89" s="31" t="s">
        <v>113</v>
      </c>
      <c r="G89" s="33" t="n">
        <f aca="false">(G88/G87)</f>
        <v>-444.811090885438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-13882.0020896318</v>
      </c>
      <c r="C90" s="93"/>
      <c r="D90" s="93"/>
      <c r="E90" s="113"/>
      <c r="F90" s="31" t="s">
        <v>114</v>
      </c>
      <c r="G90" s="33" t="n">
        <f aca="false">((G89*(G85))+G77)</f>
        <v>-15568.3881809903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-13882.0020896318</v>
      </c>
      <c r="C92" s="93"/>
      <c r="D92" s="93"/>
      <c r="E92" s="113"/>
      <c r="F92" s="56" t="s">
        <v>116</v>
      </c>
      <c r="G92" s="65" t="n">
        <f aca="false">(G90+G91)</f>
        <v>-15568.3881809903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-396.628631132337</v>
      </c>
      <c r="C95" s="93"/>
      <c r="D95" s="93"/>
      <c r="E95" s="113"/>
      <c r="F95" s="95" t="s">
        <v>118</v>
      </c>
      <c r="G95" s="96" t="n">
        <f aca="false">G92/(G85)</f>
        <v>-444.811090885438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-396.628631132337</v>
      </c>
      <c r="C96" s="93"/>
      <c r="D96" s="93"/>
      <c r="E96" s="113"/>
      <c r="F96" s="97" t="s">
        <v>119</v>
      </c>
      <c r="G96" s="98" t="n">
        <f aca="false">G94+G95</f>
        <v>-444.811090885438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0.179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-22000</v>
      </c>
      <c r="I148" s="1" t="n">
        <f aca="false">(H148-G81)/1.2</f>
        <v>-18333.3333333333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-396.628631132337</v>
      </c>
      <c r="B167" s="177" t="str">
        <f aca="false">B94</f>
        <v>0</v>
      </c>
      <c r="C167" s="174"/>
      <c r="D167" s="174"/>
      <c r="E167" s="177" t="n">
        <f aca="false">B96</f>
        <v>-396.628631132337</v>
      </c>
      <c r="F167" s="23"/>
      <c r="G167" s="23" t="n">
        <f aca="false">ROUND(G95, 2)</f>
        <v>-444.81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0</v>
      </c>
      <c r="B173" s="103" t="n">
        <f aca="false">H137</f>
        <v>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4442.9979103682</v>
      </c>
      <c r="B182" s="103" t="str">
        <f aca="false">B114</f>
        <v>239.99</v>
      </c>
      <c r="C182" s="103"/>
      <c r="D182" s="23"/>
      <c r="E182" s="103" t="n">
        <f aca="false">E179+A182+B182+A185</f>
        <v>4692.9879103682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0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99.9916666666667</v>
      </c>
      <c r="C191" s="93"/>
      <c r="D191" s="93"/>
      <c r="E191" s="103" t="n">
        <f aca="false">H148</f>
        <v>-22000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-396.628631132337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2756.65</v>
      </c>
      <c r="B201" s="186" t="n">
        <f aca="false">E179+A201+B182+A185</f>
        <v>3006.64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-396.628631132337</v>
      </c>
      <c r="B212" s="177" t="str">
        <f aca="false">B167</f>
        <v>0</v>
      </c>
      <c r="C212" s="174"/>
      <c r="D212" s="174"/>
      <c r="E212" s="177" t="n">
        <f aca="false">E167</f>
        <v>-396.628631132337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0</v>
      </c>
      <c r="B215" s="103" t="n">
        <f aca="false">B173</f>
        <v>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4442.9979103682</v>
      </c>
      <c r="B224" s="103" t="str">
        <f aca="false">B182</f>
        <v>239.99</v>
      </c>
      <c r="C224" s="103"/>
      <c r="D224" s="113"/>
      <c r="E224" s="103" t="n">
        <f aca="false">E182</f>
        <v>4692.9879103682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-396.628631132337</v>
      </c>
      <c r="B230" s="103" t="str">
        <f aca="false">B167</f>
        <v>0</v>
      </c>
      <c r="C230" s="186"/>
      <c r="D230" s="186"/>
      <c r="E230" s="103" t="n">
        <f aca="false">E167</f>
        <v>-396.628631132337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-22000</v>
      </c>
      <c r="B240" s="103" t="n">
        <f aca="false">B68</f>
        <v>0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-21900.0083333333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1696.3479103682</v>
      </c>
      <c r="C254" s="197"/>
      <c r="D254" s="198" t="s">
        <v>216</v>
      </c>
      <c r="E254" s="198"/>
      <c r="F254" s="200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1796.33957703487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1696.3479103682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1796.33957703487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299.074948996254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299.074948996254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38223.1913572654</v>
      </c>
      <c r="N39" s="1" t="n">
        <f aca="false">K39-L39</f>
        <v>-16223.1913572654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-16223.1913572654</v>
      </c>
      <c r="N40" s="1" t="n">
        <f aca="false">N38-N39</f>
        <v>19134.8713572654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9685.98020404118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299.074948996254</v>
      </c>
      <c r="L47" s="2" t="n">
        <f aca="false">L49-K42</f>
        <v>800</v>
      </c>
      <c r="M47" s="1" t="n">
        <f aca="false">K47-L47</f>
        <v>-500.925051003746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299.074948996254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299.074948996254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5231.2476407486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299.074948996254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299.074948996254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299.074948996254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299.074948996254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239.99</v>
      </c>
      <c r="C182" s="103"/>
      <c r="D182" s="23"/>
      <c r="E182" s="103" t="n">
        <f aca="false">E179+A182+B182+A185</f>
        <v>34572.9358046137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E179+A201+B182+A185</f>
        <v>31197.04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239.99</v>
      </c>
      <c r="C224" s="103"/>
      <c r="D224" s="113"/>
      <c r="E224" s="103" t="n">
        <f aca="false">E182</f>
        <v>34572.9358046137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3223.3875112804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3223.3875112804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313.22684880256</v>
      </c>
      <c r="F33" s="232"/>
      <c r="G33" s="232"/>
      <c r="H33" s="47"/>
      <c r="I33" s="2"/>
      <c r="J33" s="34" t="s">
        <v>356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313.22684880256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38223.1913572654</v>
      </c>
      <c r="N39" s="1" t="n">
        <f aca="false">K39-L39</f>
        <v>-15764.8613572654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-15764.8613572654</v>
      </c>
      <c r="N40" s="1" t="n">
        <f aca="false">N38-N39</f>
        <v>18676.5413572654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10144.3102040412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313.22684880256</v>
      </c>
      <c r="L47" s="2" t="n">
        <f aca="false">L49-K42</f>
        <v>800</v>
      </c>
      <c r="M47" s="1" t="n">
        <f aca="false">K47-L47</f>
        <v>-486.77315119744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313.22684880256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313.22684880256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4721.77924772159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313.22684880256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313.22684880256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313.22684880256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313.22684880256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199.99</v>
      </c>
      <c r="C182" s="103"/>
      <c r="D182" s="23"/>
      <c r="E182" s="103" t="n">
        <f aca="false">E179+A182+(B182*1.2)+A185</f>
        <v>34572.9338046137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E179+A201+(B182*1.2)+A185</f>
        <v>31197.038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199.99</v>
      </c>
      <c r="C224" s="103"/>
      <c r="D224" s="113"/>
      <c r="E224" s="103" t="n">
        <f aca="false">E182</f>
        <v>34572.9338046137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3223.38584461373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3223.38584461373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562.154095157951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20237.5474256862</v>
      </c>
      <c r="C85" s="473"/>
      <c r="D85" s="473"/>
      <c r="E85" s="466" t="n">
        <f aca="false">B85/(B58+B57)</f>
        <v>562.154095157951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171.435456207911</v>
      </c>
      <c r="C86" s="473" t="s">
        <v>230</v>
      </c>
      <c r="D86" s="215"/>
      <c r="E86" s="466" t="n">
        <f aca="false">B86/(B58+B57)</f>
        <v>4.7620960057753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20408.9828818941</v>
      </c>
      <c r="C87" s="473"/>
      <c r="D87" s="475"/>
      <c r="E87" s="466" t="n">
        <f aca="false">E86+E85</f>
        <v>566.916191163726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566.916191163726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631.916191163726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566.916191163726</v>
      </c>
      <c r="B128" s="321" t="n">
        <f aca="false">IF(A105="YES", B89, 0)</f>
        <v>65</v>
      </c>
      <c r="C128" s="325"/>
      <c r="D128" s="321" t="n">
        <f aca="false">B91</f>
        <v>631.916191163726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566.916191163726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631.916191163726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566.916191163726</v>
      </c>
      <c r="B137" s="38" t="n">
        <f aca="false">IF(A105="YES", B89, 0)</f>
        <v>65</v>
      </c>
      <c r="C137" s="317"/>
      <c r="D137" s="38" t="n">
        <f aca="false">B91</f>
        <v>631.916191163726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631.916191163726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566.916191163726</v>
      </c>
      <c r="B177" s="355" t="n">
        <f aca="false">IF(A105="YES", B89, 0)</f>
        <v>65</v>
      </c>
      <c r="C177" s="357"/>
      <c r="D177" s="355" t="n">
        <f aca="false">B91</f>
        <v>631.916191163726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566.916191163726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631.916191163726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566.916191163726</v>
      </c>
      <c r="B186" s="103" t="n">
        <f aca="false">IF(A105="YES", B89, 0)</f>
        <v>65</v>
      </c>
      <c r="C186" s="353"/>
      <c r="D186" s="103" t="n">
        <f aca="false">B91</f>
        <v>631.916191163726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10375.99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10375.99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171.435456207911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645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45157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45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-220.625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-217.958333333333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-217.958333333333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-217.958333333333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659.833333333333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370</v>
      </c>
      <c r="C81" s="317"/>
      <c r="D81" s="317"/>
      <c r="E81" s="318" t="n">
        <f aca="false">E80/12</f>
        <v>54.9861111111111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3315.54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3338.94538523598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278.245448769665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278.245448769665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278.245448769665</v>
      </c>
      <c r="B134" s="321" t="n">
        <f aca="false">IF(A111="YES", B95, 0)</f>
        <v>0</v>
      </c>
      <c r="C134" s="325"/>
      <c r="D134" s="321" t="n">
        <f aca="false">B97</f>
        <v>278.245448769665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2504.20903892699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2504.20903892699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278.245448769665</v>
      </c>
      <c r="B143" s="38" t="n">
        <f aca="false">IF(A111="YES", B95, 0)</f>
        <v>0</v>
      </c>
      <c r="C143" s="317"/>
      <c r="D143" s="38" t="n">
        <f aca="false">B97</f>
        <v>278.245448769665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278.245448769665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278.245448769665</v>
      </c>
      <c r="B177" s="355" t="n">
        <f aca="false">IF(A111="YES", B95, 0)</f>
        <v>0</v>
      </c>
      <c r="C177" s="357"/>
      <c r="D177" s="355" t="n">
        <f aca="false">A177+B177</f>
        <v>278.245448769665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2504.20903892699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2504.20903892699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278.245448769665</v>
      </c>
      <c r="B186" s="103" t="n">
        <f aca="false">IF(A111="YES", B95, 0)</f>
        <v>0</v>
      </c>
      <c r="C186" s="353"/>
      <c r="D186" s="103" t="n">
        <f aca="false">B97</f>
        <v>278.245448769665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290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45157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45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E15*B72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2745.62666666667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228.802222222222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6289.62666666667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53.2804195240016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6342.90708619067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528.575590515889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588.575590515889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528.575590515889</v>
      </c>
      <c r="B134" s="321" t="n">
        <f aca="false">IF(A111="YES", B95, 0)</f>
        <v>60</v>
      </c>
      <c r="C134" s="326"/>
      <c r="D134" s="321" t="n">
        <f aca="false">B97</f>
        <v>588.575590515889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4757.180314643</v>
      </c>
      <c r="C137" s="317"/>
      <c r="D137" s="38" t="n">
        <f aca="false">IF(A111="YES", B95*B63, 0)</f>
        <v>540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5297.180314643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528.575590515889</v>
      </c>
      <c r="B143" s="38" t="n">
        <f aca="false">IF(A111="YES", B95, 0)</f>
        <v>60</v>
      </c>
      <c r="C143" s="317"/>
      <c r="D143" s="38" t="n">
        <f aca="false">B97</f>
        <v>588.575590515889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618.355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588.575590515889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528.575590515889</v>
      </c>
      <c r="B177" s="355" t="n">
        <f aca="false">IF(A111="YES", B95, 0)</f>
        <v>60</v>
      </c>
      <c r="C177" s="358"/>
      <c r="D177" s="355" t="n">
        <f aca="false">B91</f>
        <v>6289.62666666667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4757.180314643</v>
      </c>
      <c r="C180" s="353"/>
      <c r="D180" s="103" t="n">
        <f aca="false">IF(A111="YES", B95*B63, 0)</f>
        <v>540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5297.180314643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528.575590515889</v>
      </c>
      <c r="B186" s="103" t="n">
        <f aca="false">IF(A111="YES", B95, 0)</f>
        <v>60</v>
      </c>
      <c r="C186" s="353"/>
      <c r="D186" s="103" t="n">
        <f aca="false">B97</f>
        <v>588.575590515889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618.355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1818.585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1818.585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53.2804195240016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248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45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290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248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45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19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239.99</v>
      </c>
      <c r="C191" s="103"/>
      <c r="D191" s="23"/>
      <c r="E191" s="103" t="n">
        <f aca="false">E188+A191+B191+A194</f>
        <v>20891.914318412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E188+A210+B191+A194</f>
        <v>20295.43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239.99</v>
      </c>
      <c r="C233" s="103"/>
      <c r="D233" s="113"/>
      <c r="E233" s="103" t="n">
        <f aca="false">E191</f>
        <v>20891.914318412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507.041610078685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13441.924318412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507.041610078685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11943.6666666667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331.768518518518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589.916440836963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21459.2140923529</v>
      </c>
      <c r="C85" s="473"/>
      <c r="D85" s="473"/>
      <c r="E85" s="466" t="n">
        <f aca="false">B85/(B58+B57)</f>
        <v>596.089280343136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181.784387228484</v>
      </c>
      <c r="C86" s="473" t="s">
        <v>230</v>
      </c>
      <c r="D86" s="215"/>
      <c r="E86" s="466" t="n">
        <f aca="false">B86/(B58+B57)</f>
        <v>5.04956631190232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21640.9984795814</v>
      </c>
      <c r="C87" s="473"/>
      <c r="D87" s="475"/>
      <c r="E87" s="466" t="n">
        <f aca="false">E86+E85</f>
        <v>601.138846655039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601.138846655039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666.138846655038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601.138846655039</v>
      </c>
      <c r="B128" s="321" t="n">
        <f aca="false">IF(A105="YES", B89, 0)</f>
        <v>65</v>
      </c>
      <c r="C128" s="325"/>
      <c r="D128" s="321" t="n">
        <f aca="false">B91</f>
        <v>666.138846655038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601.138846655039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666.138846655038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601.138846655039</v>
      </c>
      <c r="B137" s="38" t="n">
        <f aca="false">IF(A105="YES", B89, 0)</f>
        <v>65</v>
      </c>
      <c r="C137" s="317"/>
      <c r="D137" s="38" t="n">
        <f aca="false">B91</f>
        <v>666.138846655038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666.138846655038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601.138846655039</v>
      </c>
      <c r="B177" s="355" t="n">
        <f aca="false">IF(A105="YES", B89, 0)</f>
        <v>65</v>
      </c>
      <c r="C177" s="357"/>
      <c r="D177" s="355" t="n">
        <f aca="false">B91</f>
        <v>666.138846655038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601.138846655039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666.138846655038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601.138846655039</v>
      </c>
      <c r="B186" s="103" t="n">
        <f aca="false">IF(A105="YES", B89, 0)</f>
        <v>65</v>
      </c>
      <c r="C186" s="353"/>
      <c r="D186" s="103" t="n">
        <f aca="false">B91</f>
        <v>666.138846655038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10615.99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10615.99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181.784387228484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210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4.38</v>
      </c>
      <c r="E32" s="226"/>
      <c r="F32" s="63"/>
      <c r="G32" s="227" t="s">
        <v>243</v>
      </c>
      <c r="H32" s="225" t="str">
        <f aca="false">A41</f>
        <v>4.38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504.38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504.38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4.38</v>
      </c>
      <c r="I44" s="394" t="n">
        <f aca="false">((A41*(B35-1))+D32)/B35</f>
        <v>4.38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505.38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505.38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5.694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765.868376988929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5.694</v>
      </c>
      <c r="C134" s="326"/>
      <c r="D134" s="321" t="n">
        <f aca="false">B97</f>
        <v>765.868376988929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6841.56939290036</v>
      </c>
      <c r="C137" s="317"/>
      <c r="D137" s="38" t="n">
        <f aca="false">IF(A111="YES", B95*B63, 0)</f>
        <v>51.246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6892.81539290036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5.694</v>
      </c>
      <c r="C143" s="317"/>
      <c r="D143" s="38" t="n">
        <f aca="false">B97</f>
        <v>765.868376988929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1.0512</v>
      </c>
      <c r="H148" s="103" t="n">
        <f aca="false">G108-100</f>
        <v>139.988</v>
      </c>
      <c r="I148" s="103"/>
      <c r="J148" s="103" t="n">
        <f aca="false">(H145+J145+G148+H148)-H151</f>
        <v>1325.37255</v>
      </c>
      <c r="K148" s="105"/>
      <c r="L148" s="63"/>
      <c r="M148" s="111" t="n">
        <f aca="false">IF(M111="YES", ((A41*N111)*0.1)*(M133), 0)</f>
        <v>1.0512</v>
      </c>
      <c r="N148" s="103" t="n">
        <f aca="false">M108-100</f>
        <v>99.99</v>
      </c>
      <c r="O148" s="103"/>
      <c r="P148" s="103" t="n">
        <f aca="false">(N145+P145+M148+N148)-N151</f>
        <v>1285.37455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400</v>
      </c>
      <c r="C154" s="38"/>
      <c r="D154" s="38" t="n">
        <f aca="false">IF(A111="YES", (A41/100*B111)*B131, 0)*0.1</f>
        <v>1.5768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626.76682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765.868376988929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5.694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6841.56939290036</v>
      </c>
      <c r="C180" s="353"/>
      <c r="D180" s="103" t="n">
        <f aca="false">IF(A111="YES", B95*B63, 0)</f>
        <v>51.246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6892.81539290036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5.694</v>
      </c>
      <c r="C186" s="353"/>
      <c r="D186" s="103" t="n">
        <f aca="false">B97</f>
        <v>765.868376988929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1.5768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626.76682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355.758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1983.35826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1983.35826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15.768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2078.96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173.246666666667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9709.152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68.5397983057685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9777.69179830577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814.807649858814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814.807649858814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814.807649858814</v>
      </c>
      <c r="B134" s="321" t="n">
        <f aca="false">IF(A111="YES", B95, 0)</f>
        <v>0</v>
      </c>
      <c r="C134" s="326"/>
      <c r="D134" s="321" t="n">
        <f aca="false">B97</f>
        <v>814.807649858814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814.807649858814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814.807649858814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814.807649858814</v>
      </c>
      <c r="B143" s="38" t="n">
        <f aca="false">IF(A111="YES", B95, 0)</f>
        <v>0</v>
      </c>
      <c r="C143" s="317"/>
      <c r="D143" s="38" t="n">
        <f aca="false">B97</f>
        <v>814.807649858814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206.356666666667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814.807649858814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814.807649858814</v>
      </c>
      <c r="B177" s="355" t="n">
        <f aca="false">IF(A111="YES", B95, 0)</f>
        <v>0</v>
      </c>
      <c r="C177" s="358"/>
      <c r="D177" s="355" t="n">
        <f aca="false">B91</f>
        <v>9709.152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814.807649858814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814.807649858814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814.807649858814</v>
      </c>
      <c r="B186" s="103" t="n">
        <f aca="false">IF(A111="YES", B95, 0)</f>
        <v>0</v>
      </c>
      <c r="C186" s="353"/>
      <c r="D186" s="103" t="n">
        <f aca="false">B97</f>
        <v>814.807649858814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206.356666666667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1458.58666666667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1458.58666666667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68.5397983057685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6623.86042759177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6623.86042759177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6623.86042759177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6623.86042759177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370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735.984491954641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735.984491954641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735.984491954641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735.984491954641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199.99</v>
      </c>
      <c r="C182" s="103"/>
      <c r="D182" s="23"/>
      <c r="E182" s="103" t="n">
        <f aca="false">E179+A182+(B182*1.2)+A185</f>
        <v>60381.078250429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E179+A201+(B182*1.2)+A185</f>
        <v>56358.468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199.99</v>
      </c>
      <c r="C224" s="103"/>
      <c r="D224" s="113"/>
      <c r="E224" s="103" t="n">
        <f aca="false">E182</f>
        <v>60381.078250429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3583.36587542901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3583.36587542901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5" min="2" style="1" width="18.88"/>
    <col collapsed="false" customWidth="true" hidden="false" outlineLevel="0" max="6" min="6" style="1" width="31.92"/>
    <col collapsed="false" customWidth="true" hidden="false" outlineLevel="0" max="9" min="7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9600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2344.65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1396.7304053987</v>
      </c>
      <c r="F33" s="232"/>
      <c r="G33" s="232"/>
      <c r="H33" s="47"/>
      <c r="I33" s="2"/>
      <c r="J33" s="34" t="s">
        <v>356</v>
      </c>
      <c r="K33" s="48" t="n">
        <f aca="false">H21-H11+(H16*20%)</f>
        <v>48877.5</v>
      </c>
      <c r="L33" s="1" t="n">
        <f aca="false">H21-H11+(H16*20%)</f>
        <v>48877.5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1329.7404053987</v>
      </c>
      <c r="B36" s="232" t="n">
        <f aca="false">IF(B26="YES", K42, "0.00")</f>
        <v>66.99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12"/>
    </row>
    <row r="40" customFormat="false" ht="17.35" hidden="false" customHeight="false" outlineLevel="0" collapsed="false">
      <c r="A40" s="107" t="n">
        <f aca="false">E36*A45/100</f>
        <v>9600</v>
      </c>
      <c r="B40" s="107" t="n">
        <f aca="false">IF(B26="YES", K42, "0.00")</f>
        <v>66.99</v>
      </c>
      <c r="C40" s="107"/>
      <c r="D40" s="107"/>
      <c r="E40" s="182" t="n">
        <f aca="false">K32</f>
        <v>2344.65</v>
      </c>
      <c r="F40" s="186"/>
      <c r="G40" s="186"/>
      <c r="H40" s="47"/>
      <c r="J40" s="2" t="s">
        <v>106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66.99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6586.14214929175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42291.3578507082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1396.7304053987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-54954.3096117306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4672.71417168699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237.909775155269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237.909775155269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-6.52777777613917E-005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1329.7404053987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1329.7404053987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1396.7304053987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1396.7304053987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-0.00799999999799184</v>
      </c>
      <c r="C81" s="93"/>
      <c r="D81" s="93"/>
      <c r="E81" s="113"/>
      <c r="F81" s="25" t="s">
        <v>105</v>
      </c>
      <c r="G81" s="27" t="n">
        <f aca="false">G158</f>
        <v>-0.00799999999799184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93"/>
      <c r="D82" s="93"/>
      <c r="E82" s="113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7412.27680583254</v>
      </c>
      <c r="C86" s="93"/>
      <c r="D86" s="93"/>
      <c r="E86" s="113"/>
      <c r="F86" s="31" t="s">
        <v>110</v>
      </c>
      <c r="G86" s="33" t="n">
        <f aca="false">(G82/((1+G84)^(G85+1)))</f>
        <v>7946.1805031205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-7412.28480583254</v>
      </c>
      <c r="C88" s="93"/>
      <c r="D88" s="93"/>
      <c r="E88" s="113"/>
      <c r="F88" s="31" t="s">
        <v>112</v>
      </c>
      <c r="G88" s="33" t="n">
        <f aca="false">G81-G86</f>
        <v>-7946.1885031205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-247.452806552233</v>
      </c>
      <c r="C89" s="93"/>
      <c r="D89" s="93"/>
      <c r="E89" s="113"/>
      <c r="F89" s="31" t="s">
        <v>113</v>
      </c>
      <c r="G89" s="33" t="n">
        <f aca="false">(G88/G87)</f>
        <v>-256.523172502031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-8413.39542277593</v>
      </c>
      <c r="C90" s="93"/>
      <c r="D90" s="93"/>
      <c r="E90" s="113"/>
      <c r="F90" s="31" t="s">
        <v>114</v>
      </c>
      <c r="G90" s="33" t="n">
        <f aca="false">((G89*(G85))+G77)</f>
        <v>-8721.78786506906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-8413.39542277593</v>
      </c>
      <c r="C92" s="93"/>
      <c r="D92" s="93"/>
      <c r="E92" s="113"/>
      <c r="F92" s="56" t="s">
        <v>116</v>
      </c>
      <c r="G92" s="65" t="n">
        <f aca="false">(G90+G91)</f>
        <v>-8721.78786506906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82.7523529411765</v>
      </c>
      <c r="C94" s="93"/>
      <c r="D94" s="93"/>
      <c r="E94" s="113"/>
      <c r="F94" s="88" t="s">
        <v>117</v>
      </c>
      <c r="G94" s="94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82.7523529411765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99.3028235294117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-247.452806552233</v>
      </c>
      <c r="C95" s="93"/>
      <c r="D95" s="93"/>
      <c r="E95" s="113"/>
      <c r="F95" s="95" t="s">
        <v>118</v>
      </c>
      <c r="G95" s="96" t="n">
        <f aca="false">G92/(G85)</f>
        <v>-256.523172502031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-164.700453611057</v>
      </c>
      <c r="C96" s="93"/>
      <c r="D96" s="93"/>
      <c r="E96" s="113"/>
      <c r="F96" s="97" t="s">
        <v>119</v>
      </c>
      <c r="G96" s="98" t="n">
        <f aca="false">G94+G95</f>
        <v>-173.770819560855</v>
      </c>
      <c r="H96" s="33"/>
      <c r="J96" s="97" t="s">
        <v>119</v>
      </c>
      <c r="K96" s="98" t="n">
        <f aca="false">(K94+K95)</f>
        <v>1610.7875870777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1458.60011659147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1475.1505871797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272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48770.84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48770.84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-1916.67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-1083.34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-106.668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58525</v>
      </c>
      <c r="H141" s="157" t="n">
        <f aca="false">(H135+H136+H139+H140+H137)-H138</f>
        <v>-0.00799999999799184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58525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58525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58525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58525</v>
      </c>
      <c r="H147" s="164" t="n">
        <f aca="false">H141-((H144*1.2)+(H145*1.2)+(H146*1.2)+(H142*1.2))</f>
        <v>-0.00799999999799184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58525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58525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58525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-48770.84</v>
      </c>
      <c r="I148" s="1" t="n">
        <f aca="false">(H148-G81)/1.2</f>
        <v>-40642.36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-0.00799999999799184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-247.452806552233</v>
      </c>
      <c r="B167" s="177" t="n">
        <f aca="false">B94</f>
        <v>82.7523529411765</v>
      </c>
      <c r="C167" s="174"/>
      <c r="D167" s="174"/>
      <c r="E167" s="177" t="n">
        <f aca="false">B96</f>
        <v>-164.700453611057</v>
      </c>
      <c r="F167" s="23"/>
      <c r="G167" s="23" t="n">
        <f aca="false">ROUND(G95, 2)</f>
        <v>-256.52</v>
      </c>
      <c r="H167" s="33"/>
      <c r="J167" s="176" t="n">
        <f aca="false">K95</f>
        <v>1506.2831870777</v>
      </c>
      <c r="K167" s="177" t="n">
        <f aca="false">K94</f>
        <v>104.5044</v>
      </c>
      <c r="L167" s="174"/>
      <c r="M167" s="174"/>
      <c r="N167" s="177" t="n">
        <f aca="false">K96</f>
        <v>1610.7875870777</v>
      </c>
      <c r="O167" s="23"/>
      <c r="P167" s="23"/>
      <c r="Q167" s="33"/>
      <c r="S167" s="176" t="n">
        <f aca="false">T95</f>
        <v>1375.84776365029</v>
      </c>
      <c r="T167" s="177" t="n">
        <f aca="false">T94</f>
        <v>82.7523529411765</v>
      </c>
      <c r="U167" s="174"/>
      <c r="V167" s="174"/>
      <c r="W167" s="177" t="n">
        <f aca="false">T96</f>
        <v>1458.60011659147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99.3028235294117</v>
      </c>
      <c r="AD167" s="174"/>
      <c r="AE167" s="174"/>
      <c r="AF167" s="177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-533.339999999998</v>
      </c>
      <c r="B173" s="103" t="n">
        <f aca="false">H137</f>
        <v>-106.668</v>
      </c>
      <c r="C173" s="186"/>
      <c r="D173" s="23"/>
      <c r="E173" s="182" t="n">
        <f aca="false">H139+H140</f>
        <v>640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-0.00799999999799184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-0.00799999999799184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1186.61257722407</v>
      </c>
      <c r="B182" s="103" t="str">
        <f aca="false">B114</f>
        <v>199.99</v>
      </c>
      <c r="C182" s="103"/>
      <c r="D182" s="23"/>
      <c r="E182" s="103" t="n">
        <f aca="false">E179+A182+(B182*1.2)+A185</f>
        <v>1436.59257722407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-6.52777777613917E-005</v>
      </c>
      <c r="C188" s="93"/>
      <c r="D188" s="93"/>
      <c r="E188" s="103" t="n">
        <f aca="false">(E40*A108)*0.1*(C45/100)</f>
        <v>46.893</v>
      </c>
      <c r="F188" s="23"/>
      <c r="G188" s="23"/>
      <c r="H188" s="33"/>
      <c r="J188" s="111" t="n">
        <f aca="false">IF(N105="YES", H15*0.000002, 0)</f>
        <v>0.11705</v>
      </c>
      <c r="K188" s="103" t="n">
        <f aca="false">(P158*K67)/1.2</f>
        <v>2320.75086805556</v>
      </c>
      <c r="L188" s="93"/>
      <c r="M188" s="93"/>
      <c r="N188" s="103" t="n">
        <f aca="false">(E40*J108)*0.1</f>
        <v>70.3395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46.893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146.882934722222</v>
      </c>
      <c r="C191" s="93"/>
      <c r="D191" s="93"/>
      <c r="E191" s="103" t="n">
        <f aca="false">H148</f>
        <v>-48770.84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3531.08036805556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1517.89536163194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1557.89536163194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-164.700453611057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878.327999999998</v>
      </c>
      <c r="B201" s="186" t="n">
        <f aca="false">E179+A201+(B182*1.2)+A185</f>
        <v>1128.308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-247.452806552233</v>
      </c>
      <c r="B212" s="177" t="n">
        <f aca="false">B167</f>
        <v>82.7523529411765</v>
      </c>
      <c r="C212" s="174"/>
      <c r="D212" s="174"/>
      <c r="E212" s="177" t="n">
        <f aca="false">E167</f>
        <v>-164.700453611057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-533.339999999998</v>
      </c>
      <c r="B215" s="103" t="n">
        <f aca="false">B173</f>
        <v>-106.668</v>
      </c>
      <c r="C215" s="186"/>
      <c r="D215" s="113"/>
      <c r="E215" s="182" t="n">
        <f aca="false">E173</f>
        <v>640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-0.00799999999799184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-0.00799999999799184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1186.61257722407</v>
      </c>
      <c r="B224" s="103" t="str">
        <f aca="false">B182</f>
        <v>199.99</v>
      </c>
      <c r="C224" s="103"/>
      <c r="D224" s="113"/>
      <c r="E224" s="103" t="n">
        <f aca="false">E182</f>
        <v>1436.59257722407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-247.452806552233</v>
      </c>
      <c r="B230" s="103" t="n">
        <f aca="false">B167</f>
        <v>82.7523529411765</v>
      </c>
      <c r="C230" s="186"/>
      <c r="D230" s="186"/>
      <c r="E230" s="103" t="n">
        <f aca="false">E167</f>
        <v>-164.700453611057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-48770.84</v>
      </c>
      <c r="B240" s="103" t="n">
        <f aca="false">B68</f>
        <v>-6.52777777613917E-005</v>
      </c>
      <c r="C240" s="93"/>
      <c r="D240" s="93"/>
      <c r="E240" s="103" t="n">
        <f aca="false">E188</f>
        <v>46.893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-48623.9570652778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318.284577224071</v>
      </c>
      <c r="C254" s="197"/>
      <c r="D254" s="198" t="s">
        <v>216</v>
      </c>
      <c r="E254" s="198"/>
      <c r="F254" s="200" t="n">
        <f aca="false">F261+F267+F269+B270+B271</f>
        <v>-7.83333333136701E-005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568.92</v>
      </c>
      <c r="C255" s="197"/>
      <c r="D255" s="198" t="s">
        <v>218</v>
      </c>
      <c r="E255" s="198"/>
      <c r="F255" s="200" t="n">
        <f aca="false">(B254-F254)+B255</f>
        <v>887.204655557404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318.284577224071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-7.83333333136701E-005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887.204655557404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7680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1875.65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1425.06160912611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1371.47160912611</v>
      </c>
      <c r="B36" s="232" t="n">
        <f aca="false">IF(B26="YES", K42, "0.00")</f>
        <v>53.59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29007.9023860839</v>
      </c>
      <c r="N39" s="1" t="n">
        <f aca="false">K39-L39</f>
        <v>19879.5976139161</v>
      </c>
      <c r="P39" s="212"/>
    </row>
    <row r="40" customFormat="false" ht="17.35" hidden="false" customHeight="false" outlineLevel="0" collapsed="false">
      <c r="A40" s="107" t="n">
        <f aca="false">E36*A45/100</f>
        <v>7680</v>
      </c>
      <c r="B40" s="107" t="n">
        <f aca="false">IF(B26="YES", K42, "0.00")</f>
        <v>53.59</v>
      </c>
      <c r="C40" s="107"/>
      <c r="D40" s="107"/>
      <c r="E40" s="182" t="n">
        <f aca="false">K32</f>
        <v>1875.65</v>
      </c>
      <c r="F40" s="186"/>
      <c r="G40" s="186"/>
      <c r="H40" s="47"/>
      <c r="J40" s="2" t="s">
        <v>106</v>
      </c>
      <c r="K40" s="2" t="n">
        <f aca="false">(A40)/1.2</f>
        <v>6400</v>
      </c>
      <c r="L40" s="2" t="n">
        <f aca="false">K39-L39</f>
        <v>19879.5976139161</v>
      </c>
      <c r="N40" s="1" t="n">
        <f aca="false">N38-N39</f>
        <v>-16967.9176139161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53.59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5268.9137194334</v>
      </c>
      <c r="L44" s="2"/>
      <c r="P44" s="212"/>
    </row>
    <row r="45" customFormat="false" ht="17.35" hidden="false" customHeight="false" outlineLevel="0" collapsed="false">
      <c r="A45" s="505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43618.5862805666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1371.47160912611</v>
      </c>
      <c r="L47" s="2" t="n">
        <f aca="false">L49-K42</f>
        <v>746.41</v>
      </c>
      <c r="M47" s="1" t="n">
        <f aca="false">K47-L47</f>
        <v>625.06160912611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1425.06160912611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1425.06160912611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11708.5803900844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3212.12204122779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17088.6564236405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356.096946402278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477.629340277778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1371.47160912611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1371.47160912611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1425.06160912611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1425.06160912611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58535</v>
      </c>
      <c r="C81" s="93"/>
      <c r="D81" s="93"/>
      <c r="E81" s="113"/>
      <c r="F81" s="25" t="s">
        <v>105</v>
      </c>
      <c r="G81" s="27" t="n">
        <f aca="false">G158</f>
        <v>58535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7680</v>
      </c>
      <c r="C82" s="93"/>
      <c r="D82" s="93"/>
      <c r="E82" s="113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93"/>
      <c r="D86" s="93"/>
      <c r="E86" s="113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52605.178555334</v>
      </c>
      <c r="C88" s="93"/>
      <c r="D88" s="93"/>
      <c r="E88" s="113"/>
      <c r="F88" s="31" t="s">
        <v>112</v>
      </c>
      <c r="G88" s="33" t="n">
        <f aca="false">G81-G86</f>
        <v>52178.0555975036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1756.1790208676</v>
      </c>
      <c r="C89" s="93"/>
      <c r="D89" s="93"/>
      <c r="E89" s="113"/>
      <c r="F89" s="31" t="s">
        <v>113</v>
      </c>
      <c r="G89" s="33" t="n">
        <f aca="false">(G88/G87)</f>
        <v>1684.44032652922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59710.0867094983</v>
      </c>
      <c r="C90" s="93"/>
      <c r="D90" s="93"/>
      <c r="E90" s="113"/>
      <c r="F90" s="31" t="s">
        <v>114</v>
      </c>
      <c r="G90" s="33" t="n">
        <f aca="false">((G89*(G85))+G77)</f>
        <v>57270.9711019934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59710.0867094983</v>
      </c>
      <c r="C92" s="93"/>
      <c r="D92" s="93"/>
      <c r="E92" s="113"/>
      <c r="F92" s="56" t="s">
        <v>116</v>
      </c>
      <c r="G92" s="65" t="n">
        <f aca="false">(G90+G91)</f>
        <v>57270.9711019934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79.4392941176471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66.1994117647059</v>
      </c>
      <c r="H94" s="33"/>
      <c r="J94" s="88" t="s">
        <v>117</v>
      </c>
      <c r="K94" s="89" t="n">
        <f aca="false">((E40/K85)*(1+J108))*1.2</f>
        <v>83.6004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66.1994117647059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79.4392941176471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1756.1790208676</v>
      </c>
      <c r="C95" s="93"/>
      <c r="D95" s="93"/>
      <c r="E95" s="113"/>
      <c r="F95" s="95" t="s">
        <v>118</v>
      </c>
      <c r="G95" s="96" t="n">
        <f aca="false">G92/(G85)</f>
        <v>1684.44032652922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1835.61831498524</v>
      </c>
      <c r="C96" s="93"/>
      <c r="D96" s="93"/>
      <c r="E96" s="113"/>
      <c r="F96" s="97" t="s">
        <v>119</v>
      </c>
      <c r="G96" s="98" t="n">
        <f aca="false">G94+G95</f>
        <v>1750.63973829392</v>
      </c>
      <c r="H96" s="33"/>
      <c r="J96" s="97" t="s">
        <v>119</v>
      </c>
      <c r="K96" s="98" t="n">
        <f aca="false">(K94+K95)</f>
        <v>1589.8835870777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1980.61596303101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1501.72174311224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272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-48779.1666666667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1756.1790208676</v>
      </c>
      <c r="B167" s="177" t="n">
        <f aca="false">B94</f>
        <v>79.4392941176471</v>
      </c>
      <c r="C167" s="174"/>
      <c r="D167" s="174"/>
      <c r="E167" s="177" t="n">
        <f aca="false">B96</f>
        <v>1835.61831498524</v>
      </c>
      <c r="F167" s="23"/>
      <c r="G167" s="23" t="n">
        <f aca="false">ROUND(G95, 2)</f>
        <v>1684.44</v>
      </c>
      <c r="H167" s="33"/>
      <c r="J167" s="176" t="n">
        <f aca="false">K95</f>
        <v>1506.2831870777</v>
      </c>
      <c r="K167" s="177" t="n">
        <f aca="false">K94</f>
        <v>83.6004</v>
      </c>
      <c r="L167" s="174"/>
      <c r="M167" s="174"/>
      <c r="N167" s="177" t="n">
        <f aca="false">K96</f>
        <v>1589.8835870777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66.1994117647059</v>
      </c>
      <c r="U167" s="174"/>
      <c r="V167" s="174"/>
      <c r="W167" s="177" t="n">
        <f aca="false">T96</f>
        <v>1980.61596303101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79.4392941176471</v>
      </c>
      <c r="AD167" s="174"/>
      <c r="AE167" s="174"/>
      <c r="AF167" s="177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8855.08670949825</v>
      </c>
      <c r="B182" s="103" t="str">
        <f aca="false">B114</f>
        <v>239.99</v>
      </c>
      <c r="C182" s="103"/>
      <c r="D182" s="23"/>
      <c r="E182" s="103" t="n">
        <f aca="false">E179+A182+B182+A185</f>
        <v>67640.0767094983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13.8924</v>
      </c>
      <c r="B188" s="103" t="n">
        <f aca="false">(G158*B67)</f>
        <v>573.155208333333</v>
      </c>
      <c r="C188" s="93"/>
      <c r="D188" s="93"/>
      <c r="E188" s="103" t="n">
        <f aca="false">(E40*A108)*0.1*(C45/100)</f>
        <v>37.513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56.2695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37.513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710.659875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3517.01036805556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1622.06351424132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1548.51536163194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1835.61831498524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6415.96</v>
      </c>
      <c r="B201" s="186" t="n">
        <f aca="false">E179+A201+B182+A185</f>
        <v>65200.95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1756.1790208676</v>
      </c>
      <c r="B212" s="177" t="n">
        <f aca="false">B167</f>
        <v>79.4392941176471</v>
      </c>
      <c r="C212" s="174"/>
      <c r="D212" s="174"/>
      <c r="E212" s="177" t="n">
        <f aca="false">E167</f>
        <v>1835.61831498524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8855.08670949825</v>
      </c>
      <c r="B224" s="103" t="str">
        <f aca="false">B182</f>
        <v>239.99</v>
      </c>
      <c r="C224" s="103"/>
      <c r="D224" s="113"/>
      <c r="E224" s="103" t="n">
        <f aca="false">E182</f>
        <v>67640.0767094983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1756.1790208676</v>
      </c>
      <c r="B230" s="103" t="n">
        <f aca="false">B167</f>
        <v>79.4392941176471</v>
      </c>
      <c r="C230" s="186"/>
      <c r="D230" s="186"/>
      <c r="E230" s="103" t="n">
        <f aca="false">E167</f>
        <v>1835.61831498524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477.629340277778</v>
      </c>
      <c r="C240" s="93"/>
      <c r="D240" s="93"/>
      <c r="E240" s="103" t="n">
        <f aca="false">E188</f>
        <v>37.513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615.134006944445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2449.12670949825</v>
      </c>
      <c r="C254" s="197"/>
      <c r="D254" s="198" t="s">
        <v>216</v>
      </c>
      <c r="E254" s="198"/>
      <c r="F254" s="200" t="n">
        <f aca="false">F261+F267+F269+B270+B271</f>
        <v>573.155208333333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475.121666666667</v>
      </c>
      <c r="C255" s="197"/>
      <c r="D255" s="198" t="s">
        <v>218</v>
      </c>
      <c r="E255" s="198"/>
      <c r="F255" s="200" t="n">
        <f aca="false">(B254-F254)+B255</f>
        <v>2351.09316783159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2449.12670949825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573.155208333333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2351.09316783159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5" min="2" style="1" width="18.88"/>
    <col collapsed="false" customWidth="true" hidden="false" outlineLevel="0" max="6" min="6" style="1" width="32.51"/>
    <col collapsed="false" customWidth="true" hidden="false" outlineLevel="0" max="9" min="7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290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1368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565.704926808692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565.704926808692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24807.4161256803</v>
      </c>
      <c r="N39" s="1" t="n">
        <f aca="false">K39-L39</f>
        <v>-7022.41612568029</v>
      </c>
      <c r="P39" s="212"/>
    </row>
    <row r="40" customFormat="false" ht="17.35" hidden="false" customHeight="false" outlineLevel="0" collapsed="false">
      <c r="A40" s="313" t="n">
        <f aca="false">E36*A45/100</f>
        <v>1368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-7022.41612568029</v>
      </c>
      <c r="N40" s="1" t="n">
        <f aca="false">N38-N39</f>
        <v>9934.09612568029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16955.6079275913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565.704926808692</v>
      </c>
      <c r="L47" s="2" t="n">
        <f aca="false">L49-K42</f>
        <v>800</v>
      </c>
      <c r="M47" s="1" t="n">
        <f aca="false">K47-L47</f>
        <v>-234.295073191308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565.704926808692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565.704926808692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7775.13610475283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29889.3171615416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5796.63594308033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-183.337844660524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187.898819444444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565.704926808692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565.704926808692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565.704926808692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565.704926808692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23027.6</v>
      </c>
      <c r="C81" s="93"/>
      <c r="D81" s="93"/>
      <c r="E81" s="113"/>
      <c r="F81" s="25" t="s">
        <v>105</v>
      </c>
      <c r="G81" s="27" t="n">
        <f aca="false">G158</f>
        <v>23027.6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22158.3788114429</v>
      </c>
      <c r="C88" s="93"/>
      <c r="D88" s="93"/>
      <c r="E88" s="113"/>
      <c r="F88" s="31" t="s">
        <v>112</v>
      </c>
      <c r="G88" s="33" t="n">
        <f aca="false">G81-G86</f>
        <v>22023.4964875385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21287.2546136088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16313.9896136088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811.023780678148</v>
      </c>
      <c r="C89" s="93"/>
      <c r="D89" s="93"/>
      <c r="E89" s="113"/>
      <c r="F89" s="31" t="s">
        <v>113</v>
      </c>
      <c r="G89" s="33" t="n">
        <f aca="false">(G88/G87)</f>
        <v>753.235260598001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752.832599452486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576.951017460108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27574.808543057</v>
      </c>
      <c r="C90" s="93"/>
      <c r="D90" s="93"/>
      <c r="E90" s="113"/>
      <c r="F90" s="31" t="s">
        <v>114</v>
      </c>
      <c r="G90" s="33" t="n">
        <f aca="false">((G89*(G85))+G77)</f>
        <v>25609.998860332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25596.3083813845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19616.3345936437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27574.808543057</v>
      </c>
      <c r="C92" s="93"/>
      <c r="D92" s="93"/>
      <c r="E92" s="113"/>
      <c r="F92" s="56" t="s">
        <v>116</v>
      </c>
      <c r="G92" s="65" t="n">
        <f aca="false">(G90+G91)</f>
        <v>25609.998860332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25596.3083813845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19616.3345936437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811.023780678148</v>
      </c>
      <c r="C95" s="93"/>
      <c r="D95" s="93"/>
      <c r="E95" s="113"/>
      <c r="F95" s="95" t="s">
        <v>118</v>
      </c>
      <c r="G95" s="96" t="n">
        <f aca="false">G92/(G85)</f>
        <v>753.235260598001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752.832599452486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576.951017460108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811.023780678148</v>
      </c>
      <c r="C96" s="93"/>
      <c r="D96" s="93"/>
      <c r="E96" s="113"/>
      <c r="F96" s="97" t="s">
        <v>119</v>
      </c>
      <c r="G96" s="98" t="n">
        <f aca="false">G94+G95</f>
        <v>753.235260598001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752.832599452486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576.951017460108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234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-3545.5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20290.5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20290.5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4197.1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25527.6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25527.6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-16235.0833333333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23027.6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811.023780678148</v>
      </c>
      <c r="B167" s="177" t="str">
        <f aca="false">B94</f>
        <v>0</v>
      </c>
      <c r="C167" s="174"/>
      <c r="D167" s="174"/>
      <c r="E167" s="177" t="n">
        <f aca="false">B96</f>
        <v>811.023780678148</v>
      </c>
      <c r="F167" s="23"/>
      <c r="G167" s="23" t="n">
        <f aca="false">ROUND(G95, 2)</f>
        <v>753.24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752.832599452486</v>
      </c>
      <c r="T167" s="177" t="n">
        <f aca="false">T94</f>
        <v>0</v>
      </c>
      <c r="U167" s="174"/>
      <c r="V167" s="174"/>
      <c r="W167" s="177" t="n">
        <f aca="false">T96</f>
        <v>752.832599452486</v>
      </c>
      <c r="X167" s="23"/>
      <c r="Y167" s="23"/>
      <c r="Z167" s="33"/>
      <c r="AB167" s="176" t="n">
        <f aca="false">AC95</f>
        <v>576.951017460108</v>
      </c>
      <c r="AC167" s="177" t="n">
        <f aca="false">AC94</f>
        <v>0</v>
      </c>
      <c r="AD167" s="174"/>
      <c r="AE167" s="174"/>
      <c r="AF167" s="177" t="n">
        <f aca="false">AC96</f>
        <v>576.951017460108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20985.5</v>
      </c>
      <c r="B173" s="103" t="n">
        <f aca="false">H137</f>
        <v>4197.1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25527.6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23027.6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5915.20854305703</v>
      </c>
      <c r="B182" s="103" t="str">
        <f aca="false">B114</f>
        <v>239.99</v>
      </c>
      <c r="C182" s="103"/>
      <c r="D182" s="23"/>
      <c r="E182" s="103" t="n">
        <f aca="false">E179+A182+B182+A185</f>
        <v>29192.798543057</v>
      </c>
      <c r="F182" s="23"/>
      <c r="G182" s="23"/>
      <c r="H182" s="105"/>
      <c r="J182" s="111" t="n">
        <f aca="false">(J167*K59)+N185-N179-J185</f>
        <v>14522.9855998458</v>
      </c>
      <c r="K182" s="103" t="n">
        <f aca="false">K114</f>
        <v>239.99</v>
      </c>
      <c r="L182" s="103"/>
      <c r="M182" s="23"/>
      <c r="N182" s="103" t="n">
        <f aca="false">N179+J182+K182+J185</f>
        <v>51316.9795998458</v>
      </c>
      <c r="O182" s="23"/>
      <c r="P182" s="23"/>
      <c r="Q182" s="105"/>
      <c r="S182" s="111" t="n">
        <f aca="false">(S167*T59)+W185-W179-S185</f>
        <v>4741.54338138454</v>
      </c>
      <c r="T182" s="103" t="n">
        <f aca="false">T114</f>
        <v>199.99</v>
      </c>
      <c r="U182" s="103"/>
      <c r="V182" s="23"/>
      <c r="W182" s="103" t="n">
        <f aca="false">W179+S182+T182+S185</f>
        <v>27174.2983813845</v>
      </c>
      <c r="X182" s="23"/>
      <c r="Y182" s="23"/>
      <c r="Z182" s="105"/>
      <c r="AB182" s="111" t="n">
        <f aca="false">(AB167*AC59)+AF185-AF179-AB185</f>
        <v>3734.83459364368</v>
      </c>
      <c r="AC182" s="103" t="n">
        <f aca="false">AC114</f>
        <v>239.99</v>
      </c>
      <c r="AD182" s="103"/>
      <c r="AE182" s="23"/>
      <c r="AF182" s="103" t="n">
        <f aca="false">AF179+AB182+AC182+AB185</f>
        <v>21234.3245936437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187.898819444444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287.890486111111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811.023780678148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752.832599452486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576.951017460108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3950.56</v>
      </c>
      <c r="B201" s="186" t="n">
        <f aca="false">E179+A201+B182+A185</f>
        <v>27228.15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811.023780678148</v>
      </c>
      <c r="B212" s="177" t="str">
        <f aca="false">B167</f>
        <v>0</v>
      </c>
      <c r="C212" s="174"/>
      <c r="D212" s="174"/>
      <c r="E212" s="177" t="n">
        <f aca="false">E167</f>
        <v>811.023780678148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20985.5</v>
      </c>
      <c r="B215" s="103" t="n">
        <f aca="false">B173</f>
        <v>4197.1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25527.6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23027.6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5915.20854305703</v>
      </c>
      <c r="B224" s="103" t="str">
        <f aca="false">B182</f>
        <v>239.99</v>
      </c>
      <c r="C224" s="103"/>
      <c r="D224" s="113"/>
      <c r="E224" s="103" t="n">
        <f aca="false">E182</f>
        <v>29192.798543057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811.023780678148</v>
      </c>
      <c r="B230" s="103" t="str">
        <f aca="false">B167</f>
        <v>0</v>
      </c>
      <c r="C230" s="186"/>
      <c r="D230" s="186"/>
      <c r="E230" s="103" t="n">
        <f aca="false">E167</f>
        <v>811.023780678148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15.06816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187.898819444444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3833.39048611111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1974.64854305703</v>
      </c>
      <c r="C254" s="197"/>
      <c r="D254" s="198" t="s">
        <v>216</v>
      </c>
      <c r="E254" s="198"/>
      <c r="F254" s="200" t="n">
        <f aca="false">F261+F267+F269+B270+B271</f>
        <v>225.478583333333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1849.16162639037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1974.64854305703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225.478583333333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1849.16162639037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290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1368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565.704926808692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565.704926808692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24807.4161256803</v>
      </c>
      <c r="N39" s="1" t="n">
        <f aca="false">K39-L39</f>
        <v>-7022.41612568029</v>
      </c>
      <c r="P39" s="212"/>
    </row>
    <row r="40" customFormat="false" ht="17.35" hidden="false" customHeight="false" outlineLevel="0" collapsed="false">
      <c r="A40" s="313" t="n">
        <f aca="false">E36*A45/100</f>
        <v>1368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-7022.41612568029</v>
      </c>
      <c r="N40" s="1" t="n">
        <f aca="false">N38-N39</f>
        <v>9934.09612568029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16955.6079275913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565.704926808692</v>
      </c>
      <c r="L47" s="2" t="n">
        <f aca="false">L49-K42</f>
        <v>800</v>
      </c>
      <c r="M47" s="1" t="n">
        <f aca="false">K47-L47</f>
        <v>-234.295073191308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565.704926808692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565.704926808692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7775.13610475283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29889.3171615416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5796.63594308033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-183.337844660524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187.898819444444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565.704926808692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565.704926808692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565.704926808692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565.704926808692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23027.6</v>
      </c>
      <c r="C81" s="93"/>
      <c r="D81" s="93"/>
      <c r="E81" s="113"/>
      <c r="F81" s="25" t="s">
        <v>105</v>
      </c>
      <c r="G81" s="27" t="n">
        <f aca="false">G158</f>
        <v>23027.6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22158.3788114429</v>
      </c>
      <c r="C88" s="93"/>
      <c r="D88" s="93"/>
      <c r="E88" s="113"/>
      <c r="F88" s="31" t="s">
        <v>112</v>
      </c>
      <c r="G88" s="33" t="n">
        <f aca="false">G81-G86</f>
        <v>22023.4964875385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21287.2546136088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16313.9896136088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811.023780678148</v>
      </c>
      <c r="C89" s="93"/>
      <c r="D89" s="93"/>
      <c r="E89" s="113"/>
      <c r="F89" s="31" t="s">
        <v>113</v>
      </c>
      <c r="G89" s="33" t="n">
        <f aca="false">(G88/G87)</f>
        <v>753.235260598001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752.832599452486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576.951017460108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27574.808543057</v>
      </c>
      <c r="C90" s="93"/>
      <c r="D90" s="93"/>
      <c r="E90" s="113"/>
      <c r="F90" s="31" t="s">
        <v>114</v>
      </c>
      <c r="G90" s="33" t="n">
        <f aca="false">((G89*(G85))+G77)</f>
        <v>25609.998860332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25596.3083813845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19616.3345936437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27574.808543057</v>
      </c>
      <c r="C92" s="93"/>
      <c r="D92" s="93"/>
      <c r="E92" s="113"/>
      <c r="F92" s="56" t="s">
        <v>116</v>
      </c>
      <c r="G92" s="65" t="n">
        <f aca="false">(G90+G91)</f>
        <v>25609.998860332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25596.3083813845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19616.3345936437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811.023780678148</v>
      </c>
      <c r="C95" s="93"/>
      <c r="D95" s="93"/>
      <c r="E95" s="113"/>
      <c r="F95" s="95" t="s">
        <v>118</v>
      </c>
      <c r="G95" s="96" t="n">
        <f aca="false">G92/(G85)</f>
        <v>753.235260598001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752.832599452486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576.951017460108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811.023780678148</v>
      </c>
      <c r="C96" s="93"/>
      <c r="D96" s="93"/>
      <c r="E96" s="113"/>
      <c r="F96" s="97" t="s">
        <v>119</v>
      </c>
      <c r="G96" s="98" t="n">
        <f aca="false">G94+G95</f>
        <v>753.235260598001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752.832599452486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576.951017460108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234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-3545.5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20290.5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20290.5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4197.1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25527.6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25527.6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-16235.0833333333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23027.6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811.023780678148</v>
      </c>
      <c r="B167" s="177" t="str">
        <f aca="false">B94</f>
        <v>0</v>
      </c>
      <c r="C167" s="174"/>
      <c r="D167" s="174"/>
      <c r="E167" s="177" t="n">
        <f aca="false">B96</f>
        <v>811.023780678148</v>
      </c>
      <c r="F167" s="23"/>
      <c r="G167" s="23" t="n">
        <f aca="false">ROUND(G95, 2)</f>
        <v>753.24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752.832599452486</v>
      </c>
      <c r="T167" s="177" t="n">
        <f aca="false">T94</f>
        <v>0</v>
      </c>
      <c r="U167" s="174"/>
      <c r="V167" s="174"/>
      <c r="W167" s="177" t="n">
        <f aca="false">T96</f>
        <v>752.832599452486</v>
      </c>
      <c r="X167" s="23"/>
      <c r="Y167" s="23"/>
      <c r="Z167" s="33"/>
      <c r="AB167" s="176" t="n">
        <f aca="false">AC95</f>
        <v>576.951017460108</v>
      </c>
      <c r="AC167" s="177" t="n">
        <f aca="false">AC94</f>
        <v>0</v>
      </c>
      <c r="AD167" s="174"/>
      <c r="AE167" s="174"/>
      <c r="AF167" s="177" t="n">
        <f aca="false">AC96</f>
        <v>576.951017460108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20985.5</v>
      </c>
      <c r="B173" s="103" t="n">
        <f aca="false">H137</f>
        <v>4197.1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25527.6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23027.6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5915.20854305703</v>
      </c>
      <c r="B182" s="103" t="str">
        <f aca="false">B114</f>
        <v>199.99</v>
      </c>
      <c r="C182" s="103"/>
      <c r="D182" s="23"/>
      <c r="E182" s="103" t="n">
        <f aca="false">E179+A182+(B182*1.2)+A185</f>
        <v>29192.796543057</v>
      </c>
      <c r="F182" s="23"/>
      <c r="G182" s="23"/>
      <c r="H182" s="105"/>
      <c r="J182" s="111" t="n">
        <f aca="false">(J167*K59)+N185-N179-J185</f>
        <v>14522.9855998458</v>
      </c>
      <c r="K182" s="103" t="n">
        <f aca="false">K114</f>
        <v>239.99</v>
      </c>
      <c r="L182" s="103"/>
      <c r="M182" s="23"/>
      <c r="N182" s="103" t="n">
        <f aca="false">N179+J182+K182+J185</f>
        <v>51316.9795998458</v>
      </c>
      <c r="O182" s="23"/>
      <c r="P182" s="23"/>
      <c r="Q182" s="105"/>
      <c r="S182" s="111" t="n">
        <f aca="false">(S167*T59)+W185-W179-S185</f>
        <v>4741.54338138454</v>
      </c>
      <c r="T182" s="103" t="n">
        <f aca="false">T114</f>
        <v>199.99</v>
      </c>
      <c r="U182" s="103"/>
      <c r="V182" s="23"/>
      <c r="W182" s="103" t="n">
        <f aca="false">W179+S182+T182+S185</f>
        <v>27174.2983813845</v>
      </c>
      <c r="X182" s="23"/>
      <c r="Y182" s="23"/>
      <c r="Z182" s="105"/>
      <c r="AB182" s="111" t="n">
        <f aca="false">(AB167*AC59)+AF185-AF179-AB185</f>
        <v>3734.83459364368</v>
      </c>
      <c r="AC182" s="103" t="n">
        <f aca="false">AC114</f>
        <v>239.99</v>
      </c>
      <c r="AD182" s="103"/>
      <c r="AE182" s="23"/>
      <c r="AF182" s="103" t="n">
        <f aca="false">AF179+AB182+AC182+AB185</f>
        <v>21234.3245936437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187.898819444444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287.888819444444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811.023780678148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752.832599452486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576.951017460108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3950.56</v>
      </c>
      <c r="B201" s="186" t="n">
        <f aca="false">E179+A201+(B182*1.2)+A185</f>
        <v>27228.148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811.023780678148</v>
      </c>
      <c r="B212" s="177" t="str">
        <f aca="false">B167</f>
        <v>0</v>
      </c>
      <c r="C212" s="174"/>
      <c r="D212" s="174"/>
      <c r="E212" s="177" t="n">
        <f aca="false">E167</f>
        <v>811.023780678148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20985.5</v>
      </c>
      <c r="B215" s="103" t="n">
        <f aca="false">B173</f>
        <v>4197.1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25527.6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23027.6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5915.20854305703</v>
      </c>
      <c r="B224" s="103" t="str">
        <f aca="false">B182</f>
        <v>199.99</v>
      </c>
      <c r="C224" s="103"/>
      <c r="D224" s="113"/>
      <c r="E224" s="103" t="n">
        <f aca="false">E182</f>
        <v>29192.796543057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811.023780678148</v>
      </c>
      <c r="B230" s="103" t="str">
        <f aca="false">B167</f>
        <v>0</v>
      </c>
      <c r="C230" s="186"/>
      <c r="D230" s="186"/>
      <c r="E230" s="103" t="n">
        <f aca="false">E167</f>
        <v>811.023780678148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12.5568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187.898819444444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3833.38881944444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1974.64854305703</v>
      </c>
      <c r="C254" s="197"/>
      <c r="D254" s="198" t="s">
        <v>216</v>
      </c>
      <c r="E254" s="198"/>
      <c r="F254" s="200" t="n">
        <f aca="false">F261+F267+F269+B270+B271</f>
        <v>225.478583333333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1849.1599597237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1974.64854305703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225.478583333333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1849.1599597237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454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21273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4560</v>
      </c>
      <c r="I31" s="238" t="n">
        <f aca="false">IF(C107="YES",H31,0)</f>
        <v>4560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3795.05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609.567532442783</v>
      </c>
      <c r="E33" s="216"/>
      <c r="F33" s="63"/>
      <c r="G33" s="219" t="s">
        <v>356</v>
      </c>
      <c r="H33" s="460" t="n">
        <f aca="false">E21-E11+((E16*20%)+(E19*20%)+(E20*20%))</f>
        <v>17785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501.137532442783</v>
      </c>
      <c r="B36" s="103" t="n">
        <f aca="false">IF(B26="YES", H42, "")</f>
        <v>108.43</v>
      </c>
      <c r="C36" s="221"/>
      <c r="D36" s="184" t="n">
        <f aca="false">I31</f>
        <v>4560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17785</v>
      </c>
      <c r="I39" s="238" t="n">
        <f aca="false">(I48*H46)+H44</f>
        <v>41476.2608994672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4560</v>
      </c>
      <c r="B40" s="107" t="n">
        <f aca="false">IF(B26="YES",H42,"0")</f>
        <v>108.43</v>
      </c>
      <c r="C40" s="107"/>
      <c r="D40" s="184" t="n">
        <f aca="false">I32</f>
        <v>3795.05</v>
      </c>
      <c r="E40" s="216"/>
      <c r="F40" s="63"/>
      <c r="G40" s="63" t="s">
        <v>106</v>
      </c>
      <c r="H40" s="238" t="n">
        <f aca="false">A40/1.2</f>
        <v>3800</v>
      </c>
      <c r="I40" s="238" t="n">
        <f aca="false">H39-I39</f>
        <v>-23691.2608994672</v>
      </c>
      <c r="J40" s="63" t="n">
        <v>23166.66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108.43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2764.64024136218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15020.3597586378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501.137532442783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609.567532442783</v>
      </c>
      <c r="I48" s="238" t="n">
        <f aca="false">I49-H42</f>
        <v>1291.57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609.567532442783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2166.92</v>
      </c>
      <c r="C64" s="215" t="n">
        <v>10000</v>
      </c>
      <c r="D64" s="291" t="n">
        <f aca="false">B64-A143</f>
        <v>2166.92</v>
      </c>
      <c r="E64" s="216"/>
      <c r="F64" s="63"/>
      <c r="G64" s="285" t="s">
        <v>90</v>
      </c>
      <c r="H64" s="133" t="n">
        <f aca="false">H61*H63</f>
        <v>2166.92</v>
      </c>
      <c r="I64" s="215"/>
      <c r="J64" s="291" t="n">
        <f aca="false">H64-G145</f>
        <v>2166.92</v>
      </c>
      <c r="K64" s="216"/>
      <c r="L64" s="63"/>
      <c r="M64" s="285" t="s">
        <v>90</v>
      </c>
      <c r="N64" s="133" t="n">
        <f aca="false">N61*N63</f>
        <v>2166.92</v>
      </c>
      <c r="O64" s="215"/>
      <c r="P64" s="291" t="n">
        <f aca="false">N64-M145</f>
        <v>2166.92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E15*B66</f>
        <v>208.298125</v>
      </c>
      <c r="C67" s="215"/>
      <c r="D67" s="291"/>
      <c r="E67" s="216"/>
      <c r="F67" s="63"/>
      <c r="G67" s="285" t="s">
        <v>93</v>
      </c>
      <c r="H67" s="133" t="n">
        <f aca="false">(H61*H66)/1.2</f>
        <v>341.533333333333</v>
      </c>
      <c r="I67" s="215"/>
      <c r="J67" s="291"/>
      <c r="K67" s="216"/>
      <c r="L67" s="63"/>
      <c r="M67" s="285" t="s">
        <v>93</v>
      </c>
      <c r="N67" s="133" t="n">
        <f aca="false">(N61*N66)/1.2</f>
        <v>341.533333333333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2884.42</v>
      </c>
      <c r="C81" s="215"/>
      <c r="D81" s="215"/>
      <c r="E81" s="216"/>
      <c r="F81" s="63"/>
      <c r="G81" s="303" t="s">
        <v>102</v>
      </c>
      <c r="H81" s="304" t="n">
        <f aca="false">SUM(J64:J80)</f>
        <v>3214.42</v>
      </c>
      <c r="I81" s="215"/>
      <c r="J81" s="215"/>
      <c r="K81" s="216"/>
      <c r="L81" s="63"/>
      <c r="M81" s="303" t="s">
        <v>102</v>
      </c>
      <c r="N81" s="304" t="n">
        <f aca="false">SUM(P64:P80)</f>
        <v>2884.42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82.412</v>
      </c>
      <c r="C82" s="215"/>
      <c r="D82" s="215"/>
      <c r="E82" s="216"/>
      <c r="F82" s="63"/>
      <c r="G82" s="214" t="s">
        <v>103</v>
      </c>
      <c r="H82" s="300" t="n">
        <f aca="false">H81/H29</f>
        <v>91.8405714285714</v>
      </c>
      <c r="I82" s="215"/>
      <c r="J82" s="215"/>
      <c r="K82" s="216"/>
      <c r="L82" s="63"/>
      <c r="M82" s="214" t="s">
        <v>103</v>
      </c>
      <c r="N82" s="300" t="n">
        <f aca="false">N81/H29</f>
        <v>82.412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501.137532442783</v>
      </c>
      <c r="C83" s="215"/>
      <c r="D83" s="215"/>
      <c r="E83" s="216"/>
      <c r="F83" s="63"/>
      <c r="G83" s="305" t="s">
        <v>104</v>
      </c>
      <c r="H83" s="306" t="n">
        <f aca="false">H47</f>
        <v>501.137532442783</v>
      </c>
      <c r="I83" s="215"/>
      <c r="J83" s="215"/>
      <c r="K83" s="216"/>
      <c r="L83" s="63"/>
      <c r="M83" s="305" t="s">
        <v>104</v>
      </c>
      <c r="N83" s="306" t="n">
        <f aca="false">H47</f>
        <v>501.137532442783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20424.2336354974</v>
      </c>
      <c r="C85" s="215"/>
      <c r="D85" s="215"/>
      <c r="E85" s="216"/>
      <c r="F85" s="63"/>
      <c r="G85" s="288" t="s">
        <v>114</v>
      </c>
      <c r="H85" s="131" t="n">
        <f aca="false">((H83*H29)+H81)*1.2</f>
        <v>24905.0803625969</v>
      </c>
      <c r="I85" s="215"/>
      <c r="J85" s="215"/>
      <c r="K85" s="216"/>
      <c r="L85" s="63"/>
      <c r="M85" s="288" t="s">
        <v>114</v>
      </c>
      <c r="N85" s="131" t="n">
        <f aca="false">((N83*H29)+N81)</f>
        <v>20424.2336354974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173.016904536283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175.812386585497</v>
      </c>
      <c r="I86" s="215"/>
      <c r="J86" s="215"/>
      <c r="K86" s="216"/>
      <c r="L86" s="63"/>
      <c r="M86" s="214" t="s">
        <v>115</v>
      </c>
      <c r="N86" s="300" t="n">
        <f aca="false">(N85/(1-N70))*N70</f>
        <v>173.016904536283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20597.2505400337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25080.8927491824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20597.2505400337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130.116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136.6218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113.8515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588.492872572391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627.02231872956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514.931263500843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718.608872572391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763.64411872956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628.782763500843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627.02231872956</v>
      </c>
      <c r="H127" s="177" t="n">
        <f aca="false">IF(G105="YES", H89*H57, 0)</f>
        <v>819.7308</v>
      </c>
      <c r="I127" s="177"/>
      <c r="J127" s="334" t="n">
        <f aca="false">H91</f>
        <v>763.64411872956</v>
      </c>
      <c r="K127" s="216"/>
      <c r="L127" s="63"/>
      <c r="M127" s="333" t="n">
        <f aca="false">N90</f>
        <v>514.931263500843</v>
      </c>
      <c r="N127" s="177" t="n">
        <f aca="false">IF(M105="YES", N89*N57, 0)</f>
        <v>683.109</v>
      </c>
      <c r="O127" s="177"/>
      <c r="P127" s="177" t="n">
        <f aca="false">N91</f>
        <v>628.782763500843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588.492872572391</v>
      </c>
      <c r="B128" s="321" t="n">
        <f aca="false">IF(A105="YES", B89, 0)</f>
        <v>130.116</v>
      </c>
      <c r="C128" s="325"/>
      <c r="D128" s="321" t="n">
        <f aca="false">B91</f>
        <v>718.608872572391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588.492872572391</v>
      </c>
      <c r="C131" s="317"/>
      <c r="D131" s="38" t="n">
        <f aca="false">IF(A105="YES", B89*B57, 0)</f>
        <v>130.116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3762.13391237736</v>
      </c>
      <c r="H133" s="103" t="n">
        <f aca="false">IF(G105="YES", H89*H57, 0)</f>
        <v>819.7308</v>
      </c>
      <c r="I133" s="221"/>
      <c r="J133" s="184" t="n">
        <f aca="false">H91*H57</f>
        <v>4581.86471237736</v>
      </c>
      <c r="K133" s="216"/>
      <c r="L133" s="63"/>
      <c r="M133" s="185" t="n">
        <f aca="false">N90*N57</f>
        <v>3089.58758100505</v>
      </c>
      <c r="N133" s="103" t="n">
        <f aca="false">IF(M105="YES", N89*N57, 0)</f>
        <v>683.109</v>
      </c>
      <c r="O133" s="221"/>
      <c r="P133" s="184" t="n">
        <f aca="false">N91*N57</f>
        <v>3772.69658100505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718.608872572391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111" t="n">
        <f aca="false">E15*0.000006</f>
        <v>0.127638</v>
      </c>
      <c r="N136" s="103" t="n">
        <f aca="false">IF(M105="YES", E15*0.000002, 0)</f>
        <v>0.042546</v>
      </c>
      <c r="O136" s="103"/>
      <c r="P136" s="103" t="n">
        <f aca="false">M136+N136</f>
        <v>0.170184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588.492872572391</v>
      </c>
      <c r="B137" s="38" t="n">
        <f aca="false">IF(A105="YES", B89, 0)</f>
        <v>130.116</v>
      </c>
      <c r="C137" s="317"/>
      <c r="D137" s="38" t="n">
        <f aca="false">B91</f>
        <v>718.608872572391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341.533333333333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341.533333333333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75.901</v>
      </c>
      <c r="H142" s="103" t="n">
        <f aca="false">G102-100</f>
        <v>99.99</v>
      </c>
      <c r="I142" s="103"/>
      <c r="J142" s="103" t="n">
        <f aca="false">(H139+J139+G142+H142)-H145</f>
        <v>517.424333333333</v>
      </c>
      <c r="K142" s="105"/>
      <c r="L142" s="63"/>
      <c r="M142" s="111" t="n">
        <f aca="false">IF(M105="YES", ((B36*N105)*0.1)*(M130), 0)</f>
        <v>75.901</v>
      </c>
      <c r="N142" s="103" t="n">
        <f aca="false">M102-100</f>
        <v>99.99</v>
      </c>
      <c r="O142" s="103"/>
      <c r="P142" s="103" t="n">
        <f aca="false">(N139+P139+M142+N142)-N145</f>
        <v>517.424333333333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208.298125</v>
      </c>
      <c r="B148" s="38" t="n">
        <f aca="false">B102</f>
        <v>0</v>
      </c>
      <c r="C148" s="38"/>
      <c r="D148" s="38" t="n">
        <f aca="false">IF(A105="YES", (B40*B105)*B125, 0)*0.1</f>
        <v>75.901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384.189125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763.64411872956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628.782763500843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718.608872572391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588.492872572391</v>
      </c>
      <c r="B177" s="355" t="n">
        <f aca="false">IF(A105="YES", B89, 0)</f>
        <v>130.116</v>
      </c>
      <c r="C177" s="357"/>
      <c r="D177" s="355" t="n">
        <f aca="false">B91</f>
        <v>718.608872572391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588.492872572391</v>
      </c>
      <c r="C180" s="353"/>
      <c r="D180" s="103" t="n">
        <f aca="false">IF(A105="YES", B89*B57, 0)</f>
        <v>130.116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718.608872572391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588.492872572391</v>
      </c>
      <c r="B186" s="103" t="n">
        <f aca="false">IF(A105="YES", B89, 0)</f>
        <v>130.116</v>
      </c>
      <c r="C186" s="353"/>
      <c r="D186" s="103" t="n">
        <f aca="false">B91</f>
        <v>718.608872572391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208.298125</v>
      </c>
      <c r="B197" s="103" t="n">
        <f aca="false">B102</f>
        <v>0</v>
      </c>
      <c r="C197" s="103"/>
      <c r="D197" s="103" t="n">
        <f aca="false">IF(A105="YES", (B40*B105)*B125, 0)*0.1</f>
        <v>75.901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384.189125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2166.92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208.298125</v>
      </c>
      <c r="C211" s="320" t="s">
        <v>217</v>
      </c>
      <c r="D211" s="370" t="n">
        <f aca="false">B225+E221+B221+B223</f>
        <v>859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2817.621875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2166.92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208.298125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2817.621875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759.01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173.016904536283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200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58285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1116.36803167291</v>
      </c>
      <c r="E33" s="216"/>
      <c r="F33" s="63"/>
      <c r="G33" s="219" t="s">
        <v>356</v>
      </c>
      <c r="H33" s="460" t="n">
        <f aca="false">E21-E11+((E16*20%)+(E19*20%)+(E20*20%))</f>
        <v>48677.5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1116.36803167291</v>
      </c>
      <c r="B36" s="103" t="str">
        <f aca="false">IF(B26="YES", H42, "")</f>
        <v/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48677.5</v>
      </c>
      <c r="I39" s="238" t="n">
        <f aca="false">(I48*H46)+H44</f>
        <v>57698.1938299547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(A40)/1.2</f>
        <v>16000</v>
      </c>
      <c r="I40" s="238" t="n">
        <f aca="false">H39-I39</f>
        <v>-9020.69382995469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35505.2157014165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1116.36803167291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1116.36803167291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1116.36803167291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</v>
      </c>
      <c r="D64" s="291" t="n">
        <f aca="false">B64-A143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8475.17604166667</v>
      </c>
      <c r="C81" s="215"/>
      <c r="D81" s="215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242.147886904762</v>
      </c>
      <c r="C82" s="215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1116.36803167291</v>
      </c>
      <c r="C83" s="215"/>
      <c r="D83" s="215"/>
      <c r="E83" s="466" t="n">
        <f aca="false">B83+E80+E77+E64</f>
        <v>1352.16671222847</v>
      </c>
      <c r="F83" s="63"/>
      <c r="G83" s="305" t="s">
        <v>104</v>
      </c>
      <c r="H83" s="306" t="n">
        <f aca="false">H47</f>
        <v>1116.36803167291</v>
      </c>
      <c r="I83" s="215"/>
      <c r="J83" s="215"/>
      <c r="K83" s="216"/>
      <c r="L83" s="63"/>
      <c r="M83" s="305" t="s">
        <v>104</v>
      </c>
      <c r="N83" s="306" t="n">
        <f aca="false">H47</f>
        <v>1116.36803167291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57057.6685802624</v>
      </c>
      <c r="C85" s="215"/>
      <c r="D85" s="215"/>
      <c r="E85" s="466" t="n">
        <f aca="false">B85/(B58+B57)</f>
        <v>1630.21910229321</v>
      </c>
      <c r="F85" s="63"/>
      <c r="G85" s="288" t="s">
        <v>114</v>
      </c>
      <c r="H85" s="131" t="n">
        <f aca="false">((H83*H29)+H81)*1.2</f>
        <v>55336.6685802624</v>
      </c>
      <c r="I85" s="215"/>
      <c r="J85" s="215"/>
      <c r="K85" s="216"/>
      <c r="L85" s="63"/>
      <c r="M85" s="288" t="s">
        <v>114</v>
      </c>
      <c r="N85" s="131" t="n">
        <f aca="false">((N83*H29)+N81)</f>
        <v>45783.890483552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402.787091631542</v>
      </c>
      <c r="C86" s="215"/>
      <c r="D86" s="215"/>
      <c r="E86" s="466" t="n">
        <f aca="false">B86/(B58+B57)</f>
        <v>11.508202618044</v>
      </c>
      <c r="F86" s="63"/>
      <c r="G86" s="214" t="s">
        <v>115</v>
      </c>
      <c r="H86" s="300" t="n">
        <f aca="false">((((H83*H29)+H81))/(1-H70))*H70</f>
        <v>390.63803959443</v>
      </c>
      <c r="I86" s="215"/>
      <c r="J86" s="215"/>
      <c r="K86" s="216"/>
      <c r="L86" s="63"/>
      <c r="M86" s="214" t="s">
        <v>115</v>
      </c>
      <c r="N86" s="300" t="n">
        <f aca="false">(N85/(1-N70))*N70</f>
        <v>387.842557545217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57460.4556718939</v>
      </c>
      <c r="C87" s="215"/>
      <c r="D87" s="215"/>
      <c r="E87" s="466" t="n">
        <f aca="false">E86+E85</f>
        <v>1641.72730491126</v>
      </c>
      <c r="F87" s="63"/>
      <c r="G87" s="285" t="s">
        <v>116</v>
      </c>
      <c r="H87" s="133" t="n">
        <f aca="false">IF(H110="YES",((H85+H86)-K114),(H85+H86))</f>
        <v>55727.3066198568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46171.7330410972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0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1641.72730491126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1393.18266549642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1154.29332602743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1641.72730491126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1393.18266549642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1154.29332602743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19</v>
      </c>
      <c r="B105" s="314" t="n">
        <v>0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1393.18266549642</v>
      </c>
      <c r="H127" s="177" t="n">
        <f aca="false">IF(G105="YES", H89*H57, 0)</f>
        <v>0</v>
      </c>
      <c r="I127" s="177"/>
      <c r="J127" s="334" t="n">
        <f aca="false">H91</f>
        <v>1393.18266549642</v>
      </c>
      <c r="K127" s="216"/>
      <c r="L127" s="63"/>
      <c r="M127" s="333" t="n">
        <f aca="false">N90</f>
        <v>1154.29332602743</v>
      </c>
      <c r="N127" s="177" t="n">
        <f aca="false">IF(M105="YES", N89*N57, 0)</f>
        <v>0</v>
      </c>
      <c r="O127" s="177"/>
      <c r="P127" s="177" t="n">
        <f aca="false">N91</f>
        <v>1154.29332602743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1641.72730491126</v>
      </c>
      <c r="B128" s="321" t="n">
        <f aca="false">IF(A105="YES", B89, 0)</f>
        <v>0</v>
      </c>
      <c r="C128" s="325"/>
      <c r="D128" s="321" t="n">
        <f aca="false">B91</f>
        <v>1641.72730491126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1641.72730491126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8359.09599297852</v>
      </c>
      <c r="H133" s="103" t="n">
        <f aca="false">IF(G105="YES", H89*H57, 0)</f>
        <v>0</v>
      </c>
      <c r="I133" s="221"/>
      <c r="J133" s="184" t="n">
        <f aca="false">H91*H57</f>
        <v>8359.09599297852</v>
      </c>
      <c r="K133" s="216"/>
      <c r="L133" s="63"/>
      <c r="M133" s="185" t="n">
        <f aca="false">N90*N57</f>
        <v>6925.75995616458</v>
      </c>
      <c r="N133" s="103" t="n">
        <f aca="false">IF(M105="YES", N89*N57, 0)</f>
        <v>0</v>
      </c>
      <c r="O133" s="221"/>
      <c r="P133" s="184" t="n">
        <f aca="false">N91*N57</f>
        <v>6925.75995616458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1641.72730491126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0.35115</v>
      </c>
      <c r="H136" s="103" t="n">
        <f aca="false">IF(G105="YES", E15*0.000002, 0)</f>
        <v>0.11705</v>
      </c>
      <c r="I136" s="103"/>
      <c r="J136" s="103" t="n">
        <f aca="false">G136+H136</f>
        <v>0.4682</v>
      </c>
      <c r="K136" s="105"/>
      <c r="L136" s="63"/>
      <c r="M136" s="111" t="n">
        <f aca="false">E15*0.000006</f>
        <v>0.35115</v>
      </c>
      <c r="N136" s="103" t="n">
        <f aca="false">IF(M105="YES", E15*0.000002, 0)</f>
        <v>0.11705</v>
      </c>
      <c r="O136" s="103"/>
      <c r="P136" s="103" t="n">
        <f aca="false">M136+N136</f>
        <v>0.4682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1641.72730491126</v>
      </c>
      <c r="B137" s="38" t="n">
        <f aca="false">IF(A105="YES", B89, 0)</f>
        <v>0</v>
      </c>
      <c r="C137" s="317"/>
      <c r="D137" s="38" t="n">
        <f aca="false">B91</f>
        <v>1641.72730491126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0</v>
      </c>
      <c r="C140" s="317"/>
      <c r="D140" s="343" t="n">
        <f aca="false">A140+B140</f>
        <v>41.6772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1633.57291666667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1393.18266549642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1154.29332602743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1641.72730491126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1641.72730491126</v>
      </c>
      <c r="B177" s="355" t="n">
        <f aca="false">IF(A105="YES", B89, 0)</f>
        <v>0</v>
      </c>
      <c r="C177" s="357"/>
      <c r="D177" s="355" t="n">
        <f aca="false">B91</f>
        <v>1641.72730491126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1641.72730491126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1641.72730491126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1641.72730491126</v>
      </c>
      <c r="B186" s="103" t="n">
        <f aca="false">IF(A105="YES", B89, 0)</f>
        <v>0</v>
      </c>
      <c r="C186" s="353"/>
      <c r="D186" s="103" t="n">
        <f aca="false">B91</f>
        <v>1641.72730491126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0</v>
      </c>
      <c r="C189" s="353"/>
      <c r="D189" s="365" t="n">
        <f aca="false">A189+B189</f>
        <v>41.6772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1633.57291666667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5199.91979166667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5199.91979166667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402.787091631542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16745</v>
      </c>
      <c r="F9" s="63"/>
      <c r="G9" s="454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3488</v>
      </c>
      <c r="F11" s="63"/>
      <c r="G11" s="454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290</v>
      </c>
      <c r="F13" s="63"/>
      <c r="G13" s="454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21273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2970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405.9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810.446624478941</v>
      </c>
      <c r="E33" s="216"/>
      <c r="F33" s="63"/>
      <c r="G33" s="219" t="s">
        <v>356</v>
      </c>
      <c r="H33" s="460" t="n">
        <f aca="false">E21-E11+((E16*20%)+(E19*20%)+(E20*20%))</f>
        <v>17785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791.996624478941</v>
      </c>
      <c r="B36" s="103" t="n">
        <f aca="false">IF(B26="YES", H42, "")</f>
        <v>18.45</v>
      </c>
      <c r="C36" s="221"/>
      <c r="D36" s="184" t="n">
        <f aca="false">H31</f>
        <v>2970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17785</v>
      </c>
      <c r="I39" s="238" t="n">
        <f aca="false">(I48*H46)+H44</f>
        <v>29520.4113544817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2970</v>
      </c>
      <c r="B40" s="107" t="n">
        <f aca="false">IF(B26="YES",H42,"0")</f>
        <v>18.45</v>
      </c>
      <c r="C40" s="107"/>
      <c r="D40" s="184" t="n">
        <f aca="false">I32</f>
        <v>405.9</v>
      </c>
      <c r="E40" s="216"/>
      <c r="F40" s="63"/>
      <c r="G40" s="63" t="s">
        <v>106</v>
      </c>
      <c r="H40" s="238" t="n">
        <f aca="false">A40/1.2</f>
        <v>2475</v>
      </c>
      <c r="I40" s="238" t="n">
        <f aca="false">H39-I39</f>
        <v>-11735.4113544817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18.45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2019.83510478283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15765.1648952172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19.905596069414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791.996624478941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810.446624478941</v>
      </c>
      <c r="I48" s="238" t="n">
        <f aca="false">I49-H42</f>
        <v>1381.55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810.446624478941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0.0845833333333333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465" t="n">
        <v>10000</v>
      </c>
      <c r="D64" s="291" t="n">
        <f aca="false">B64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0.00708333333333333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E15*B66</f>
        <v>150.68375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99</v>
      </c>
      <c r="C73" s="215"/>
      <c r="D73" s="472" t="n">
        <f aca="false">B73+B71</f>
        <v>259</v>
      </c>
      <c r="E73" s="216" t="s">
        <v>227</v>
      </c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29.9545454545454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2429.16</v>
      </c>
      <c r="C81" s="473"/>
      <c r="D81" s="474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110.416363636364</v>
      </c>
      <c r="C82" s="473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791.996624478941</v>
      </c>
      <c r="C83" s="473"/>
      <c r="D83" s="215"/>
      <c r="E83" s="466" t="n">
        <f aca="false">B83+E80+E77+E64</f>
        <v>902.412988115305</v>
      </c>
      <c r="F83" s="63"/>
      <c r="G83" s="305" t="s">
        <v>104</v>
      </c>
      <c r="H83" s="306" t="n">
        <f aca="false">H47</f>
        <v>791.996624478941</v>
      </c>
      <c r="I83" s="215"/>
      <c r="J83" s="215"/>
      <c r="K83" s="216"/>
      <c r="L83" s="63"/>
      <c r="M83" s="305" t="s">
        <v>104</v>
      </c>
      <c r="N83" s="306" t="n">
        <f aca="false">H47</f>
        <v>791.996624478941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19853.0857385367</v>
      </c>
      <c r="C85" s="473"/>
      <c r="D85" s="473"/>
      <c r="E85" s="466" t="n">
        <f aca="false">B85/(B58+B57)</f>
        <v>902.412988115305</v>
      </c>
      <c r="F85" s="63"/>
      <c r="G85" s="288" t="s">
        <v>114</v>
      </c>
      <c r="H85" s="131" t="n">
        <f aca="false">((H83*H29)+H81)*1.2</f>
        <v>24005.202886244</v>
      </c>
      <c r="I85" s="215"/>
      <c r="J85" s="215"/>
      <c r="K85" s="216"/>
      <c r="L85" s="63"/>
      <c r="M85" s="288" t="s">
        <v>114</v>
      </c>
      <c r="N85" s="131" t="n">
        <f aca="false">((N83*H29)+N81)</f>
        <v>19853.0857385367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168.17862061689</v>
      </c>
      <c r="C86" s="473" t="s">
        <v>230</v>
      </c>
      <c r="D86" s="215"/>
      <c r="E86" s="466" t="n">
        <f aca="false">B86/(B58+B57)</f>
        <v>7.64448275531319</v>
      </c>
      <c r="F86" s="63"/>
      <c r="G86" s="214" t="s">
        <v>115</v>
      </c>
      <c r="H86" s="300" t="n">
        <f aca="false">((((H83*H29)+H81))/(1-H70))*H70</f>
        <v>169.45988322278</v>
      </c>
      <c r="I86" s="215"/>
      <c r="J86" s="215"/>
      <c r="K86" s="216"/>
      <c r="L86" s="63"/>
      <c r="M86" s="214" t="s">
        <v>115</v>
      </c>
      <c r="N86" s="300" t="n">
        <f aca="false">(N85/(1-N70))*N70</f>
        <v>168.17862061689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20021.2643591536</v>
      </c>
      <c r="C87" s="473"/>
      <c r="D87" s="475"/>
      <c r="E87" s="466" t="n">
        <f aca="false">E86+E85</f>
        <v>910.057470870618</v>
      </c>
      <c r="F87" s="63"/>
      <c r="G87" s="285" t="s">
        <v>116</v>
      </c>
      <c r="H87" s="133" t="n">
        <f aca="false">IF(H110="YES",((H85+H86)-K114),(H85+H86))</f>
        <v>24174.6627694668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20021.2643591536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22.14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21.648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18.04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910.057470870618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895.357880350623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741.528309598281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932.197470870618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917.005880350623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759.568309598281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895.357880350623</v>
      </c>
      <c r="H127" s="177" t="n">
        <f aca="false">IF(G105="YES", H89*H57, 0)</f>
        <v>129.888</v>
      </c>
      <c r="I127" s="177"/>
      <c r="J127" s="334" t="n">
        <f aca="false">H91</f>
        <v>917.005880350623</v>
      </c>
      <c r="K127" s="216"/>
      <c r="L127" s="63"/>
      <c r="M127" s="333" t="n">
        <f aca="false">N90</f>
        <v>741.528309598281</v>
      </c>
      <c r="N127" s="177" t="n">
        <f aca="false">IF(M105="YES", N89*N57, 0)</f>
        <v>108.24</v>
      </c>
      <c r="O127" s="177"/>
      <c r="P127" s="177" t="n">
        <f aca="false">N91</f>
        <v>759.568309598281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910.057470870618</v>
      </c>
      <c r="B128" s="321" t="n">
        <f aca="false">IF(A105="YES", B89, 0)</f>
        <v>22.14</v>
      </c>
      <c r="C128" s="325"/>
      <c r="D128" s="321" t="n">
        <f aca="false">B91</f>
        <v>932.197470870618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910.057470870618</v>
      </c>
      <c r="C131" s="317"/>
      <c r="D131" s="38" t="n">
        <f aca="false">IF(A105="YES", B89*B57, 0)</f>
        <v>22.14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5372.14728210374</v>
      </c>
      <c r="H133" s="103" t="n">
        <f aca="false">IF(G105="YES", H89*H57, 0)</f>
        <v>129.888</v>
      </c>
      <c r="I133" s="221"/>
      <c r="J133" s="184" t="n">
        <f aca="false">H91*H57</f>
        <v>5502.03528210374</v>
      </c>
      <c r="K133" s="216"/>
      <c r="L133" s="63"/>
      <c r="M133" s="185" t="n">
        <f aca="false">N90*N57</f>
        <v>4449.16985758969</v>
      </c>
      <c r="N133" s="103" t="n">
        <f aca="false">IF(M105="YES", N89*N57, 0)</f>
        <v>108.24</v>
      </c>
      <c r="O133" s="221"/>
      <c r="P133" s="184" t="n">
        <f aca="false">N91*N57</f>
        <v>4557.40985758969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932.197470870618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111" t="n">
        <f aca="false">E15*0.000006</f>
        <v>0.127638</v>
      </c>
      <c r="N136" s="103" t="n">
        <f aca="false">IF(M105="YES", E15*0.000002, 0)</f>
        <v>0.042546</v>
      </c>
      <c r="O136" s="103"/>
      <c r="P136" s="103" t="n">
        <f aca="false">M136+N136</f>
        <v>0.170184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910.057470870618</v>
      </c>
      <c r="B137" s="38" t="n">
        <f aca="false">IF(A105="YES", B89, 0)</f>
        <v>22.14</v>
      </c>
      <c r="C137" s="317"/>
      <c r="D137" s="38" t="n">
        <f aca="false">B91</f>
        <v>932.197470870618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8.118</v>
      </c>
      <c r="H142" s="103" t="n">
        <f aca="false">G102-100</f>
        <v>99.99</v>
      </c>
      <c r="I142" s="103"/>
      <c r="J142" s="103" t="n">
        <f aca="false">(H139+J139+G142+H142)-H145</f>
        <v>355.174666666667</v>
      </c>
      <c r="K142" s="105"/>
      <c r="L142" s="63"/>
      <c r="M142" s="111" t="n">
        <f aca="false">IF(M105="YES", ((B36*N105)*0.1)*(M130), 0)</f>
        <v>8.118</v>
      </c>
      <c r="N142" s="103" t="n">
        <f aca="false">M102-100</f>
        <v>99.99</v>
      </c>
      <c r="O142" s="103"/>
      <c r="P142" s="103" t="n">
        <f aca="false">(N139+P139+M142+N142)-N145</f>
        <v>355.174666666667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150.68375</v>
      </c>
      <c r="B148" s="103" t="n">
        <f aca="false">B102</f>
        <v>0</v>
      </c>
      <c r="C148" s="38"/>
      <c r="D148" s="38" t="n">
        <f aca="false">IF(A105="YES", (B40*B105)*B125, 0)*0.1</f>
        <v>8.118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258.79175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917.005880350623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759.568309598281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932.197470870618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910.057470870618</v>
      </c>
      <c r="B177" s="355" t="n">
        <f aca="false">IF(A105="YES", B89, 0)</f>
        <v>22.14</v>
      </c>
      <c r="C177" s="357"/>
      <c r="D177" s="355" t="n">
        <f aca="false">B91</f>
        <v>932.197470870618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910.057470870618</v>
      </c>
      <c r="C180" s="353"/>
      <c r="D180" s="103" t="n">
        <f aca="false">IF(A105="YES", B89*B57, 0)</f>
        <v>22.14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932.197470870618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910.057470870618</v>
      </c>
      <c r="B186" s="103" t="n">
        <f aca="false">IF(A105="YES", B89, 0)</f>
        <v>22.14</v>
      </c>
      <c r="C186" s="353"/>
      <c r="D186" s="103" t="n">
        <f aca="false">B91</f>
        <v>932.197470870618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150.68375</v>
      </c>
      <c r="B197" s="103" t="n">
        <f aca="false">B102</f>
        <v>0</v>
      </c>
      <c r="C197" s="103"/>
      <c r="D197" s="103" t="n">
        <f aca="false">IF(A105="YES", (B40*B105)*B125, 0)*0.1</f>
        <v>8.118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258.79175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150.68375</v>
      </c>
      <c r="C211" s="320" t="s">
        <v>217</v>
      </c>
      <c r="D211" s="370" t="n">
        <f aca="false">B225+E221+B221+B223</f>
        <v>181.17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1800.64625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150.68375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1800.64625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81.18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168.17862061689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385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9709.152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9777.69179830577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814.807649858814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886.807649858814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0</v>
      </c>
      <c r="C102" s="107"/>
      <c r="D102" s="107" t="n">
        <v>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814.807649858814</v>
      </c>
      <c r="B128" s="321" t="n">
        <f aca="false">IF(A105="YES", B89, 0)</f>
        <v>72</v>
      </c>
      <c r="C128" s="326"/>
      <c r="D128" s="321" t="n">
        <f aca="false">B91</f>
        <v>886.807649858814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814.807649858814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886.807649858814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814.807649858814</v>
      </c>
      <c r="B137" s="38" t="n">
        <f aca="false">IF(A105="YES", B89, 0)</f>
        <v>72</v>
      </c>
      <c r="C137" s="317"/>
      <c r="D137" s="38" t="n">
        <f aca="false">B91</f>
        <v>886.807649858814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886.807649858814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814.807649858814</v>
      </c>
      <c r="B171" s="355" t="n">
        <f aca="false">IF(A105="YES", B89, 0)</f>
        <v>72</v>
      </c>
      <c r="C171" s="358"/>
      <c r="D171" s="355" t="n">
        <f aca="false">B91</f>
        <v>886.807649858814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814.807649858814</v>
      </c>
      <c r="C174" s="353"/>
      <c r="D174" s="103" t="n">
        <f aca="false">IF(A105="YES", B89*B57, 0)</f>
        <v>72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886.807649858814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814.807649858814</v>
      </c>
      <c r="B180" s="103" t="n">
        <f aca="false">IF(A105="YES", B89, 0)</f>
        <v>72</v>
      </c>
      <c r="C180" s="353"/>
      <c r="D180" s="103" t="n">
        <f aca="false">B91</f>
        <v>886.807649858814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4938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2020-12-02T11:02:33Z</dcterms:created>
  <dc:creator>Kushal Panchal</dc:creator>
  <dc:description/>
  <dc:language>en-US</dc:language>
  <cp:lastModifiedBy/>
  <dcterms:modified xsi:type="dcterms:W3CDTF">2023-08-18T11:49:04Z</dcterms:modified>
  <cp:revision>875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