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CH (Formula 3) - PCH" sheetId="1" state="visible" r:id="rId2"/>
    <sheet name="PersonalContractPurchase" sheetId="2" state="visible" r:id="rId3"/>
    <sheet name="ContractPurchase" sheetId="3" state="visible" r:id="rId4"/>
    <sheet name="HirePurchaseRegulated" sheetId="4" state="visible" r:id="rId5"/>
    <sheet name="Formula1-FL" sheetId="5" state="visible" r:id="rId6"/>
    <sheet name="Formula1-PCH" sheetId="6" state="visible" r:id="rId7"/>
    <sheet name="Formula1-BCH" sheetId="7" state="visible" r:id="rId8"/>
    <sheet name="FL (Formula 2) - BCH, PCH, FL" sheetId="8" state="visible" r:id="rId9"/>
    <sheet name="BCH (Formula 3) - BCH" sheetId="9" state="visible" r:id="rId10"/>
    <sheet name="HirePurchaseNonRegulated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<sst xmlns="http://schemas.openxmlformats.org/spreadsheetml/2006/main" count="4396" uniqueCount="260">
  <si>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</si>
  <si>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</si>
  <si>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</si>
  <si>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</si>
  <si>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</si>
  <si>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</si>
  <si>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</si>
  <si>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</si>
  <si>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</si>
  <si>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</si>
  <si>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</si>
  <si>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</si>
  <si>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</si>
  <si>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</si>
  <si>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</si>
  <si>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</si>
  <si>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</si>
  <si>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</si>
  <si>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</si>
  <si>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</si>
  <si>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</si>
  <si>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</si>
  <si>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</si>
  <si>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</si>
  <si>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</si>
  <si>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</si>
  <si>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</si>
  <si>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</si>
  <si>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</si>
  <si>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</si>
  <si>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</si>
  <si>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</si>
  <si>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</si>
  <si>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</si>
  <si>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</si>
  <si>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</si>
  <si>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</si>
  <si>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</si>
  <si>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</si>
  <si>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</si>
  <si>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</si>
  <si>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</si>
  <si>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</si>
  <si>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</si>
  <si>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</si>
  <si>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</si>
  <si>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</si>
  <si>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</si>
  <si>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</si>
  <si>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</si>
  <si>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</si>
  <si>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Monthly maintenance rental (Ex. VAT)</t>
  </si>
  <si>
    <t xml:space="preserve">Total monthly rental (Ex. VAT)</t>
  </si>
  <si>
    <t xml:space="preserve">Document fee (Ex. VAT)</t>
  </si>
  <si>
    <t xml:space="preserve">Calculation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</si>
  <si>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</si>
  <si>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</si>
  <si>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</si>
  <si>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Monthly Fianance Cost</t>
  </si>
  <si>
    <t xml:space="preserve">Maintenanace Cost</t>
  </si>
  <si>
    <t xml:space="preserve">Holding Cost (Monthly)</t>
  </si>
  <si>
    <t xml:space="preserve">Upload document</t>
  </si>
  <si>
    <t xml:space="preserve">Fianance Cost</t>
  </si>
  <si>
    <t xml:space="preserve">    Own book holding cost matrix</t>
  </si>
  <si>
    <t xml:space="preserve">Term (months)</t>
  </si>
  <si>
    <t xml:space="preserve">Mileage per annum</t>
  </si>
  <si>
    <t xml:space="preserve">`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</si>
  <si>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</si>
  <si>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</si>
  <si>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</si>
  <si>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</si>
  <si>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</si>
  <si>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</si>
  <si>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</si>
  <si>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</si>
  <si>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</si>
  <si>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</si>
  <si>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</si>
  <si>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</si>
  <si>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</si>
  <si>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</si>
  <si>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</si>
  <si>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</si>
  <si>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</si>
  <si>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</si>
  <si>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</si>
  <si>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</si>
  <si>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</si>
  <si>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</si>
  <si>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</si>
  <si>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</si>
  <si>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</si>
  <si>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</si>
  <si>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</si>
  <si>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- Personal Contract Hire</t>
  </si>
  <si>
    <t xml:space="preserve">       Own book customer quote</t>
  </si>
  <si>
    <t xml:space="preserve">Contract type</t>
  </si>
  <si>
    <t xml:space="preserve">Order deposit (No VAT)</t>
  </si>
  <si>
    <t xml:space="preserve">Business Contract Hire</t>
  </si>
  <si>
    <t xml:space="preserve">Document fee (Inc. VAT)</t>
  </si>
  <si>
    <t xml:space="preserve">Upsell (Ex. VAT)</t>
  </si>
  <si>
    <t xml:space="preserve">Referral commission (Ex. VAT)</t>
  </si>
  <si>
    <t xml:space="preserve"> Spread rentals initial payment </t>
  </si>
  <si>
    <t xml:space="preserve"> Spread rentals with 3 down </t>
  </si>
  <si>
    <t xml:space="preserve">Maintenance include</t>
  </si>
  <si>
    <t xml:space="preserve">Maintenance margin %</t>
  </si>
  <si>
    <t xml:space="preserve">Initial payment</t>
  </si>
  <si>
    <t xml:space="preserve"> Spread rentals with 6 down </t>
  </si>
  <si>
    <t xml:space="preserve"> Spread rentals with 9 down </t>
  </si>
  <si>
    <t xml:space="preserve"> Spread rentals with 12 down </t>
  </si>
  <si>
    <t xml:space="preserve"> Terminal pause with 3 down </t>
  </si>
  <si>
    <t xml:space="preserve">        Part exchange</t>
  </si>
  <si>
    <t xml:space="preserve"> Terminal Pause with 6 down </t>
  </si>
  <si>
    <t xml:space="preserve"> Terminal Pause with 9 down 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</si>
  <si>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</si>
  <si>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</si>
  <si>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</si>
  <si>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</si>
  <si>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</si>
  <si>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</si>
  <si>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</si>
  <si>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</si>
  <si>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</si>
  <si>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</si>
  <si>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</si>
  <si>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</si>
  <si>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</si>
  <si>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</si>
  <si>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</si>
  <si>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</si>
  <si>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</si>
  <si>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</si>
  <si>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</si>
  <si>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(In. VAT)</t>
  </si>
  <si>
    <t xml:space="preserve">Default commission (Ex. VAT)</t>
  </si>
  <si>
    <t xml:space="preserve">Upsell commission (Ex.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</si>
  <si>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</si>
  <si>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</si>
  <si>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</si>
  <si>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</si>
  <si>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</si>
  <si>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</si>
  <si>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</si>
  <si>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</si>
  <si>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</si>
  <si>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</si>
  <si>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</si>
  <si>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</si>
  <si>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</si>
  <si>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</si>
  <si>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</si>
  <si>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</si>
  <si>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</si>
  <si>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</si>
  <si>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</si>
  <si>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</si>
  <si>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</si>
  <si>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</si>
  <si>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</si>
  <si>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</si>
  <si>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</si>
  <si>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</si>
  <si>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</si>
  <si>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</si>
  <si>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</si>
  <si>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</si>
  <si>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</si>
  <si>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</si>
  <si>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</si>
  <si>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</si>
  <si>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</si>
  <si>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</si>
  <si>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</si>
  <si>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</si>
  <si>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</si>
  <si>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</si>
  <si>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</si>
  <si>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</si>
  <si>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</si>
  <si>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</si>
  <si>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</si>
  <si>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</si>
  <si>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</si>
  <si>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</si>
  <si>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</si>
  <si>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</si>
  <si>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</si>
  <si>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</si>
  <si>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</si>
  <si>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</si>
  <si>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</si>
  <si>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</si>
  <si>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</si>
  <si>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</si>
  <si>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</si>
  <si>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</si>
  <si>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</si>
  <si>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</si>
  <si>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</si>
  <si>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</si>
  <si>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</si>
  <si>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</si>
  <si>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</si>
  <si>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</si>
  <si>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</si>
  <si>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</si>
  <si>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</si>
  <si>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</si>
  <si>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</si>
  <si>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</si>
  <si>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</si>
  <si>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</si>
  <si>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</si>
  <si>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</si>
  <si>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</si>
  <si>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</si>
  <si>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</si>
  <si>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</si>
  <si>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</si>
  <si>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</si>
  <si>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</si>
  <si>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</si>
  <si>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</si>
  <si>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</si>
  <si>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</si>
  <si>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</si>
  <si>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</si>
  <si>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</si>
  <si>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</si>
  <si>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</si>
  <si>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</si>
  <si>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</si>
  <si>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</si>
  <si>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</si>
  <si>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</si>
  <si>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</si>
  <si>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</si>
  <si>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</si>
  <si>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Customer Quote - Finance Lease</t>
  </si>
  <si>
    <t xml:space="preserve">200</t>
  </si>
  <si>
    <t xml:space="preserve">With balloon</t>
  </si>
  <si>
    <t xml:space="preserve">Monthly finance rental (Ex. VAT)</t>
  </si>
  <si>
    <t xml:space="preserve">Initial finance rental (Ex. VAT)</t>
  </si>
  <si>
    <t xml:space="preserve">Final Balloon Payment</t>
  </si>
  <si>
    <t xml:space="preserve">Percentage of sales proceeds to customer</t>
  </si>
  <si>
    <t xml:space="preserve">Customer Quote - Business Contract Hire</t>
  </si>
  <si>
    <t xml:space="preserve">Select Caste</t>
  </si>
  <si>
    <t xml:space="preserve"> Terminal pause with 9 down </t>
  </si>
  <si>
    <t xml:space="preserve">Referrer commission (Ex. VAT)</t>
  </si>
  <si>
    <t xml:space="preserve">Optional final payment</t>
  </si>
  <si>
    <t xml:space="preserve">Final balloon payment (Ex. VAT)</t>
  </si>
  <si>
    <t xml:space="preserve">Percentage of sale proceed to customer</t>
  </si>
  <si>
    <t xml:space="preserve">Secondary hire period rental (Ex. VAT)</t>
  </si>
  <si>
    <t xml:space="preserve">RFL included?</t>
  </si>
  <si>
    <t xml:space="preserve">Referrer commision</t>
  </si>
  <si>
    <t xml:space="preserve">Hire purchase - NON Regulated</t>
  </si>
  <si>
    <t>NO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</si>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</sst>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0%"/>
    <numFmt numFmtId="171" formatCode="#,##0.00"/>
    <numFmt numFmtId="172" formatCode="#,##0.000000000"/>
    <numFmt numFmtId="173" formatCode="#,##0.0"/>
    <numFmt numFmtId="174" formatCode="0.0000000000000"/>
    <numFmt numFmtId="175" formatCode="0.0000"/>
    <numFmt numFmtId="176" formatCode="0.000%"/>
    <numFmt numFmtId="177" formatCode="#,##0.00000"/>
    <numFmt numFmtId="178" formatCode="#,##0.000"/>
    <numFmt numFmtId="179" formatCode="#,##0.0000000000"/>
    <numFmt numFmtId="180" formatCode="#,##0.0000"/>
    <numFmt numFmtId="181" formatCode="\£#,##0.00000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75" colorId="64" zoomScale="75" zoomScaleNormal="75" zoomScalePageLayoutView="100" workbookViewId="0">
      <selection pane="topLeft" activeCell="H87" activeCellId="0" sqref="H87"/>
    </sheetView>
  </sheetViews>
  <sheetFormatPr defaultColWidth="11.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0</v>
      </c>
      <c r="E32" s="38"/>
      <c r="F32" s="2"/>
      <c r="G32" s="39" t="s">
        <v>43</v>
      </c>
      <c r="H32" s="37" t="n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n">
        <v>12.0</v>
      </c>
      <c r="C35" s="34"/>
      <c r="D35" s="34" t="n">
        <v>5000.0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256</v>
      </c>
      <c r="C38" s="34"/>
      <c r="D38" s="49" t="n">
        <v>500.0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53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0.0</v>
      </c>
      <c r="B41" s="55" t="n">
        <f aca="false">IF(B38="YES", D38+A41, D38)</f>
        <v>500</v>
      </c>
      <c r="C41" s="55"/>
      <c r="D41" s="49" t="n">
        <v>12.0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55</v>
      </c>
      <c r="B43" s="53" t="s">
        <v>56</v>
      </c>
      <c r="C43" s="42"/>
      <c r="D43" s="53" t="s">
        <v>57</v>
      </c>
      <c r="E43" s="57"/>
      <c r="F43" s="2"/>
      <c r="G43" s="2" t="s">
        <v>58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1.0</v>
      </c>
      <c r="B44" s="49" t="n">
        <v>0.0</v>
      </c>
      <c r="C44" s="49"/>
      <c r="D44" s="59" t="n">
        <f aca="false">A44+B44</f>
        <v>1</v>
      </c>
      <c r="E44" s="59"/>
      <c r="F44" s="2"/>
      <c r="G44" s="2" t="s">
        <v>59</v>
      </c>
      <c r="H44" s="50" t="n">
        <f aca="false">((A41*(B35-1))+D32)/B35</f>
        <v>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501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61</v>
      </c>
      <c r="B46" s="42"/>
      <c r="C46" s="42"/>
      <c r="D46" s="42"/>
      <c r="E46" s="57"/>
      <c r="F46" s="2"/>
      <c r="G46" s="2" t="s">
        <v>62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/>
      <c r="H49" s="66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0.07</v>
      </c>
      <c r="C63" s="13"/>
      <c r="D63" s="13"/>
      <c r="E63" s="14"/>
      <c r="F63" s="2"/>
      <c r="G63" s="6" t="s">
        <v>68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4051.95</v>
      </c>
      <c r="C64" s="13"/>
      <c r="D64" s="12" t="n">
        <f aca="false">B64</f>
        <v>4051.95</v>
      </c>
      <c r="E64" s="14"/>
      <c r="F64" s="2"/>
      <c r="G64" s="72" t="s">
        <v>69</v>
      </c>
      <c r="H64" s="80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0.005</v>
      </c>
      <c r="C66" s="13"/>
      <c r="D66" s="13"/>
      <c r="E66" s="14"/>
      <c r="F66" s="2"/>
      <c r="G66" s="6" t="s">
        <v>71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B61*B66</f>
        <v>289.425</v>
      </c>
      <c r="C67" s="13"/>
      <c r="D67" s="12"/>
      <c r="E67" s="14"/>
      <c r="F67" s="2"/>
      <c r="G67" s="72" t="s">
        <v>72</v>
      </c>
      <c r="H67" s="80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200.0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5.0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60</v>
      </c>
      <c r="C73" s="13"/>
      <c r="D73" s="12" t="n">
        <f aca="false">B73+B71</f>
        <v>260</v>
      </c>
      <c r="E73" s="14"/>
      <c r="F73" s="2"/>
      <c r="G73" s="72" t="s">
        <v>78</v>
      </c>
      <c r="H73" s="80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165.0</v>
      </c>
      <c r="C74" s="13"/>
      <c r="D74" s="13"/>
      <c r="E74" s="14"/>
      <c r="F74" s="2"/>
      <c r="G74" s="78" t="s">
        <v>79</v>
      </c>
      <c r="H74" s="83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f aca="false">IF(G18&gt;40000, 325, 0)</f>
        <v>355.0</v>
      </c>
      <c r="C75" s="13"/>
      <c r="D75" s="13"/>
      <c r="E75" s="14"/>
      <c r="F75" s="2"/>
      <c r="G75" s="3" t="s">
        <v>80</v>
      </c>
      <c r="H75" s="84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40.8333333333333</v>
      </c>
      <c r="C76" s="13"/>
      <c r="D76" s="12" t="n">
        <f aca="false">B76</f>
        <v>40.8333333333333</v>
      </c>
      <c r="E76" s="14"/>
      <c r="F76" s="2"/>
      <c r="G76" s="72" t="s">
        <v>81</v>
      </c>
      <c r="H76" s="80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83" t="n">
        <f aca="false">B102</f>
        <v>0.0</v>
      </c>
      <c r="C77" s="13"/>
      <c r="D77" s="12" t="n">
        <f aca="false">B77</f>
        <v>0</v>
      </c>
      <c r="E77" s="14"/>
      <c r="F77" s="2"/>
      <c r="G77" s="78" t="s">
        <v>82</v>
      </c>
      <c r="H77" s="83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200.0</v>
      </c>
      <c r="C79" s="13"/>
      <c r="D79" s="12" t="n">
        <f aca="false">B79</f>
        <v>200</v>
      </c>
      <c r="E79" s="14"/>
      <c r="F79" s="2"/>
      <c r="G79" s="3" t="s">
        <v>84</v>
      </c>
      <c r="H79" s="84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200.0</v>
      </c>
      <c r="C80" s="13"/>
      <c r="D80" s="12" t="n">
        <f aca="false">B80</f>
        <v>200</v>
      </c>
      <c r="E80" s="14"/>
      <c r="F80" s="2"/>
      <c r="G80" s="85" t="s">
        <v>85</v>
      </c>
      <c r="H80" s="8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4752.78333333333</v>
      </c>
      <c r="C81" s="13"/>
      <c r="D81" s="13"/>
      <c r="E81" s="14"/>
      <c r="F81" s="2"/>
      <c r="G81" s="87" t="s">
        <v>86</v>
      </c>
      <c r="H81" s="88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396.065277777778</v>
      </c>
      <c r="C82" s="13"/>
      <c r="D82" s="13"/>
      <c r="E82" s="14"/>
      <c r="F82" s="2"/>
      <c r="G82" s="6" t="s">
        <v>87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H46</f>
        <v>501</v>
      </c>
      <c r="C83" s="13"/>
      <c r="D83" s="13"/>
      <c r="E83" s="14"/>
      <c r="F83" s="2"/>
      <c r="G83" s="89" t="s">
        <v>88</v>
      </c>
      <c r="H83" s="90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((B83*(H29)+B81))*1.2</f>
        <v>12917.74</v>
      </c>
      <c r="C85" s="13"/>
      <c r="D85" s="13"/>
      <c r="E85" s="14"/>
      <c r="F85" s="2"/>
      <c r="G85" s="75" t="s">
        <v>89</v>
      </c>
      <c r="H85" s="91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(((B83*(H29))+B81)/(1-B70))*B70</f>
        <v>91.1901774909238</v>
      </c>
      <c r="C86" s="13"/>
      <c r="D86" s="13"/>
      <c r="E86" s="14"/>
      <c r="F86" s="2"/>
      <c r="G86" s="6" t="s">
        <v>90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IF(B110="YES",((B85+B86)-A151-E114),((B85+B86)-A151))</f>
        <v>13008.9301774909</v>
      </c>
      <c r="C87" s="13"/>
      <c r="D87" s="13"/>
      <c r="E87" s="14"/>
      <c r="F87" s="2"/>
      <c r="G87" s="72" t="s">
        <v>91</v>
      </c>
      <c r="H87" s="80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(A41+(A41*B105))</f>
        <v>0</v>
      </c>
      <c r="C89" s="13"/>
      <c r="D89" s="13"/>
      <c r="E89" s="14"/>
      <c r="F89" s="2"/>
      <c r="G89" s="87" t="s">
        <v>92</v>
      </c>
      <c r="H89" s="88" t="n">
        <f aca="false">(A41+(A41*H105))*1.2</f>
        <v>0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IF(B99=Z102, (B87-D105)/(B58), B87/(B57+B58))</f>
        <v>1084.07751479091</v>
      </c>
      <c r="C90" s="13"/>
      <c r="D90" s="13"/>
      <c r="E90" s="14"/>
      <c r="F90" s="2"/>
      <c r="G90" s="92" t="s">
        <v>93</v>
      </c>
      <c r="H90" s="9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1084.07751479091</v>
      </c>
      <c r="C91" s="13"/>
      <c r="D91" s="13"/>
      <c r="E91" s="14"/>
      <c r="F91" s="2"/>
      <c r="G91" s="94" t="s">
        <v>52</v>
      </c>
      <c r="H91" s="95" t="n">
        <f aca="false">IF(G105="YES", H90+H89, H90)</f>
        <v>1180.02508941778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94</v>
      </c>
      <c r="B94" s="27"/>
      <c r="C94" s="27"/>
      <c r="D94" s="27"/>
      <c r="E94" s="27"/>
      <c r="F94" s="2"/>
      <c r="G94" s="27" t="s">
        <v>94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95</v>
      </c>
      <c r="B96" s="28"/>
      <c r="C96" s="28"/>
      <c r="D96" s="28"/>
      <c r="E96" s="28"/>
      <c r="F96" s="2"/>
      <c r="G96" s="28" t="s">
        <v>95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96</v>
      </c>
      <c r="B98" s="13" t="s">
        <v>38</v>
      </c>
      <c r="C98" s="13"/>
      <c r="D98" s="13" t="s">
        <v>97</v>
      </c>
      <c r="E98" s="14"/>
      <c r="F98" s="2"/>
      <c r="G98" s="6" t="s">
        <v>96</v>
      </c>
      <c r="H98" s="13" t="s">
        <v>38</v>
      </c>
      <c r="I98" s="13"/>
      <c r="J98" s="13" t="s">
        <v>97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98</v>
      </c>
      <c r="B99" s="96" t="s">
        <v>247</v>
      </c>
      <c r="C99" s="96"/>
      <c r="D99" s="97" t="n">
        <v>1000.0</v>
      </c>
      <c r="E99" s="97"/>
      <c r="F99" s="2"/>
      <c r="G99" s="31" t="s">
        <v>98</v>
      </c>
      <c r="H99" s="96" t="s">
        <v>42</v>
      </c>
      <c r="I99" s="96"/>
      <c r="J99" s="97" t="n">
        <v>0</v>
      </c>
      <c r="K99" s="9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99</v>
      </c>
      <c r="B101" s="13" t="s">
        <v>100</v>
      </c>
      <c r="C101" s="13"/>
      <c r="D101" s="13" t="s">
        <v>101</v>
      </c>
      <c r="E101" s="14"/>
      <c r="F101" s="2"/>
      <c r="G101" s="6" t="s">
        <v>99</v>
      </c>
      <c r="H101" s="13" t="s">
        <v>100</v>
      </c>
      <c r="I101" s="13"/>
      <c r="J101" s="13" t="s">
        <v>101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98" t="n">
        <f aca="false">199.99*1.2</f>
        <v>199.99</v>
      </c>
      <c r="B102" s="97" t="n">
        <v>0.0</v>
      </c>
      <c r="C102" s="97"/>
      <c r="D102" s="97" t="n">
        <v>0</v>
      </c>
      <c r="E102" s="97"/>
      <c r="F102" s="2"/>
      <c r="G102" s="98" t="n">
        <f aca="false">199.99*1.2</f>
        <v>239.988</v>
      </c>
      <c r="H102" s="97" t="n">
        <v>1200</v>
      </c>
      <c r="I102" s="97"/>
      <c r="J102" s="97" t="n">
        <v>0</v>
      </c>
      <c r="K102" s="9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102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103</v>
      </c>
      <c r="AA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107</v>
      </c>
      <c r="AA104" s="2"/>
    </row>
    <row r="105" customFormat="false" ht="18.75" hidden="false" customHeight="true" outlineLevel="0" collapsed="false">
      <c r="A105" s="33" t="s">
        <v>256</v>
      </c>
      <c r="B105" s="99" t="n">
        <v>0.0</v>
      </c>
      <c r="C105" s="99"/>
      <c r="D105" s="97" t="s">
        <v>258</v>
      </c>
      <c r="E105" s="97"/>
      <c r="F105" s="2"/>
      <c r="G105" s="33" t="s">
        <v>25</v>
      </c>
      <c r="H105" s="99" t="n">
        <v>0.2</v>
      </c>
      <c r="I105" s="99"/>
      <c r="J105" s="97" t="n">
        <v>0</v>
      </c>
      <c r="K105" s="9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108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109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110</v>
      </c>
      <c r="AA107" s="2"/>
    </row>
    <row r="108" customFormat="false" ht="18.75" hidden="false" customHeight="true" outlineLevel="0" collapsed="false">
      <c r="A108" s="28" t="s">
        <v>111</v>
      </c>
      <c r="B108" s="28"/>
      <c r="C108" s="28"/>
      <c r="D108" s="28"/>
      <c r="E108" s="28"/>
      <c r="F108" s="2"/>
      <c r="G108" s="28" t="s">
        <v>111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112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113</v>
      </c>
    </row>
    <row r="110" customFormat="false" ht="18.75" hidden="false" customHeight="true" outlineLevel="0" collapsed="false">
      <c r="A110" s="6" t="s">
        <v>114</v>
      </c>
      <c r="B110" s="33" t="s">
        <v>257</v>
      </c>
      <c r="C110" s="13"/>
      <c r="D110" s="13"/>
      <c r="E110" s="14"/>
      <c r="F110" s="2"/>
      <c r="G110" s="6" t="s">
        <v>114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115</v>
      </c>
      <c r="B112" s="13"/>
      <c r="C112" s="13"/>
      <c r="D112" s="98" t="n">
        <v>10000.0</v>
      </c>
      <c r="E112" s="97" t="n">
        <v>6000.0</v>
      </c>
      <c r="F112" s="2"/>
      <c r="G112" s="6" t="s">
        <v>115</v>
      </c>
      <c r="H112" s="13"/>
      <c r="I112" s="13"/>
      <c r="J112" s="98" t="n">
        <v>10000</v>
      </c>
      <c r="K112" s="97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116</v>
      </c>
      <c r="B113" s="13"/>
      <c r="C113" s="13"/>
      <c r="D113" s="100" t="n">
        <f aca="false">E113</f>
        <v>7000</v>
      </c>
      <c r="E113" s="97" t="n">
        <v>2000.0</v>
      </c>
      <c r="F113" s="2"/>
      <c r="G113" s="6" t="s">
        <v>116</v>
      </c>
      <c r="H113" s="13"/>
      <c r="I113" s="13"/>
      <c r="J113" s="100" t="n">
        <f aca="false">K113</f>
        <v>7000</v>
      </c>
      <c r="K113" s="97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117</v>
      </c>
      <c r="B114" s="13"/>
      <c r="C114" s="13"/>
      <c r="D114" s="100" t="n">
        <f aca="false">D112-D113</f>
        <v>3000</v>
      </c>
      <c r="E114" s="101" t="n">
        <f aca="false">E112-E113</f>
        <v>-2000</v>
      </c>
      <c r="F114" s="2"/>
      <c r="G114" s="6" t="s">
        <v>117</v>
      </c>
      <c r="H114" s="13"/>
      <c r="I114" s="13"/>
      <c r="J114" s="100" t="n">
        <f aca="false">J112-J113</f>
        <v>3000</v>
      </c>
      <c r="K114" s="101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118</v>
      </c>
      <c r="B115" s="13"/>
      <c r="C115" s="13"/>
      <c r="D115" s="100" t="n">
        <f aca="false">D114-E114</f>
        <v>5000</v>
      </c>
      <c r="E115" s="14"/>
      <c r="F115" s="2"/>
      <c r="G115" s="6" t="s">
        <v>118</v>
      </c>
      <c r="H115" s="13"/>
      <c r="I115" s="13"/>
      <c r="J115" s="100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119</v>
      </c>
      <c r="B117" s="76"/>
      <c r="C117" s="76"/>
      <c r="D117" s="76"/>
      <c r="E117" s="91" t="n">
        <f aca="false">D99</f>
        <v>1000</v>
      </c>
      <c r="F117" s="2"/>
      <c r="G117" s="75" t="s">
        <v>119</v>
      </c>
      <c r="H117" s="76"/>
      <c r="I117" s="76"/>
      <c r="J117" s="76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120</v>
      </c>
      <c r="B118" s="13"/>
      <c r="C118" s="13"/>
      <c r="D118" s="13"/>
      <c r="E118" s="11" t="n">
        <f aca="false">A102</f>
        <v>239.988</v>
      </c>
      <c r="F118" s="2"/>
      <c r="G118" s="6" t="s">
        <v>120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121</v>
      </c>
      <c r="B119" s="73"/>
      <c r="C119" s="73"/>
      <c r="D119" s="73"/>
      <c r="E119" s="80" t="n">
        <f aca="false">(E118+E117)-D115</f>
        <v>-3760.012</v>
      </c>
      <c r="F119" s="2"/>
      <c r="G119" s="102" t="s">
        <v>121</v>
      </c>
      <c r="H119" s="73"/>
      <c r="I119" s="73"/>
      <c r="J119" s="73"/>
      <c r="K119" s="80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122</v>
      </c>
      <c r="B122" s="28"/>
      <c r="C122" s="28"/>
      <c r="D122" s="28"/>
      <c r="E122" s="28"/>
      <c r="F122" s="2"/>
      <c r="G122" s="28" t="s">
        <v>122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123</v>
      </c>
      <c r="B124" s="103" t="n">
        <v>0.0</v>
      </c>
      <c r="C124" s="103"/>
      <c r="D124" s="13"/>
      <c r="E124" s="14"/>
      <c r="F124" s="2"/>
      <c r="G124" s="6" t="s">
        <v>123</v>
      </c>
      <c r="H124" s="103" t="n">
        <v>0</v>
      </c>
      <c r="I124" s="103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64</v>
      </c>
      <c r="B126" s="13" t="s">
        <v>65</v>
      </c>
      <c r="C126" s="13"/>
      <c r="D126" s="13" t="s">
        <v>34</v>
      </c>
      <c r="E126" s="14"/>
      <c r="F126" s="2"/>
      <c r="G126" s="6" t="s">
        <v>64</v>
      </c>
      <c r="H126" s="13" t="s">
        <v>65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4" t="s">
        <v>124</v>
      </c>
      <c r="B129" s="105" t="s">
        <v>125</v>
      </c>
      <c r="C129" s="105"/>
      <c r="D129" s="105" t="s">
        <v>126</v>
      </c>
      <c r="E129" s="14"/>
      <c r="F129" s="2"/>
      <c r="G129" s="104" t="s">
        <v>124</v>
      </c>
      <c r="H129" s="105" t="s">
        <v>125</v>
      </c>
      <c r="I129" s="105"/>
      <c r="J129" s="105" t="s">
        <v>126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06"/>
    </row>
    <row r="130" customFormat="false" ht="18.75" hidden="false" customHeight="true" outlineLevel="0" collapsed="false">
      <c r="A130" s="107" t="n">
        <f aca="false">B90</f>
        <v>1084.07751479091</v>
      </c>
      <c r="B130" s="108" t="n">
        <f aca="false">IF(A105="YES", B89*B57, 0)</f>
        <v>0</v>
      </c>
      <c r="C130" s="108"/>
      <c r="D130" s="109" t="n">
        <f aca="false">B91</f>
        <v>1084.07751479091</v>
      </c>
      <c r="E130" s="110"/>
      <c r="F130" s="2"/>
      <c r="G130" s="107" t="n">
        <f aca="false">H90</f>
        <v>1180.02508941778</v>
      </c>
      <c r="H130" s="108" t="n">
        <f aca="false">IF(G105="YES", H89*H57, 0)</f>
        <v>0</v>
      </c>
      <c r="I130" s="108"/>
      <c r="J130" s="109" t="n">
        <f aca="false">H91</f>
        <v>1180.02508941778</v>
      </c>
      <c r="K130" s="1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06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06"/>
    </row>
    <row r="132" customFormat="false" ht="18.75" hidden="false" customHeight="true" outlineLevel="0" collapsed="false">
      <c r="A132" s="6" t="s">
        <v>127</v>
      </c>
      <c r="B132" s="13" t="s">
        <v>128</v>
      </c>
      <c r="C132" s="13"/>
      <c r="D132" s="13" t="s">
        <v>129</v>
      </c>
      <c r="E132" s="14"/>
      <c r="F132" s="2"/>
      <c r="G132" s="6" t="s">
        <v>127</v>
      </c>
      <c r="H132" s="13" t="s">
        <v>128</v>
      </c>
      <c r="I132" s="13"/>
      <c r="J132" s="13" t="s">
        <v>129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1084.07751479091</v>
      </c>
      <c r="B133" s="112" t="n">
        <f aca="false">IF(A105="YES", B89*B57, 0)</f>
        <v>0</v>
      </c>
      <c r="C133" s="32"/>
      <c r="D133" s="54" t="n">
        <f aca="false">B91*B57</f>
        <v>1084.07751479091</v>
      </c>
      <c r="E133" s="14"/>
      <c r="F133" s="2"/>
      <c r="G133" s="111" t="n">
        <f aca="false">H90*H57</f>
        <v>1180.02508941778</v>
      </c>
      <c r="H133" s="112" t="n">
        <f aca="false">IF(G105="YES", H89*H57, 0)</f>
        <v>0</v>
      </c>
      <c r="I133" s="32"/>
      <c r="J133" s="54" t="n">
        <f aca="false">H91*H57</f>
        <v>1180.02508941778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130</v>
      </c>
      <c r="B135" s="13" t="s">
        <v>131</v>
      </c>
      <c r="C135" s="13"/>
      <c r="D135" s="13" t="s">
        <v>132</v>
      </c>
      <c r="E135" s="14"/>
      <c r="F135" s="2"/>
      <c r="G135" s="6" t="s">
        <v>130</v>
      </c>
      <c r="H135" s="13" t="s">
        <v>131</v>
      </c>
      <c r="I135" s="13"/>
      <c r="J135" s="13" t="s">
        <v>132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0.35115</v>
      </c>
      <c r="B136" s="112" t="n">
        <f aca="false">IF(A105="YES", E15*0.000002, 0)</f>
        <v>0</v>
      </c>
      <c r="C136" s="112"/>
      <c r="D136" s="112" t="n">
        <f aca="false">A136+B136</f>
        <v>0.35115</v>
      </c>
      <c r="E136" s="110"/>
      <c r="F136" s="2"/>
      <c r="G136" s="113" t="n">
        <f aca="false">E15*0.000006</f>
        <v>0.35115</v>
      </c>
      <c r="H136" s="112" t="n">
        <f aca="false">IF(G105="YES", E15*0.000002, 0)</f>
        <v>0.11705</v>
      </c>
      <c r="I136" s="112"/>
      <c r="J136" s="112" t="n">
        <f aca="false">G136+H136</f>
        <v>0.4682</v>
      </c>
      <c r="K136" s="1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133</v>
      </c>
      <c r="B138" s="13" t="s">
        <v>134</v>
      </c>
      <c r="C138" s="13"/>
      <c r="D138" s="13" t="s">
        <v>135</v>
      </c>
      <c r="E138" s="14"/>
      <c r="F138" s="2"/>
      <c r="G138" s="6" t="s">
        <v>133</v>
      </c>
      <c r="H138" s="13" t="s">
        <v>134</v>
      </c>
      <c r="I138" s="13"/>
      <c r="J138" s="13" t="s">
        <v>135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239.988</v>
      </c>
      <c r="B139" s="112" t="n">
        <f aca="false">B67</f>
        <v>289.425</v>
      </c>
      <c r="C139" s="112"/>
      <c r="D139" s="112" t="n">
        <f aca="false">B102*0.9</f>
        <v>0</v>
      </c>
      <c r="E139" s="110"/>
      <c r="F139" s="2"/>
      <c r="G139" s="113" t="n">
        <f aca="false">G102</f>
        <v>239.988</v>
      </c>
      <c r="H139" s="112" t="n">
        <f aca="false">H67</f>
        <v>289.425</v>
      </c>
      <c r="I139" s="112"/>
      <c r="J139" s="112" t="n">
        <f aca="false">H102*0.9</f>
        <v>1080</v>
      </c>
      <c r="K139" s="11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136</v>
      </c>
      <c r="B141" s="13" t="s">
        <v>137</v>
      </c>
      <c r="C141" s="13"/>
      <c r="D141" s="13" t="s">
        <v>138</v>
      </c>
      <c r="E141" s="14"/>
      <c r="F141" s="2"/>
      <c r="G141" s="6" t="s">
        <v>136</v>
      </c>
      <c r="H141" s="13" t="s">
        <v>137</v>
      </c>
      <c r="I141" s="13"/>
      <c r="J141" s="13" t="s">
        <v>138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B89*0.1, 0)</f>
        <v>0</v>
      </c>
      <c r="B142" s="112" t="n">
        <f aca="false">A102-100</f>
        <v>139.988</v>
      </c>
      <c r="C142" s="112"/>
      <c r="D142" s="112" t="n">
        <f aca="false">(B139+D139+A142+B142)-B145</f>
        <v>302.240749602043</v>
      </c>
      <c r="E142" s="110"/>
      <c r="F142" s="2"/>
      <c r="G142" s="113" t="n">
        <f aca="false">IF(G105="YES", H89*0.1, 0)</f>
        <v>0</v>
      </c>
      <c r="H142" s="112" t="n">
        <f aca="false">G102-100</f>
        <v>139.988</v>
      </c>
      <c r="I142" s="112"/>
      <c r="J142" s="112" t="n">
        <f aca="false">(H139+J139+G142+H142)-H145</f>
        <v>1509.413</v>
      </c>
      <c r="K142" s="11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139</v>
      </c>
      <c r="B144" s="13" t="s">
        <v>140</v>
      </c>
      <c r="C144" s="13"/>
      <c r="D144" s="13"/>
      <c r="E144" s="14"/>
      <c r="F144" s="2"/>
      <c r="G144" s="6" t="s">
        <v>139</v>
      </c>
      <c r="H144" s="13" t="s">
        <v>140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IF((1200-B102) &lt;= 0, 0, (1200-B102))</f>
        <v>1200</v>
      </c>
      <c r="B145" s="112" t="n">
        <f aca="false">(B139+D139+A142+B142)*(A145/B64)</f>
        <v>127.172250397957</v>
      </c>
      <c r="C145" s="13"/>
      <c r="D145" s="13"/>
      <c r="E145" s="14"/>
      <c r="F145" s="2"/>
      <c r="G145" s="113" t="n">
        <f aca="false">IF((1200-H102) &lt;= 0, 0, (1200-H102))</f>
        <v>0</v>
      </c>
      <c r="H145" s="11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141</v>
      </c>
      <c r="B148" s="13"/>
      <c r="C148" s="13"/>
      <c r="D148" s="63"/>
      <c r="E148" s="64"/>
      <c r="F148" s="2"/>
      <c r="G148" s="62" t="s">
        <v>141</v>
      </c>
      <c r="H148" s="13"/>
      <c r="I148" s="13"/>
      <c r="J148" s="63"/>
      <c r="K148" s="6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5000</v>
      </c>
      <c r="C151" s="69"/>
      <c r="D151" s="13"/>
      <c r="E151" s="14"/>
      <c r="F151" s="2"/>
      <c r="G151" s="67"/>
      <c r="H151" s="69" t="n">
        <f aca="false">B51</f>
        <v>5000</v>
      </c>
      <c r="I151" s="69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12</v>
      </c>
      <c r="B152" s="71" t="n">
        <f aca="false">B91</f>
        <v>1084.07751479091</v>
      </c>
      <c r="C152" s="71"/>
      <c r="D152" s="13"/>
      <c r="E152" s="14"/>
      <c r="F152" s="2"/>
      <c r="G152" s="70" t="n">
        <f aca="false">A52</f>
        <v>12</v>
      </c>
      <c r="H152" s="71" t="n">
        <f aca="false">H91</f>
        <v>1180.02508941778</v>
      </c>
      <c r="I152" s="71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 Monthly in advance , Spread rentals initial payment , Spread rentals with 3 down , Spread rentals with 6 down , Spread rentals with 9 down , Spread rentals with 12 down , Terminal pause with 3 down , Terminal Pause with 6 down , Terminal Pause with 9 dow"</formula1>
      <formula2>0</formula2>
    </dataValidation>
    <dataValidation allowBlank="true" errorStyle="stop" operator="between" showDropDown="false" showErrorMessage="true" showInputMessage="false" sqref="B99" type="list">
      <formula1>" Monthly in advance , Spread rentals initial payment , Spread rentals with 3 down , Spread rentals with 6 down , Spread rentals with 9 down , Spread rentals with 12 down , Terminal pause with 3 down , Terminal Pause with 6 down , Terminal Pause with 9 dow"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142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26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143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144</v>
      </c>
      <c r="K27" s="151" t="n">
        <v>1</v>
      </c>
      <c r="P27" s="141"/>
    </row>
    <row r="28" customFormat="false" ht="22.05" hidden="false" customHeight="false" outlineLevel="0" collapsed="false">
      <c r="A28" s="152" t="s">
        <v>95</v>
      </c>
      <c r="B28" s="152"/>
      <c r="C28" s="152"/>
      <c r="D28" s="152"/>
      <c r="E28" s="152"/>
      <c r="F28" s="152"/>
      <c r="G28" s="152"/>
      <c r="H28" s="152"/>
      <c r="I28" s="115"/>
      <c r="J28" s="150" t="s">
        <v>145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123</v>
      </c>
      <c r="B30" s="49" t="s">
        <v>146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147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148</v>
      </c>
      <c r="F32" s="126"/>
      <c r="G32" s="126"/>
      <c r="H32" s="125"/>
      <c r="I32" s="115"/>
      <c r="J32" s="148" t="s">
        <v>149</v>
      </c>
      <c r="K32" s="155" t="n">
        <v>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922.920864561026</v>
      </c>
      <c r="F33" s="45"/>
      <c r="G33" s="45"/>
      <c r="H33" s="157"/>
      <c r="I33" s="115"/>
      <c r="J33" s="150" t="s">
        <v>150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151</v>
      </c>
      <c r="B35" s="126" t="s">
        <v>152</v>
      </c>
      <c r="C35" s="126"/>
      <c r="D35" s="141"/>
      <c r="E35" s="126" t="s">
        <v>153</v>
      </c>
      <c r="F35" s="159"/>
      <c r="G35" s="159"/>
      <c r="H35" s="157"/>
      <c r="I35" s="115"/>
      <c r="J35" s="160" t="s">
        <v>154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155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156</v>
      </c>
      <c r="B39" s="126" t="s">
        <v>157</v>
      </c>
      <c r="C39" s="126"/>
      <c r="D39" s="141"/>
      <c r="E39" s="126" t="s">
        <v>158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44866.9008605665</v>
      </c>
      <c r="N39" s="114" t="n">
        <f aca="false">K39-L39</f>
        <v>4010.59913943349</v>
      </c>
      <c r="P39" s="141"/>
    </row>
    <row r="40" customFormat="false" ht="17.35" hidden="false" customHeight="false" outlineLevel="0" collapsed="false">
      <c r="A40" s="97" t="n">
        <f aca="false">E36*A45/100</f>
        <v>27500</v>
      </c>
      <c r="B40" s="97" t="str">
        <f aca="false">IF(B26="YES",K42,"0")</f>
        <v>0</v>
      </c>
      <c r="C40" s="97"/>
      <c r="D40" s="97"/>
      <c r="E40" s="162" t="n">
        <f aca="false">K32</f>
        <v>0</v>
      </c>
      <c r="F40" s="159"/>
      <c r="G40" s="159"/>
      <c r="H40" s="157"/>
      <c r="J40" s="115" t="s">
        <v>159</v>
      </c>
      <c r="K40" s="115" t="n">
        <f aca="false">(A40)/1.2</f>
        <v>22916.6666666667</v>
      </c>
      <c r="L40" s="115" t="n">
        <f aca="false">K39-L39</f>
        <v>4010.59913943349</v>
      </c>
      <c r="N40" s="114" t="n">
        <f aca="false">N38-N39</f>
        <v>-1098.91913943349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160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161</v>
      </c>
      <c r="K42" s="115" t="n">
        <f aca="false">(K32/K36)*C45/100</f>
        <v>0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162</v>
      </c>
      <c r="K43" s="115"/>
      <c r="L43" s="115"/>
      <c r="P43" s="141"/>
    </row>
    <row r="44" customFormat="false" ht="17.35" hidden="false" customHeight="false" outlineLevel="0" collapsed="false">
      <c r="A44" s="167" t="s">
        <v>163</v>
      </c>
      <c r="B44" s="126"/>
      <c r="C44" s="12" t="s">
        <v>164</v>
      </c>
      <c r="D44" s="12"/>
      <c r="E44" s="126"/>
      <c r="F44" s="126"/>
      <c r="G44" s="126"/>
      <c r="H44" s="125"/>
      <c r="J44" s="115" t="s">
        <v>165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300" t="s">
        <v>166</v>
      </c>
      <c r="B45" s="126"/>
      <c r="C45" s="301" t="s">
        <v>166</v>
      </c>
      <c r="D45" s="301"/>
      <c r="E45" s="301"/>
      <c r="F45" s="126"/>
      <c r="G45" s="126"/>
      <c r="H45" s="125"/>
      <c r="J45" s="115" t="s">
        <v>167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168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169</v>
      </c>
      <c r="K47" s="115" t="n">
        <f aca="false">K45/K46</f>
        <v>922.920864561026</v>
      </c>
      <c r="L47" s="115" t="n">
        <f aca="false">L49-K42</f>
        <v>800</v>
      </c>
      <c r="M47" s="114" t="n">
        <f aca="false">K47-L47</f>
        <v>122.920864561025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170</v>
      </c>
      <c r="K48" s="115" t="n">
        <f aca="false">IF(B26="YES", K47+K42, K47)</f>
        <v>922.920864561026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171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922.920864561026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172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172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172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172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173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173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173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173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174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174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174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174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175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175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175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175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-30724158.023218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-756.0974340266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B66+(B66*0.5*(K29/12-1))</f>
        <v>0.02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(G158*B67)</f>
        <v>-538448.97589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B73*K29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26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26"/>
      <c r="G77" s="126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B77/K29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922.920864561026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922.920864561026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176</v>
      </c>
      <c r="B81" s="145" t="n">
        <f aca="false">G158</f>
        <v>-26922448.7945</v>
      </c>
      <c r="C81" s="126"/>
      <c r="D81" s="126"/>
      <c r="E81" s="181"/>
      <c r="F81" s="181"/>
      <c r="G81" s="181"/>
      <c r="H81" s="125"/>
      <c r="J81" s="143" t="s">
        <v>176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176</v>
      </c>
      <c r="T81" s="145" t="n">
        <f aca="false">Y158</f>
        <v>45468.749</v>
      </c>
      <c r="U81" s="126"/>
      <c r="V81" s="126"/>
      <c r="W81" s="181"/>
      <c r="X81" s="181"/>
      <c r="Y81" s="181"/>
      <c r="Z81" s="125"/>
      <c r="AB81" s="143" t="s">
        <v>176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159</v>
      </c>
      <c r="B82" s="125" t="n">
        <f aca="false">IF(A111 = "Yes", A40, 0)</f>
        <v>27500</v>
      </c>
      <c r="C82" s="126"/>
      <c r="D82" s="126"/>
      <c r="E82" s="181"/>
      <c r="F82" s="181"/>
      <c r="G82" s="181"/>
      <c r="H82" s="125"/>
      <c r="J82" s="120" t="s">
        <v>159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159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159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177</v>
      </c>
      <c r="B83" s="302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177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177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177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178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178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178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178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179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179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179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179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180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180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180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180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181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181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181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181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182</v>
      </c>
      <c r="B88" s="125" t="n">
        <f aca="false">B81-B86</f>
        <v>-26943525.5597577</v>
      </c>
      <c r="C88" s="126"/>
      <c r="D88" s="126"/>
      <c r="E88" s="181"/>
      <c r="F88" s="181"/>
      <c r="G88" s="181"/>
      <c r="H88" s="125"/>
      <c r="J88" s="120" t="s">
        <v>182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182</v>
      </c>
      <c r="T88" s="125" t="n">
        <f aca="false">T81-T86</f>
        <v>26865.8831902377</v>
      </c>
      <c r="U88" s="126"/>
      <c r="V88" s="126"/>
      <c r="W88" s="181"/>
      <c r="X88" s="181"/>
      <c r="Y88" s="181"/>
      <c r="Z88" s="125"/>
      <c r="AB88" s="120" t="s">
        <v>182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183</v>
      </c>
      <c r="B89" s="125" t="n">
        <f aca="false">(B88/B87)</f>
        <v>-876883.796345538</v>
      </c>
      <c r="C89" s="126"/>
      <c r="D89" s="126"/>
      <c r="E89" s="181"/>
      <c r="F89" s="181"/>
      <c r="G89" s="181"/>
      <c r="H89" s="125"/>
      <c r="J89" s="120" t="s">
        <v>183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183</v>
      </c>
      <c r="T89" s="125" t="n">
        <f aca="false">(T88/T87)</f>
        <v>927.687248290581</v>
      </c>
      <c r="U89" s="126"/>
      <c r="V89" s="126"/>
      <c r="W89" s="181"/>
      <c r="X89" s="181"/>
      <c r="Y89" s="181"/>
      <c r="Z89" s="125"/>
      <c r="AB89" s="120" t="s">
        <v>183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-30690932.8720938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32469.0536901703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(((B89*(B85))+B77)/(1-B71))*B71</f>
        <v>-0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-30690932.8720938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32469.0536901703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303" t="str">
        <f aca="false">IF(B26="YES",((E40/B85)*(1+A108)),"0")</f>
        <v>0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0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0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0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-876883.796345538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927.687248290581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B94+B95</f>
        <v>-876883.796345538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1477.31306457009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927.687248290581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927.687248290581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255</v>
      </c>
      <c r="B100" s="116"/>
      <c r="C100" s="116"/>
      <c r="D100" s="116"/>
      <c r="E100" s="116"/>
      <c r="F100" s="116"/>
      <c r="G100" s="116"/>
      <c r="H100" s="116"/>
      <c r="J100" s="116" t="s">
        <v>185</v>
      </c>
      <c r="K100" s="116"/>
      <c r="L100" s="116"/>
      <c r="M100" s="116"/>
      <c r="N100" s="116"/>
      <c r="O100" s="116"/>
      <c r="P100" s="116"/>
      <c r="Q100" s="116"/>
      <c r="S100" s="116" t="s">
        <v>186</v>
      </c>
      <c r="T100" s="116"/>
      <c r="U100" s="116"/>
      <c r="V100" s="116"/>
      <c r="W100" s="116"/>
      <c r="X100" s="116"/>
      <c r="Y100" s="116"/>
      <c r="Z100" s="116"/>
      <c r="AB100" s="116" t="s">
        <v>184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95</v>
      </c>
      <c r="B102" s="152"/>
      <c r="C102" s="152"/>
      <c r="D102" s="152"/>
      <c r="E102" s="152"/>
      <c r="F102" s="152"/>
      <c r="G102" s="152"/>
      <c r="H102" s="152"/>
      <c r="J102" s="152" t="s">
        <v>95</v>
      </c>
      <c r="K102" s="152"/>
      <c r="L102" s="152"/>
      <c r="M102" s="152"/>
      <c r="N102" s="152"/>
      <c r="O102" s="152"/>
      <c r="P102" s="152"/>
      <c r="Q102" s="152"/>
      <c r="S102" s="152" t="s">
        <v>95</v>
      </c>
      <c r="T102" s="152"/>
      <c r="U102" s="152"/>
      <c r="V102" s="152"/>
      <c r="W102" s="152"/>
      <c r="X102" s="152"/>
      <c r="Y102" s="152"/>
      <c r="Z102" s="152"/>
      <c r="AB102" s="152" t="s">
        <v>95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96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96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96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96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187</v>
      </c>
      <c r="B105" s="112" t="s">
        <v>42</v>
      </c>
      <c r="C105" s="112"/>
      <c r="D105" s="112"/>
      <c r="E105" s="49" t="s">
        <v>26</v>
      </c>
      <c r="F105" s="49"/>
      <c r="G105" s="49"/>
      <c r="H105" s="202"/>
      <c r="J105" s="146" t="s">
        <v>187</v>
      </c>
      <c r="K105" s="112" t="s">
        <v>42</v>
      </c>
      <c r="L105" s="112"/>
      <c r="M105" s="112"/>
      <c r="N105" s="49" t="s">
        <v>25</v>
      </c>
      <c r="O105" s="49"/>
      <c r="P105" s="49"/>
      <c r="Q105" s="202"/>
      <c r="S105" s="146" t="s">
        <v>187</v>
      </c>
      <c r="T105" s="112" t="s">
        <v>42</v>
      </c>
      <c r="U105" s="112"/>
      <c r="V105" s="112"/>
      <c r="W105" s="49" t="s">
        <v>25</v>
      </c>
      <c r="X105" s="49"/>
      <c r="Y105" s="49"/>
      <c r="Z105" s="202"/>
      <c r="AB105" s="146" t="s">
        <v>187</v>
      </c>
      <c r="AC105" s="112" t="s">
        <v>42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188</v>
      </c>
      <c r="C107" s="126"/>
      <c r="D107" s="181"/>
      <c r="E107" s="126" t="s">
        <v>189</v>
      </c>
      <c r="F107" s="126"/>
      <c r="G107" s="181"/>
      <c r="H107" s="202"/>
      <c r="J107" s="120" t="s">
        <v>105</v>
      </c>
      <c r="K107" s="126" t="s">
        <v>188</v>
      </c>
      <c r="L107" s="126"/>
      <c r="M107" s="181"/>
      <c r="N107" s="126" t="s">
        <v>189</v>
      </c>
      <c r="O107" s="126"/>
      <c r="P107" s="181"/>
      <c r="Q107" s="202"/>
      <c r="S107" s="120" t="s">
        <v>105</v>
      </c>
      <c r="T107" s="126" t="s">
        <v>188</v>
      </c>
      <c r="U107" s="126"/>
      <c r="V107" s="181"/>
      <c r="W107" s="126" t="s">
        <v>189</v>
      </c>
      <c r="X107" s="126"/>
      <c r="Y107" s="181"/>
      <c r="Z107" s="202"/>
      <c r="AB107" s="120" t="s">
        <v>105</v>
      </c>
      <c r="AC107" s="126" t="s">
        <v>188</v>
      </c>
      <c r="AD107" s="126"/>
      <c r="AE107" s="181"/>
      <c r="AF107" s="126" t="s">
        <v>189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190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191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192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192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193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191</v>
      </c>
    </row>
    <row r="110" customFormat="false" ht="17.35" hidden="false" customHeight="false" outlineLevel="0" collapsed="false">
      <c r="A110" s="120" t="s">
        <v>194</v>
      </c>
      <c r="B110" s="126" t="s">
        <v>119</v>
      </c>
      <c r="C110" s="126"/>
      <c r="D110" s="126"/>
      <c r="E110" s="126" t="s">
        <v>195</v>
      </c>
      <c r="F110" s="126"/>
      <c r="G110" s="126"/>
      <c r="H110" s="125"/>
      <c r="J110" s="120" t="s">
        <v>194</v>
      </c>
      <c r="K110" s="126" t="s">
        <v>119</v>
      </c>
      <c r="L110" s="126"/>
      <c r="M110" s="126"/>
      <c r="N110" s="126" t="s">
        <v>195</v>
      </c>
      <c r="O110" s="126"/>
      <c r="P110" s="126"/>
      <c r="Q110" s="125"/>
      <c r="S110" s="120" t="s">
        <v>194</v>
      </c>
      <c r="T110" s="126" t="s">
        <v>119</v>
      </c>
      <c r="U110" s="126"/>
      <c r="V110" s="126"/>
      <c r="W110" s="126" t="s">
        <v>195</v>
      </c>
      <c r="X110" s="126"/>
      <c r="Y110" s="126"/>
      <c r="Z110" s="125"/>
      <c r="AB110" s="120" t="s">
        <v>194</v>
      </c>
      <c r="AC110" s="126" t="s">
        <v>119</v>
      </c>
      <c r="AD110" s="126"/>
      <c r="AE110" s="126"/>
      <c r="AF110" s="126" t="s">
        <v>195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196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196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196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196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233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198</v>
      </c>
      <c r="B117" s="152"/>
      <c r="C117" s="152"/>
      <c r="D117" s="152"/>
      <c r="E117" s="152"/>
      <c r="F117" s="152"/>
      <c r="G117" s="152"/>
      <c r="H117" s="152"/>
      <c r="J117" s="152" t="s">
        <v>198</v>
      </c>
      <c r="K117" s="152"/>
      <c r="L117" s="152"/>
      <c r="M117" s="152"/>
      <c r="N117" s="152"/>
      <c r="O117" s="152"/>
      <c r="P117" s="152"/>
      <c r="Q117" s="152"/>
      <c r="S117" s="152" t="s">
        <v>198</v>
      </c>
      <c r="T117" s="152"/>
      <c r="U117" s="152"/>
      <c r="V117" s="152"/>
      <c r="W117" s="152"/>
      <c r="X117" s="152"/>
      <c r="Y117" s="152"/>
      <c r="Z117" s="152"/>
      <c r="AB117" s="152" t="s">
        <v>198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199</v>
      </c>
      <c r="C120" s="211" t="s">
        <v>200</v>
      </c>
      <c r="D120" s="210" t="s">
        <v>199</v>
      </c>
      <c r="E120" s="212" t="s">
        <v>200</v>
      </c>
      <c r="F120" s="210" t="s">
        <v>199</v>
      </c>
      <c r="G120" s="212" t="s">
        <v>200</v>
      </c>
      <c r="H120" s="213"/>
      <c r="J120" s="117"/>
      <c r="K120" s="210" t="s">
        <v>199</v>
      </c>
      <c r="L120" s="211" t="s">
        <v>200</v>
      </c>
      <c r="M120" s="210" t="s">
        <v>199</v>
      </c>
      <c r="N120" s="212" t="s">
        <v>200</v>
      </c>
      <c r="O120" s="210" t="s">
        <v>199</v>
      </c>
      <c r="P120" s="212" t="s">
        <v>200</v>
      </c>
      <c r="Q120" s="213"/>
      <c r="S120" s="117"/>
      <c r="T120" s="210" t="s">
        <v>199</v>
      </c>
      <c r="U120" s="211" t="s">
        <v>200</v>
      </c>
      <c r="V120" s="210" t="s">
        <v>199</v>
      </c>
      <c r="W120" s="212" t="s">
        <v>200</v>
      </c>
      <c r="X120" s="210" t="s">
        <v>199</v>
      </c>
      <c r="Y120" s="212" t="s">
        <v>200</v>
      </c>
      <c r="Z120" s="213"/>
      <c r="AB120" s="117"/>
      <c r="AC120" s="210" t="s">
        <v>199</v>
      </c>
      <c r="AD120" s="211" t="s">
        <v>200</v>
      </c>
      <c r="AE120" s="210" t="s">
        <v>199</v>
      </c>
      <c r="AF120" s="212" t="s">
        <v>200</v>
      </c>
      <c r="AG120" s="210" t="s">
        <v>199</v>
      </c>
      <c r="AH120" s="212" t="s">
        <v>200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46854.17</v>
      </c>
      <c r="D122" s="217" t="n">
        <f aca="false">D4</f>
        <v>0</v>
      </c>
      <c r="E122" s="123" t="n">
        <v>46854.17</v>
      </c>
      <c r="F122" s="217" t="n">
        <f aca="false">F4</f>
        <v>0</v>
      </c>
      <c r="G122" s="218" t="n">
        <v>46854.17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46854.17</v>
      </c>
      <c r="D123" s="219" t="n">
        <f aca="false">D5</f>
        <v>0</v>
      </c>
      <c r="E123" s="215" t="n">
        <v>46854.17</v>
      </c>
      <c r="F123" s="219" t="n">
        <f aca="false">F5</f>
        <v>0</v>
      </c>
      <c r="G123" s="215" t="n">
        <v>46854.17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21999986.633889</v>
      </c>
      <c r="D124" s="219" t="n">
        <f aca="false">(D121*D122)+D123</f>
        <v>0</v>
      </c>
      <c r="E124" s="91" t="n">
        <f aca="false">(E121*E122/100)+E123</f>
        <v>46854.17</v>
      </c>
      <c r="F124" s="219" t="n">
        <f aca="false">(F121*F122)+F123</f>
        <v>0</v>
      </c>
      <c r="G124" s="91" t="n">
        <f aca="false">(G121*G122/100)+G123</f>
        <v>437304.024861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(U121*U122)+U123</f>
        <v>11713.5425</v>
      </c>
      <c r="V124" s="219" t="n">
        <f aca="false">(V121*V122)+V123</f>
        <v>0</v>
      </c>
      <c r="W124" s="91" t="n">
        <f aca="false">(W121*W122)+W123</f>
        <v>0</v>
      </c>
      <c r="X124" s="219" t="n">
        <f aca="false">(X121*X122)+X123</f>
        <v>0</v>
      </c>
      <c r="Y124" s="91" t="n">
        <f aca="false">(Y121*Y122)+Y123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-21953132.463889</v>
      </c>
      <c r="D125" s="220" t="n">
        <f aca="false">D121-D124</f>
        <v>0</v>
      </c>
      <c r="E125" s="80" t="n">
        <f aca="false">E121-E124</f>
        <v>-46854.17</v>
      </c>
      <c r="F125" s="220" t="n">
        <f aca="false">F121-F124</f>
        <v>833.33</v>
      </c>
      <c r="G125" s="80" t="n">
        <f aca="false">G121-G124</f>
        <v>-436470.694861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35140.6275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199</v>
      </c>
      <c r="H127" s="223" t="s">
        <v>200</v>
      </c>
      <c r="J127" s="221"/>
      <c r="K127" s="222"/>
      <c r="L127" s="222"/>
      <c r="M127" s="222"/>
      <c r="N127" s="222"/>
      <c r="O127" s="222"/>
      <c r="P127" s="128" t="s">
        <v>199</v>
      </c>
      <c r="Q127" s="223" t="s">
        <v>200</v>
      </c>
      <c r="S127" s="221"/>
      <c r="T127" s="222"/>
      <c r="U127" s="222"/>
      <c r="V127" s="222"/>
      <c r="W127" s="222"/>
      <c r="X127" s="222"/>
      <c r="Y127" s="128" t="s">
        <v>199</v>
      </c>
      <c r="Z127" s="223" t="s">
        <v>200</v>
      </c>
      <c r="AB127" s="221"/>
      <c r="AC127" s="222"/>
      <c r="AD127" s="222"/>
      <c r="AE127" s="222"/>
      <c r="AF127" s="222"/>
      <c r="AG127" s="222"/>
      <c r="AH127" s="128" t="s">
        <v>199</v>
      </c>
      <c r="AI127" s="223" t="s">
        <v>200</v>
      </c>
    </row>
    <row r="128" customFormat="false" ht="17.35" hidden="false" customHeight="false" outlineLevel="0" collapsed="false">
      <c r="A128" s="224" t="s">
        <v>201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201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201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201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202</v>
      </c>
      <c r="B130" s="228" t="s">
        <v>203</v>
      </c>
      <c r="C130" s="228"/>
      <c r="D130" s="228" t="s">
        <v>204</v>
      </c>
      <c r="E130" s="228"/>
      <c r="F130" s="228" t="s">
        <v>7</v>
      </c>
      <c r="G130" s="228"/>
      <c r="H130" s="229" t="s">
        <v>200</v>
      </c>
      <c r="J130" s="230" t="s">
        <v>202</v>
      </c>
      <c r="K130" s="228" t="s">
        <v>203</v>
      </c>
      <c r="L130" s="228"/>
      <c r="M130" s="228" t="s">
        <v>204</v>
      </c>
      <c r="N130" s="228"/>
      <c r="O130" s="228" t="s">
        <v>7</v>
      </c>
      <c r="P130" s="228"/>
      <c r="Q130" s="229" t="s">
        <v>200</v>
      </c>
      <c r="S130" s="230" t="s">
        <v>202</v>
      </c>
      <c r="T130" s="228" t="s">
        <v>203</v>
      </c>
      <c r="U130" s="228"/>
      <c r="V130" s="228" t="s">
        <v>204</v>
      </c>
      <c r="W130" s="228"/>
      <c r="X130" s="228" t="s">
        <v>7</v>
      </c>
      <c r="Y130" s="228"/>
      <c r="Z130" s="229" t="s">
        <v>200</v>
      </c>
      <c r="AB130" s="230" t="s">
        <v>202</v>
      </c>
      <c r="AC130" s="228" t="s">
        <v>203</v>
      </c>
      <c r="AD130" s="228"/>
      <c r="AE130" s="228" t="s">
        <v>204</v>
      </c>
      <c r="AF130" s="228"/>
      <c r="AG130" s="228" t="s">
        <v>7</v>
      </c>
      <c r="AH130" s="228"/>
      <c r="AI130" s="229" t="s">
        <v>200</v>
      </c>
    </row>
    <row r="131" customFormat="false" ht="17.35" hidden="false" customHeight="false" outlineLevel="0" collapsed="false">
      <c r="A131" s="120" t="s">
        <v>205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205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205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205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206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206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206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206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207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207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207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207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-22436457.32875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35973.9575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-4487181.46575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7304.7915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-26922448.7945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44468.749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n">
        <v>0</v>
      </c>
      <c r="C144" s="135"/>
      <c r="D144" s="135"/>
      <c r="E144" s="135"/>
      <c r="F144" s="135"/>
      <c r="G144" s="36" t="n">
        <f aca="false">H18</f>
        <v>0</v>
      </c>
      <c r="H144" s="147" t="n"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-26922448.7945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44468.749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208</v>
      </c>
      <c r="B148" s="130"/>
      <c r="C148" s="130"/>
      <c r="D148" s="130"/>
      <c r="E148" s="130"/>
      <c r="F148" s="130"/>
      <c r="G148" s="36"/>
      <c r="H148" s="147" t="n">
        <f aca="false">((H147-G147)-(H137-G137))+((I146-I145)*0.2)</f>
        <v>-22484144.82875</v>
      </c>
      <c r="I148" s="114" t="n">
        <f aca="false">(H148-G81)/1.2</f>
        <v>-18736787.3572917</v>
      </c>
      <c r="J148" s="130" t="s">
        <v>208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208</v>
      </c>
      <c r="T148" s="130"/>
      <c r="U148" s="130"/>
      <c r="V148" s="130"/>
      <c r="W148" s="130"/>
      <c r="X148" s="130"/>
      <c r="Y148" s="36"/>
      <c r="Z148" s="147" t="n">
        <f aca="false">Z147-Y147</f>
        <v>-14056.251</v>
      </c>
      <c r="AB148" s="130" t="s">
        <v>208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209</v>
      </c>
      <c r="B150" s="152"/>
      <c r="C150" s="152"/>
      <c r="D150" s="152"/>
      <c r="E150" s="152"/>
      <c r="F150" s="152"/>
      <c r="G150" s="152"/>
      <c r="H150" s="152"/>
      <c r="J150" s="152" t="s">
        <v>209</v>
      </c>
      <c r="K150" s="152"/>
      <c r="L150" s="152"/>
      <c r="M150" s="152"/>
      <c r="N150" s="152"/>
      <c r="O150" s="152"/>
      <c r="P150" s="152"/>
      <c r="Q150" s="152"/>
      <c r="S150" s="152" t="s">
        <v>209</v>
      </c>
      <c r="T150" s="152"/>
      <c r="U150" s="152"/>
      <c r="V150" s="152"/>
      <c r="W150" s="152"/>
      <c r="X150" s="152"/>
      <c r="Y150" s="152"/>
      <c r="Z150" s="152"/>
      <c r="AB150" s="152" t="s">
        <v>209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115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115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115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115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116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116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116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116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117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117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117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117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118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118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118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118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210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210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210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210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211</v>
      </c>
      <c r="B158" s="126"/>
      <c r="C158" s="126"/>
      <c r="D158" s="181"/>
      <c r="E158" s="126"/>
      <c r="F158" s="181"/>
      <c r="G158" s="242" t="n">
        <f aca="false">H147-G154-G157</f>
        <v>-26922448.7945</v>
      </c>
      <c r="H158" s="242"/>
      <c r="J158" s="241" t="s">
        <v>211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211</v>
      </c>
      <c r="T158" s="126"/>
      <c r="U158" s="126"/>
      <c r="V158" s="181"/>
      <c r="W158" s="126"/>
      <c r="X158" s="181"/>
      <c r="Y158" s="242" t="n">
        <f aca="false">Z147-Y154-Y157</f>
        <v>45468.749</v>
      </c>
      <c r="Z158" s="242"/>
      <c r="AB158" s="241" t="s">
        <v>211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120</v>
      </c>
      <c r="B159" s="164"/>
      <c r="C159" s="164"/>
      <c r="D159" s="200"/>
      <c r="E159" s="164"/>
      <c r="F159" s="200"/>
      <c r="G159" s="243" t="str">
        <f aca="false">B114</f>
        <v>199.99</v>
      </c>
      <c r="H159" s="243"/>
      <c r="J159" s="163" t="s">
        <v>120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120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120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212</v>
      </c>
      <c r="B162" s="152"/>
      <c r="C162" s="152"/>
      <c r="D162" s="152"/>
      <c r="E162" s="152"/>
      <c r="F162" s="152"/>
      <c r="G162" s="152"/>
      <c r="H162" s="152"/>
      <c r="J162" s="152" t="s">
        <v>212</v>
      </c>
      <c r="K162" s="152"/>
      <c r="L162" s="152"/>
      <c r="M162" s="152"/>
      <c r="N162" s="152"/>
      <c r="O162" s="152"/>
      <c r="P162" s="152"/>
      <c r="Q162" s="152"/>
      <c r="S162" s="152" t="s">
        <v>212</v>
      </c>
      <c r="T162" s="152"/>
      <c r="U162" s="152"/>
      <c r="V162" s="152"/>
      <c r="W162" s="152"/>
      <c r="X162" s="152"/>
      <c r="Y162" s="152"/>
      <c r="Z162" s="152"/>
      <c r="AB162" s="152" t="s">
        <v>212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123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123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123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123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213</v>
      </c>
      <c r="B166" s="245" t="s">
        <v>214</v>
      </c>
      <c r="C166" s="245"/>
      <c r="D166" s="245"/>
      <c r="E166" s="245" t="s">
        <v>215</v>
      </c>
      <c r="F166" s="140"/>
      <c r="G166" s="140"/>
      <c r="H166" s="125"/>
      <c r="J166" s="244" t="s">
        <v>213</v>
      </c>
      <c r="K166" s="245" t="s">
        <v>214</v>
      </c>
      <c r="L166" s="245"/>
      <c r="M166" s="245"/>
      <c r="N166" s="245" t="s">
        <v>215</v>
      </c>
      <c r="O166" s="140"/>
      <c r="P166" s="140"/>
      <c r="Q166" s="125"/>
      <c r="S166" s="244" t="s">
        <v>213</v>
      </c>
      <c r="T166" s="245" t="s">
        <v>214</v>
      </c>
      <c r="U166" s="245"/>
      <c r="V166" s="245"/>
      <c r="W166" s="245" t="s">
        <v>215</v>
      </c>
      <c r="X166" s="140"/>
      <c r="Y166" s="140"/>
      <c r="Z166" s="125"/>
      <c r="AB166" s="244" t="s">
        <v>213</v>
      </c>
      <c r="AC166" s="245" t="s">
        <v>214</v>
      </c>
      <c r="AD166" s="245"/>
      <c r="AE166" s="245"/>
      <c r="AF166" s="245" t="s">
        <v>215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-876883.796345538</v>
      </c>
      <c r="B167" s="108" t="str">
        <f aca="false">B94</f>
        <v>0</v>
      </c>
      <c r="C167" s="245"/>
      <c r="D167" s="245"/>
      <c r="E167" s="108" t="n">
        <f aca="false">B96</f>
        <v>-876883.796345538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0</v>
      </c>
      <c r="L167" s="245"/>
      <c r="M167" s="245"/>
      <c r="N167" s="108" t="n">
        <f aca="false">K96</f>
        <v>1477.31306457009</v>
      </c>
      <c r="O167" s="140"/>
      <c r="P167" s="140"/>
      <c r="Q167" s="125"/>
      <c r="S167" s="246" t="n">
        <f aca="false">T95</f>
        <v>927.687248290581</v>
      </c>
      <c r="T167" s="108" t="n">
        <f aca="false">T94</f>
        <v>0</v>
      </c>
      <c r="U167" s="245"/>
      <c r="V167" s="245"/>
      <c r="W167" s="108" t="n">
        <f aca="false">T96</f>
        <v>927.687248290581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0</v>
      </c>
      <c r="AD167" s="245"/>
      <c r="AE167" s="245"/>
      <c r="AF167" s="108" t="n">
        <f aca="false">AC96</f>
        <v>927.687248290581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216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216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216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216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K29</f>
        <v>36</v>
      </c>
      <c r="B170" s="304" t="n">
        <f aca="false">K30</f>
        <v>10000</v>
      </c>
      <c r="C170" s="247"/>
      <c r="D170" s="140"/>
      <c r="E170" s="162" t="n">
        <f aca="false">IF(A111="YES", 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217</v>
      </c>
      <c r="B172" s="126" t="s">
        <v>218</v>
      </c>
      <c r="C172" s="126"/>
      <c r="D172" s="140"/>
      <c r="E172" s="126" t="s">
        <v>219</v>
      </c>
      <c r="F172" s="140"/>
      <c r="G172" s="140"/>
      <c r="H172" s="125"/>
      <c r="J172" s="120" t="s">
        <v>217</v>
      </c>
      <c r="K172" s="126" t="s">
        <v>218</v>
      </c>
      <c r="L172" s="126"/>
      <c r="M172" s="140"/>
      <c r="N172" s="126" t="s">
        <v>219</v>
      </c>
      <c r="O172" s="140"/>
      <c r="P172" s="140"/>
      <c r="Q172" s="125"/>
      <c r="S172" s="120" t="s">
        <v>217</v>
      </c>
      <c r="T172" s="126" t="s">
        <v>218</v>
      </c>
      <c r="U172" s="126"/>
      <c r="V172" s="140"/>
      <c r="W172" s="126" t="s">
        <v>219</v>
      </c>
      <c r="X172" s="140"/>
      <c r="Y172" s="140"/>
      <c r="Z172" s="125"/>
      <c r="AB172" s="120" t="s">
        <v>217</v>
      </c>
      <c r="AC172" s="126" t="s">
        <v>218</v>
      </c>
      <c r="AD172" s="126"/>
      <c r="AE172" s="140"/>
      <c r="AF172" s="126" t="s">
        <v>219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-22435907.32875</v>
      </c>
      <c r="B173" s="112" t="n">
        <f aca="false">H137</f>
        <v>-4487181.46575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36523.9575</v>
      </c>
      <c r="T173" s="112" t="n">
        <f aca="false">Z137</f>
        <v>7304.7915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220</v>
      </c>
      <c r="B175" s="126" t="s">
        <v>119</v>
      </c>
      <c r="C175" s="126"/>
      <c r="D175" s="140"/>
      <c r="E175" s="126" t="s">
        <v>195</v>
      </c>
      <c r="F175" s="140"/>
      <c r="G175" s="140"/>
      <c r="H175" s="125"/>
      <c r="J175" s="120" t="s">
        <v>220</v>
      </c>
      <c r="K175" s="126" t="s">
        <v>119</v>
      </c>
      <c r="L175" s="126"/>
      <c r="M175" s="140"/>
      <c r="N175" s="126" t="s">
        <v>195</v>
      </c>
      <c r="O175" s="140"/>
      <c r="P175" s="140"/>
      <c r="Q175" s="125"/>
      <c r="S175" s="120" t="s">
        <v>220</v>
      </c>
      <c r="T175" s="126" t="s">
        <v>119</v>
      </c>
      <c r="U175" s="126"/>
      <c r="V175" s="140"/>
      <c r="W175" s="126" t="s">
        <v>195</v>
      </c>
      <c r="X175" s="140"/>
      <c r="Y175" s="140"/>
      <c r="Z175" s="125"/>
      <c r="AB175" s="120" t="s">
        <v>220</v>
      </c>
      <c r="AC175" s="126" t="s">
        <v>119</v>
      </c>
      <c r="AD175" s="126"/>
      <c r="AE175" s="140"/>
      <c r="AF175" s="126" t="s">
        <v>195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H147</f>
        <v>-26922448.7945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10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10"/>
      <c r="S176" s="111" t="n">
        <f aca="false">Z141</f>
        <v>44468.749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10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10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196</v>
      </c>
      <c r="B178" s="126" t="s">
        <v>115</v>
      </c>
      <c r="C178" s="126"/>
      <c r="D178" s="140"/>
      <c r="E178" s="126" t="s">
        <v>211</v>
      </c>
      <c r="F178" s="140"/>
      <c r="G178" s="140"/>
      <c r="H178" s="125"/>
      <c r="J178" s="120" t="s">
        <v>196</v>
      </c>
      <c r="K178" s="126" t="s">
        <v>115</v>
      </c>
      <c r="L178" s="126"/>
      <c r="M178" s="140"/>
      <c r="N178" s="126" t="s">
        <v>211</v>
      </c>
      <c r="O178" s="140"/>
      <c r="P178" s="140"/>
      <c r="Q178" s="125"/>
      <c r="S178" s="120" t="s">
        <v>196</v>
      </c>
      <c r="T178" s="126" t="s">
        <v>115</v>
      </c>
      <c r="U178" s="126"/>
      <c r="V178" s="140"/>
      <c r="W178" s="126" t="s">
        <v>211</v>
      </c>
      <c r="X178" s="140"/>
      <c r="Y178" s="140"/>
      <c r="Z178" s="125"/>
      <c r="AB178" s="120" t="s">
        <v>196</v>
      </c>
      <c r="AC178" s="126" t="s">
        <v>115</v>
      </c>
      <c r="AD178" s="126"/>
      <c r="AE178" s="140"/>
      <c r="AF178" s="126" t="s">
        <v>211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-26922448.7945</v>
      </c>
      <c r="F179" s="140"/>
      <c r="G179" s="140"/>
      <c r="H179" s="110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10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45468.749</v>
      </c>
      <c r="X179" s="140"/>
      <c r="Y179" s="140"/>
      <c r="Z179" s="110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10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221</v>
      </c>
      <c r="B181" s="126" t="s">
        <v>120</v>
      </c>
      <c r="C181" s="126"/>
      <c r="D181" s="140"/>
      <c r="E181" s="126" t="s">
        <v>222</v>
      </c>
      <c r="F181" s="140"/>
      <c r="G181" s="140"/>
      <c r="H181" s="125"/>
      <c r="J181" s="120" t="s">
        <v>221</v>
      </c>
      <c r="K181" s="126" t="s">
        <v>120</v>
      </c>
      <c r="L181" s="126"/>
      <c r="M181" s="140"/>
      <c r="N181" s="126" t="s">
        <v>222</v>
      </c>
      <c r="O181" s="140"/>
      <c r="P181" s="140"/>
      <c r="Q181" s="125"/>
      <c r="S181" s="120" t="s">
        <v>221</v>
      </c>
      <c r="T181" s="126" t="s">
        <v>120</v>
      </c>
      <c r="U181" s="126"/>
      <c r="V181" s="140"/>
      <c r="W181" s="126" t="s">
        <v>222</v>
      </c>
      <c r="X181" s="140"/>
      <c r="Y181" s="140"/>
      <c r="Z181" s="125"/>
      <c r="AB181" s="120" t="s">
        <v>221</v>
      </c>
      <c r="AC181" s="126" t="s">
        <v>120</v>
      </c>
      <c r="AD181" s="126"/>
      <c r="AE181" s="140"/>
      <c r="AF181" s="126" t="s">
        <v>222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-3740984.07759383</v>
      </c>
      <c r="B182" s="112" t="str">
        <f aca="false">B114</f>
        <v>199.99</v>
      </c>
      <c r="C182" s="112"/>
      <c r="D182" s="140"/>
      <c r="E182" s="112" t="n">
        <f aca="false">E179+A182+B182+A185</f>
        <v>-30663222.8820938</v>
      </c>
      <c r="F182" s="140"/>
      <c r="G182" s="140"/>
      <c r="H182" s="110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10"/>
      <c r="S182" s="113" t="n">
        <f aca="false">(S167*T59)+W185-W179-S185</f>
        <v>14500.3046901703</v>
      </c>
      <c r="T182" s="112" t="n">
        <f aca="false">T114</f>
        <v>199.99</v>
      </c>
      <c r="U182" s="112"/>
      <c r="V182" s="140"/>
      <c r="W182" s="112" t="n">
        <f aca="false">W179+S182+T182+S185</f>
        <v>60179.0436901703</v>
      </c>
      <c r="X182" s="140"/>
      <c r="Y182" s="140"/>
      <c r="Z182" s="110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10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223</v>
      </c>
      <c r="B184" s="126" t="s">
        <v>224</v>
      </c>
      <c r="C184" s="126"/>
      <c r="D184" s="140"/>
      <c r="E184" s="126" t="s">
        <v>225</v>
      </c>
      <c r="F184" s="140"/>
      <c r="G184" s="140"/>
      <c r="H184" s="125"/>
      <c r="J184" s="120" t="s">
        <v>223</v>
      </c>
      <c r="K184" s="126" t="s">
        <v>224</v>
      </c>
      <c r="L184" s="126"/>
      <c r="M184" s="140"/>
      <c r="N184" s="126" t="s">
        <v>225</v>
      </c>
      <c r="O184" s="140"/>
      <c r="P184" s="140"/>
      <c r="Q184" s="125"/>
      <c r="S184" s="120" t="s">
        <v>223</v>
      </c>
      <c r="T184" s="126" t="s">
        <v>224</v>
      </c>
      <c r="U184" s="126"/>
      <c r="V184" s="140"/>
      <c r="W184" s="126" t="s">
        <v>225</v>
      </c>
      <c r="X184" s="140"/>
      <c r="Y184" s="140"/>
      <c r="Z184" s="125"/>
      <c r="AB184" s="120" t="s">
        <v>223</v>
      </c>
      <c r="AC184" s="126" t="s">
        <v>224</v>
      </c>
      <c r="AD184" s="126"/>
      <c r="AE184" s="140"/>
      <c r="AF184" s="126" t="s">
        <v>225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199.99</v>
      </c>
      <c r="C185" s="112"/>
      <c r="D185" s="140"/>
      <c r="E185" s="112" t="n">
        <f aca="false">E170+A185</f>
        <v>27510</v>
      </c>
      <c r="F185" s="140"/>
      <c r="G185" s="140"/>
      <c r="H185" s="110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10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10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10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226</v>
      </c>
      <c r="B187" s="126" t="s">
        <v>227</v>
      </c>
      <c r="C187" s="126"/>
      <c r="D187" s="126"/>
      <c r="E187" s="100" t="s">
        <v>228</v>
      </c>
      <c r="F187" s="140"/>
      <c r="G187" s="140"/>
      <c r="H187" s="125"/>
      <c r="J187" s="120" t="s">
        <v>226</v>
      </c>
      <c r="K187" s="126" t="s">
        <v>227</v>
      </c>
      <c r="L187" s="126"/>
      <c r="M187" s="126"/>
      <c r="N187" s="100" t="s">
        <v>228</v>
      </c>
      <c r="O187" s="140"/>
      <c r="P187" s="140"/>
      <c r="Q187" s="125"/>
      <c r="S187" s="120" t="s">
        <v>226</v>
      </c>
      <c r="T187" s="126" t="s">
        <v>227</v>
      </c>
      <c r="U187" s="126"/>
      <c r="V187" s="126"/>
      <c r="W187" s="100" t="s">
        <v>228</v>
      </c>
      <c r="X187" s="248"/>
      <c r="Y187" s="248"/>
      <c r="Z187" s="125"/>
      <c r="AB187" s="120" t="s">
        <v>226</v>
      </c>
      <c r="AC187" s="126" t="s">
        <v>227</v>
      </c>
      <c r="AD187" s="126"/>
      <c r="AE187" s="126"/>
      <c r="AF187" s="100" t="s">
        <v>228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</v>
      </c>
      <c r="B188" s="112" t="n">
        <f aca="false">(G158*B67)</f>
        <v>-538448.97589</v>
      </c>
      <c r="C188" s="126"/>
      <c r="D188" s="126"/>
      <c r="E188" s="112" t="n">
        <f aca="false">(E40*A108)*0.1</f>
        <v>0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0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378.906241666667</v>
      </c>
      <c r="U188" s="126"/>
      <c r="V188" s="126"/>
      <c r="W188" s="112" t="n">
        <f aca="false">(E40*S108)*0.1</f>
        <v>0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0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229</v>
      </c>
      <c r="B190" s="100" t="s">
        <v>230</v>
      </c>
      <c r="C190" s="126"/>
      <c r="D190" s="126"/>
      <c r="E190" s="100" t="s">
        <v>231</v>
      </c>
      <c r="F190" s="140"/>
      <c r="G190" s="140"/>
      <c r="H190" s="125"/>
      <c r="J190" s="167" t="s">
        <v>229</v>
      </c>
      <c r="K190" s="100" t="s">
        <v>230</v>
      </c>
      <c r="L190" s="126"/>
      <c r="M190" s="126"/>
      <c r="N190" s="100" t="s">
        <v>231</v>
      </c>
      <c r="O190" s="140"/>
      <c r="P190" s="140"/>
      <c r="Q190" s="125"/>
      <c r="S190" s="167" t="s">
        <v>229</v>
      </c>
      <c r="T190" s="100" t="s">
        <v>230</v>
      </c>
      <c r="U190" s="126"/>
      <c r="V190" s="126"/>
      <c r="W190" s="100" t="s">
        <v>231</v>
      </c>
      <c r="X190" s="248"/>
      <c r="Y190" s="248"/>
      <c r="Z190" s="125"/>
      <c r="AB190" s="167" t="s">
        <v>229</v>
      </c>
      <c r="AC190" s="100" t="s">
        <v>230</v>
      </c>
      <c r="AD190" s="126"/>
      <c r="AE190" s="126"/>
      <c r="AF190" s="100" t="s">
        <v>231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99.99</v>
      </c>
      <c r="B191" s="112" t="n">
        <f aca="false">B188+E188+A191</f>
        <v>-538348.98589</v>
      </c>
      <c r="C191" s="126"/>
      <c r="D191" s="126"/>
      <c r="E191" s="112" t="n">
        <f aca="false">H148</f>
        <v>-22484144.82875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3493.4275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1478.89624166667</v>
      </c>
      <c r="U191" s="126"/>
      <c r="V191" s="126"/>
      <c r="W191" s="112" t="n">
        <f aca="false">Z148</f>
        <v>-14056.251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1518.89624166667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232</v>
      </c>
      <c r="B193" s="126"/>
      <c r="C193" s="126"/>
      <c r="D193" s="172"/>
      <c r="E193" s="172"/>
      <c r="F193" s="172"/>
      <c r="G193" s="172"/>
      <c r="H193" s="173"/>
      <c r="J193" s="171" t="s">
        <v>232</v>
      </c>
      <c r="K193" s="126"/>
      <c r="L193" s="126"/>
      <c r="M193" s="172"/>
      <c r="N193" s="172"/>
      <c r="O193" s="172"/>
      <c r="P193" s="172"/>
      <c r="Q193" s="173"/>
      <c r="S193" s="171" t="s">
        <v>232</v>
      </c>
      <c r="T193" s="126"/>
      <c r="U193" s="126"/>
      <c r="V193" s="172"/>
      <c r="W193" s="172"/>
      <c r="X193" s="172"/>
      <c r="Y193" s="172"/>
      <c r="Z193" s="173"/>
      <c r="AB193" s="171" t="s">
        <v>232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n">
        <f aca="false">K30</f>
        <v>10000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K29</f>
        <v>36</v>
      </c>
      <c r="B197" s="71" t="n">
        <f aca="false">B96</f>
        <v>-876883.796345538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1477.31306457009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927.687248290581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927.687248290581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555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142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143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144</v>
      </c>
      <c r="K27" s="151" t="n">
        <v>1</v>
      </c>
      <c r="P27" s="141"/>
    </row>
    <row r="28" customFormat="false" ht="22.05" hidden="false" customHeight="false" outlineLevel="0" collapsed="false">
      <c r="A28" s="152" t="s">
        <v>95</v>
      </c>
      <c r="B28" s="152"/>
      <c r="C28" s="152"/>
      <c r="D28" s="152"/>
      <c r="E28" s="152"/>
      <c r="F28" s="152"/>
      <c r="G28" s="152"/>
      <c r="H28" s="152"/>
      <c r="I28" s="115"/>
      <c r="J28" s="150" t="s">
        <v>145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123</v>
      </c>
      <c r="B30" s="49" t="s">
        <v>146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147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148</v>
      </c>
      <c r="F32" s="126"/>
      <c r="G32" s="126"/>
      <c r="H32" s="125"/>
      <c r="I32" s="115" t="n">
        <v>0</v>
      </c>
      <c r="J32" s="148" t="s">
        <v>149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150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151</v>
      </c>
      <c r="B35" s="126" t="s">
        <v>152</v>
      </c>
      <c r="C35" s="126"/>
      <c r="D35" s="141"/>
      <c r="E35" s="126" t="s">
        <v>153</v>
      </c>
      <c r="F35" s="159"/>
      <c r="G35" s="159"/>
      <c r="H35" s="157"/>
      <c r="I35" s="115"/>
      <c r="J35" s="160" t="s">
        <v>154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155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156</v>
      </c>
      <c r="B39" s="126" t="s">
        <v>157</v>
      </c>
      <c r="C39" s="126"/>
      <c r="D39" s="141"/>
      <c r="E39" s="126" t="s">
        <v>158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8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159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160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161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162</v>
      </c>
      <c r="K43" s="115"/>
      <c r="L43" s="115"/>
      <c r="P43" s="141"/>
    </row>
    <row r="44" customFormat="false" ht="17.35" hidden="false" customHeight="false" outlineLevel="0" collapsed="false">
      <c r="A44" s="167" t="s">
        <v>163</v>
      </c>
      <c r="B44" s="126"/>
      <c r="C44" s="12" t="s">
        <v>164</v>
      </c>
      <c r="D44" s="12"/>
      <c r="E44" s="126"/>
      <c r="F44" s="126"/>
      <c r="G44" s="126"/>
      <c r="H44" s="125"/>
      <c r="J44" s="115" t="s">
        <v>165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168" t="s">
        <v>166</v>
      </c>
      <c r="B45" s="126"/>
      <c r="C45" s="169" t="s">
        <v>166</v>
      </c>
      <c r="D45" s="169"/>
      <c r="E45" s="169"/>
      <c r="F45" s="126"/>
      <c r="G45" s="126"/>
      <c r="H45" s="125"/>
      <c r="J45" s="115" t="s">
        <v>167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168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169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170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171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172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172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172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172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173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173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173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173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174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174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174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174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175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175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175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175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B77/K29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176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176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176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176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159</v>
      </c>
      <c r="B82" s="125" t="n">
        <f aca="false">A40</f>
        <v>27500</v>
      </c>
      <c r="C82" s="126"/>
      <c r="D82" s="126"/>
      <c r="E82" s="181"/>
      <c r="F82" s="181"/>
      <c r="G82" s="181"/>
      <c r="H82" s="125"/>
      <c r="J82" s="120" t="s">
        <v>159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159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159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177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177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177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177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178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178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178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178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179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179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179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179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180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180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180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180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181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181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181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181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182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182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182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182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183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183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183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183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IF(B26="YES",((E40/B85)*(1+A108)*1.2),"0")</f>
        <v>42.3771428571428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1261.13933396034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184</v>
      </c>
      <c r="B100" s="116"/>
      <c r="C100" s="116"/>
      <c r="D100" s="116"/>
      <c r="E100" s="116"/>
      <c r="F100" s="116"/>
      <c r="G100" s="116"/>
      <c r="H100" s="116"/>
      <c r="J100" s="116" t="s">
        <v>185</v>
      </c>
      <c r="K100" s="116"/>
      <c r="L100" s="116"/>
      <c r="M100" s="116"/>
      <c r="N100" s="116"/>
      <c r="O100" s="116"/>
      <c r="P100" s="116"/>
      <c r="Q100" s="116"/>
      <c r="S100" s="116" t="s">
        <v>186</v>
      </c>
      <c r="T100" s="116"/>
      <c r="U100" s="116"/>
      <c r="V100" s="116"/>
      <c r="W100" s="116"/>
      <c r="X100" s="116"/>
      <c r="Y100" s="116"/>
      <c r="Z100" s="116"/>
      <c r="AB100" s="116" t="s">
        <v>184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95</v>
      </c>
      <c r="B102" s="152"/>
      <c r="C102" s="152"/>
      <c r="D102" s="152"/>
      <c r="E102" s="152"/>
      <c r="F102" s="152"/>
      <c r="G102" s="152"/>
      <c r="H102" s="152"/>
      <c r="J102" s="152" t="s">
        <v>95</v>
      </c>
      <c r="K102" s="152"/>
      <c r="L102" s="152"/>
      <c r="M102" s="152"/>
      <c r="N102" s="152"/>
      <c r="O102" s="152"/>
      <c r="P102" s="152"/>
      <c r="Q102" s="152"/>
      <c r="S102" s="152" t="s">
        <v>95</v>
      </c>
      <c r="T102" s="152"/>
      <c r="U102" s="152"/>
      <c r="V102" s="152"/>
      <c r="W102" s="152"/>
      <c r="X102" s="152"/>
      <c r="Y102" s="152"/>
      <c r="Z102" s="152"/>
      <c r="AB102" s="152" t="s">
        <v>95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96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96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96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96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187</v>
      </c>
      <c r="B105" s="112" t="s">
        <v>42</v>
      </c>
      <c r="C105" s="112"/>
      <c r="D105" s="112"/>
      <c r="E105" s="49" t="s">
        <v>25</v>
      </c>
      <c r="F105" s="49"/>
      <c r="G105" s="49"/>
      <c r="H105" s="202"/>
      <c r="J105" s="146" t="s">
        <v>187</v>
      </c>
      <c r="K105" s="112" t="s">
        <v>42</v>
      </c>
      <c r="L105" s="112"/>
      <c r="M105" s="112"/>
      <c r="N105" s="49" t="s">
        <v>25</v>
      </c>
      <c r="O105" s="49"/>
      <c r="P105" s="49"/>
      <c r="Q105" s="202"/>
      <c r="S105" s="146" t="s">
        <v>187</v>
      </c>
      <c r="T105" s="112" t="s">
        <v>42</v>
      </c>
      <c r="U105" s="112"/>
      <c r="V105" s="112"/>
      <c r="W105" s="49" t="s">
        <v>25</v>
      </c>
      <c r="X105" s="49"/>
      <c r="Y105" s="49"/>
      <c r="Z105" s="202"/>
      <c r="AB105" s="146" t="s">
        <v>187</v>
      </c>
      <c r="AC105" s="112" t="s">
        <v>42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188</v>
      </c>
      <c r="C107" s="126"/>
      <c r="D107" s="181"/>
      <c r="E107" s="126" t="s">
        <v>189</v>
      </c>
      <c r="F107" s="126"/>
      <c r="G107" s="181"/>
      <c r="H107" s="202"/>
      <c r="J107" s="120" t="s">
        <v>105</v>
      </c>
      <c r="K107" s="126" t="s">
        <v>188</v>
      </c>
      <c r="L107" s="126"/>
      <c r="M107" s="181"/>
      <c r="N107" s="126" t="s">
        <v>189</v>
      </c>
      <c r="O107" s="126"/>
      <c r="P107" s="181"/>
      <c r="Q107" s="202"/>
      <c r="S107" s="120" t="s">
        <v>105</v>
      </c>
      <c r="T107" s="126" t="s">
        <v>188</v>
      </c>
      <c r="U107" s="126"/>
      <c r="V107" s="181"/>
      <c r="W107" s="126" t="s">
        <v>189</v>
      </c>
      <c r="X107" s="126"/>
      <c r="Y107" s="181"/>
      <c r="Z107" s="202"/>
      <c r="AB107" s="120" t="s">
        <v>105</v>
      </c>
      <c r="AC107" s="126" t="s">
        <v>188</v>
      </c>
      <c r="AD107" s="126"/>
      <c r="AE107" s="181"/>
      <c r="AF107" s="126" t="s">
        <v>189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190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191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192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192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193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191</v>
      </c>
    </row>
    <row r="110" customFormat="false" ht="17.35" hidden="false" customHeight="false" outlineLevel="0" collapsed="false">
      <c r="A110" s="120" t="s">
        <v>194</v>
      </c>
      <c r="B110" s="126" t="s">
        <v>119</v>
      </c>
      <c r="C110" s="126"/>
      <c r="D110" s="126"/>
      <c r="E110" s="126" t="s">
        <v>195</v>
      </c>
      <c r="F110" s="126"/>
      <c r="G110" s="126"/>
      <c r="H110" s="125"/>
      <c r="J110" s="120" t="s">
        <v>194</v>
      </c>
      <c r="K110" s="126" t="s">
        <v>119</v>
      </c>
      <c r="L110" s="126"/>
      <c r="M110" s="126"/>
      <c r="N110" s="126" t="s">
        <v>195</v>
      </c>
      <c r="O110" s="126"/>
      <c r="P110" s="126"/>
      <c r="Q110" s="125"/>
      <c r="S110" s="120" t="s">
        <v>194</v>
      </c>
      <c r="T110" s="126" t="s">
        <v>119</v>
      </c>
      <c r="U110" s="126"/>
      <c r="V110" s="126"/>
      <c r="W110" s="126" t="s">
        <v>195</v>
      </c>
      <c r="X110" s="126"/>
      <c r="Y110" s="126"/>
      <c r="Z110" s="125"/>
      <c r="AB110" s="120" t="s">
        <v>194</v>
      </c>
      <c r="AC110" s="126" t="s">
        <v>119</v>
      </c>
      <c r="AD110" s="126"/>
      <c r="AE110" s="126"/>
      <c r="AF110" s="126" t="s">
        <v>195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196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196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196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196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197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198</v>
      </c>
      <c r="B117" s="152"/>
      <c r="C117" s="152"/>
      <c r="D117" s="152"/>
      <c r="E117" s="152"/>
      <c r="F117" s="152"/>
      <c r="G117" s="152"/>
      <c r="H117" s="152"/>
      <c r="J117" s="152" t="s">
        <v>198</v>
      </c>
      <c r="K117" s="152"/>
      <c r="L117" s="152"/>
      <c r="M117" s="152"/>
      <c r="N117" s="152"/>
      <c r="O117" s="152"/>
      <c r="P117" s="152"/>
      <c r="Q117" s="152"/>
      <c r="S117" s="152" t="s">
        <v>198</v>
      </c>
      <c r="T117" s="152"/>
      <c r="U117" s="152"/>
      <c r="V117" s="152"/>
      <c r="W117" s="152"/>
      <c r="X117" s="152"/>
      <c r="Y117" s="152"/>
      <c r="Z117" s="152"/>
      <c r="AB117" s="152" t="s">
        <v>198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199</v>
      </c>
      <c r="C120" s="211" t="s">
        <v>200</v>
      </c>
      <c r="D120" s="210" t="s">
        <v>199</v>
      </c>
      <c r="E120" s="212" t="s">
        <v>200</v>
      </c>
      <c r="F120" s="210" t="s">
        <v>199</v>
      </c>
      <c r="G120" s="212" t="s">
        <v>200</v>
      </c>
      <c r="H120" s="213"/>
      <c r="J120" s="117"/>
      <c r="K120" s="210" t="s">
        <v>199</v>
      </c>
      <c r="L120" s="211" t="s">
        <v>200</v>
      </c>
      <c r="M120" s="210" t="s">
        <v>199</v>
      </c>
      <c r="N120" s="212" t="s">
        <v>200</v>
      </c>
      <c r="O120" s="210" t="s">
        <v>199</v>
      </c>
      <c r="P120" s="212" t="s">
        <v>200</v>
      </c>
      <c r="Q120" s="213"/>
      <c r="S120" s="117"/>
      <c r="T120" s="210" t="s">
        <v>199</v>
      </c>
      <c r="U120" s="211" t="s">
        <v>200</v>
      </c>
      <c r="V120" s="210" t="s">
        <v>199</v>
      </c>
      <c r="W120" s="212" t="s">
        <v>200</v>
      </c>
      <c r="X120" s="210" t="s">
        <v>199</v>
      </c>
      <c r="Y120" s="212" t="s">
        <v>200</v>
      </c>
      <c r="Z120" s="213"/>
      <c r="AB120" s="117"/>
      <c r="AC120" s="210" t="s">
        <v>199</v>
      </c>
      <c r="AD120" s="211" t="s">
        <v>200</v>
      </c>
      <c r="AE120" s="210" t="s">
        <v>199</v>
      </c>
      <c r="AF120" s="212" t="s">
        <v>200</v>
      </c>
      <c r="AG120" s="210" t="s">
        <v>199</v>
      </c>
      <c r="AH120" s="212" t="s">
        <v>200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199</v>
      </c>
      <c r="H127" s="223" t="s">
        <v>200</v>
      </c>
      <c r="J127" s="221"/>
      <c r="K127" s="222"/>
      <c r="L127" s="222"/>
      <c r="M127" s="222"/>
      <c r="N127" s="222"/>
      <c r="O127" s="222"/>
      <c r="P127" s="128" t="s">
        <v>199</v>
      </c>
      <c r="Q127" s="223" t="s">
        <v>200</v>
      </c>
      <c r="S127" s="221"/>
      <c r="T127" s="222"/>
      <c r="U127" s="222"/>
      <c r="V127" s="222"/>
      <c r="W127" s="222"/>
      <c r="X127" s="222"/>
      <c r="Y127" s="128" t="s">
        <v>199</v>
      </c>
      <c r="Z127" s="223" t="s">
        <v>200</v>
      </c>
      <c r="AB127" s="221"/>
      <c r="AC127" s="222"/>
      <c r="AD127" s="222"/>
      <c r="AE127" s="222"/>
      <c r="AF127" s="222"/>
      <c r="AG127" s="222"/>
      <c r="AH127" s="128" t="s">
        <v>199</v>
      </c>
      <c r="AI127" s="223" t="s">
        <v>200</v>
      </c>
    </row>
    <row r="128" customFormat="false" ht="17.35" hidden="false" customHeight="false" outlineLevel="0" collapsed="false">
      <c r="A128" s="224" t="s">
        <v>201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201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201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201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202</v>
      </c>
      <c r="B130" s="228" t="s">
        <v>203</v>
      </c>
      <c r="C130" s="228"/>
      <c r="D130" s="228" t="s">
        <v>204</v>
      </c>
      <c r="E130" s="228"/>
      <c r="F130" s="228" t="s">
        <v>7</v>
      </c>
      <c r="G130" s="228"/>
      <c r="H130" s="229" t="s">
        <v>200</v>
      </c>
      <c r="J130" s="230" t="s">
        <v>202</v>
      </c>
      <c r="K130" s="228" t="s">
        <v>203</v>
      </c>
      <c r="L130" s="228"/>
      <c r="M130" s="228" t="s">
        <v>204</v>
      </c>
      <c r="N130" s="228"/>
      <c r="O130" s="228" t="s">
        <v>7</v>
      </c>
      <c r="P130" s="228"/>
      <c r="Q130" s="229" t="s">
        <v>200</v>
      </c>
      <c r="S130" s="230" t="s">
        <v>202</v>
      </c>
      <c r="T130" s="228" t="s">
        <v>203</v>
      </c>
      <c r="U130" s="228"/>
      <c r="V130" s="228" t="s">
        <v>204</v>
      </c>
      <c r="W130" s="228"/>
      <c r="X130" s="228" t="s">
        <v>7</v>
      </c>
      <c r="Y130" s="228"/>
      <c r="Z130" s="229" t="s">
        <v>200</v>
      </c>
      <c r="AB130" s="230" t="s">
        <v>202</v>
      </c>
      <c r="AC130" s="228" t="s">
        <v>203</v>
      </c>
      <c r="AD130" s="228"/>
      <c r="AE130" s="228" t="s">
        <v>204</v>
      </c>
      <c r="AF130" s="228"/>
      <c r="AG130" s="228" t="s">
        <v>7</v>
      </c>
      <c r="AH130" s="228"/>
      <c r="AI130" s="229" t="s">
        <v>200</v>
      </c>
    </row>
    <row r="131" customFormat="false" ht="17.35" hidden="false" customHeight="false" outlineLevel="0" collapsed="false">
      <c r="A131" s="120" t="s">
        <v>205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205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205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205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206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206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206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206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207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207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207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207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208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208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208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208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209</v>
      </c>
      <c r="B150" s="152"/>
      <c r="C150" s="152"/>
      <c r="D150" s="152"/>
      <c r="E150" s="152"/>
      <c r="F150" s="152"/>
      <c r="G150" s="152"/>
      <c r="H150" s="152"/>
      <c r="J150" s="152" t="s">
        <v>209</v>
      </c>
      <c r="K150" s="152"/>
      <c r="L150" s="152"/>
      <c r="M150" s="152"/>
      <c r="N150" s="152"/>
      <c r="O150" s="152"/>
      <c r="P150" s="152"/>
      <c r="Q150" s="152"/>
      <c r="S150" s="152" t="s">
        <v>209</v>
      </c>
      <c r="T150" s="152"/>
      <c r="U150" s="152"/>
      <c r="V150" s="152"/>
      <c r="W150" s="152"/>
      <c r="X150" s="152"/>
      <c r="Y150" s="152"/>
      <c r="Z150" s="152"/>
      <c r="AB150" s="152" t="s">
        <v>209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115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115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115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115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116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116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116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116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117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117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117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117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118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118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118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118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210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210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210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210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211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211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211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211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120</v>
      </c>
      <c r="B159" s="164"/>
      <c r="C159" s="164"/>
      <c r="D159" s="200"/>
      <c r="E159" s="164"/>
      <c r="F159" s="200"/>
      <c r="G159" s="243" t="str">
        <f aca="false">B114</f>
        <v>239.99</v>
      </c>
      <c r="H159" s="243"/>
      <c r="J159" s="163" t="s">
        <v>120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120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120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212</v>
      </c>
      <c r="B162" s="152"/>
      <c r="C162" s="152"/>
      <c r="D162" s="152"/>
      <c r="E162" s="152"/>
      <c r="F162" s="152"/>
      <c r="G162" s="152"/>
      <c r="H162" s="152"/>
      <c r="J162" s="152" t="s">
        <v>212</v>
      </c>
      <c r="K162" s="152"/>
      <c r="L162" s="152"/>
      <c r="M162" s="152"/>
      <c r="N162" s="152"/>
      <c r="O162" s="152"/>
      <c r="P162" s="152"/>
      <c r="Q162" s="152"/>
      <c r="S162" s="152" t="s">
        <v>212</v>
      </c>
      <c r="T162" s="152"/>
      <c r="U162" s="152"/>
      <c r="V162" s="152"/>
      <c r="W162" s="152"/>
      <c r="X162" s="152"/>
      <c r="Y162" s="152"/>
      <c r="Z162" s="152"/>
      <c r="AB162" s="152" t="s">
        <v>212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123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123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123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123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213</v>
      </c>
      <c r="B166" s="245" t="s">
        <v>214</v>
      </c>
      <c r="C166" s="245"/>
      <c r="D166" s="245"/>
      <c r="E166" s="245" t="s">
        <v>215</v>
      </c>
      <c r="F166" s="140"/>
      <c r="G166" s="140"/>
      <c r="H166" s="125"/>
      <c r="J166" s="244" t="s">
        <v>213</v>
      </c>
      <c r="K166" s="245" t="s">
        <v>214</v>
      </c>
      <c r="L166" s="245"/>
      <c r="M166" s="245"/>
      <c r="N166" s="245" t="s">
        <v>215</v>
      </c>
      <c r="O166" s="140"/>
      <c r="P166" s="140"/>
      <c r="Q166" s="125"/>
      <c r="S166" s="244" t="s">
        <v>213</v>
      </c>
      <c r="T166" s="245" t="s">
        <v>214</v>
      </c>
      <c r="U166" s="245"/>
      <c r="V166" s="245"/>
      <c r="W166" s="245" t="s">
        <v>215</v>
      </c>
      <c r="X166" s="140"/>
      <c r="Y166" s="140"/>
      <c r="Z166" s="125"/>
      <c r="AB166" s="244" t="s">
        <v>213</v>
      </c>
      <c r="AC166" s="245" t="s">
        <v>214</v>
      </c>
      <c r="AD166" s="245"/>
      <c r="AE166" s="245"/>
      <c r="AF166" s="245" t="s">
        <v>215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42.3771428571428</v>
      </c>
      <c r="C167" s="245"/>
      <c r="D167" s="245"/>
      <c r="E167" s="108" t="n">
        <f aca="false">B96</f>
        <v>1261.13933396034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216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216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216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216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217</v>
      </c>
      <c r="B172" s="126" t="s">
        <v>218</v>
      </c>
      <c r="C172" s="126"/>
      <c r="D172" s="140"/>
      <c r="E172" s="126" t="s">
        <v>219</v>
      </c>
      <c r="F172" s="140"/>
      <c r="G172" s="140"/>
      <c r="H172" s="125"/>
      <c r="J172" s="120" t="s">
        <v>217</v>
      </c>
      <c r="K172" s="126" t="s">
        <v>218</v>
      </c>
      <c r="L172" s="126"/>
      <c r="M172" s="140"/>
      <c r="N172" s="126" t="s">
        <v>219</v>
      </c>
      <c r="O172" s="140"/>
      <c r="P172" s="140"/>
      <c r="Q172" s="125"/>
      <c r="S172" s="120" t="s">
        <v>217</v>
      </c>
      <c r="T172" s="126" t="s">
        <v>218</v>
      </c>
      <c r="U172" s="126"/>
      <c r="V172" s="140"/>
      <c r="W172" s="126" t="s">
        <v>219</v>
      </c>
      <c r="X172" s="140"/>
      <c r="Y172" s="140"/>
      <c r="Z172" s="125"/>
      <c r="AB172" s="120" t="s">
        <v>217</v>
      </c>
      <c r="AC172" s="126" t="s">
        <v>218</v>
      </c>
      <c r="AD172" s="126"/>
      <c r="AE172" s="140"/>
      <c r="AF172" s="126" t="s">
        <v>219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220</v>
      </c>
      <c r="B175" s="126" t="s">
        <v>119</v>
      </c>
      <c r="C175" s="126"/>
      <c r="D175" s="140"/>
      <c r="E175" s="126" t="s">
        <v>195</v>
      </c>
      <c r="F175" s="140"/>
      <c r="G175" s="140"/>
      <c r="H175" s="125"/>
      <c r="J175" s="120" t="s">
        <v>220</v>
      </c>
      <c r="K175" s="126" t="s">
        <v>119</v>
      </c>
      <c r="L175" s="126"/>
      <c r="M175" s="140"/>
      <c r="N175" s="126" t="s">
        <v>195</v>
      </c>
      <c r="O175" s="140"/>
      <c r="P175" s="140"/>
      <c r="Q175" s="125"/>
      <c r="S175" s="120" t="s">
        <v>220</v>
      </c>
      <c r="T175" s="126" t="s">
        <v>119</v>
      </c>
      <c r="U175" s="126"/>
      <c r="V175" s="140"/>
      <c r="W175" s="126" t="s">
        <v>195</v>
      </c>
      <c r="X175" s="140"/>
      <c r="Y175" s="140"/>
      <c r="Z175" s="125"/>
      <c r="AB175" s="120" t="s">
        <v>220</v>
      </c>
      <c r="AC175" s="126" t="s">
        <v>119</v>
      </c>
      <c r="AD175" s="126"/>
      <c r="AE175" s="140"/>
      <c r="AF175" s="126" t="s">
        <v>195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10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10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10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10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196</v>
      </c>
      <c r="B178" s="126" t="s">
        <v>115</v>
      </c>
      <c r="C178" s="126"/>
      <c r="D178" s="140"/>
      <c r="E178" s="126" t="s">
        <v>211</v>
      </c>
      <c r="F178" s="140"/>
      <c r="G178" s="140"/>
      <c r="H178" s="125"/>
      <c r="J178" s="120" t="s">
        <v>196</v>
      </c>
      <c r="K178" s="126" t="s">
        <v>115</v>
      </c>
      <c r="L178" s="126"/>
      <c r="M178" s="140"/>
      <c r="N178" s="126" t="s">
        <v>211</v>
      </c>
      <c r="O178" s="140"/>
      <c r="P178" s="140"/>
      <c r="Q178" s="125"/>
      <c r="S178" s="120" t="s">
        <v>196</v>
      </c>
      <c r="T178" s="126" t="s">
        <v>115</v>
      </c>
      <c r="U178" s="126"/>
      <c r="V178" s="140"/>
      <c r="W178" s="126" t="s">
        <v>211</v>
      </c>
      <c r="X178" s="140"/>
      <c r="Y178" s="140"/>
      <c r="Z178" s="125"/>
      <c r="AB178" s="120" t="s">
        <v>196</v>
      </c>
      <c r="AC178" s="126" t="s">
        <v>115</v>
      </c>
      <c r="AD178" s="126"/>
      <c r="AE178" s="140"/>
      <c r="AF178" s="126" t="s">
        <v>211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10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10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10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10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221</v>
      </c>
      <c r="B181" s="126" t="s">
        <v>120</v>
      </c>
      <c r="C181" s="126"/>
      <c r="D181" s="140"/>
      <c r="E181" s="126" t="s">
        <v>222</v>
      </c>
      <c r="F181" s="140"/>
      <c r="G181" s="140"/>
      <c r="H181" s="125"/>
      <c r="J181" s="120" t="s">
        <v>221</v>
      </c>
      <c r="K181" s="126" t="s">
        <v>120</v>
      </c>
      <c r="L181" s="126"/>
      <c r="M181" s="140"/>
      <c r="N181" s="126" t="s">
        <v>222</v>
      </c>
      <c r="O181" s="140"/>
      <c r="P181" s="140"/>
      <c r="Q181" s="125"/>
      <c r="S181" s="120" t="s">
        <v>221</v>
      </c>
      <c r="T181" s="126" t="s">
        <v>120</v>
      </c>
      <c r="U181" s="126"/>
      <c r="V181" s="140"/>
      <c r="W181" s="126" t="s">
        <v>222</v>
      </c>
      <c r="X181" s="140"/>
      <c r="Y181" s="140"/>
      <c r="Z181" s="125"/>
      <c r="AB181" s="120" t="s">
        <v>221</v>
      </c>
      <c r="AC181" s="126" t="s">
        <v>120</v>
      </c>
      <c r="AD181" s="126"/>
      <c r="AE181" s="140"/>
      <c r="AF181" s="126" t="s">
        <v>222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239.99</v>
      </c>
      <c r="C182" s="112"/>
      <c r="D182" s="140"/>
      <c r="E182" s="112" t="n">
        <f aca="false">E179+A182+B182+A185</f>
        <v>70406.6666886121</v>
      </c>
      <c r="F182" s="140"/>
      <c r="G182" s="140"/>
      <c r="H182" s="110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10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10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10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223</v>
      </c>
      <c r="B184" s="126" t="s">
        <v>224</v>
      </c>
      <c r="C184" s="126"/>
      <c r="D184" s="140"/>
      <c r="E184" s="126" t="s">
        <v>225</v>
      </c>
      <c r="F184" s="140"/>
      <c r="G184" s="140"/>
      <c r="H184" s="125"/>
      <c r="J184" s="120" t="s">
        <v>223</v>
      </c>
      <c r="K184" s="126" t="s">
        <v>224</v>
      </c>
      <c r="L184" s="126"/>
      <c r="M184" s="140"/>
      <c r="N184" s="126" t="s">
        <v>225</v>
      </c>
      <c r="O184" s="140"/>
      <c r="P184" s="140"/>
      <c r="Q184" s="125"/>
      <c r="S184" s="120" t="s">
        <v>223</v>
      </c>
      <c r="T184" s="126" t="s">
        <v>224</v>
      </c>
      <c r="U184" s="126"/>
      <c r="V184" s="140"/>
      <c r="W184" s="126" t="s">
        <v>225</v>
      </c>
      <c r="X184" s="140"/>
      <c r="Y184" s="140"/>
      <c r="Z184" s="125"/>
      <c r="AB184" s="120" t="s">
        <v>223</v>
      </c>
      <c r="AC184" s="126" t="s">
        <v>224</v>
      </c>
      <c r="AD184" s="126"/>
      <c r="AE184" s="140"/>
      <c r="AF184" s="126" t="s">
        <v>225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239.99</v>
      </c>
      <c r="C185" s="112"/>
      <c r="D185" s="140"/>
      <c r="E185" s="112" t="n">
        <f aca="false">E170+A185</f>
        <v>27510</v>
      </c>
      <c r="F185" s="140"/>
      <c r="G185" s="140"/>
      <c r="H185" s="110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10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10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10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226</v>
      </c>
      <c r="B187" s="126" t="s">
        <v>227</v>
      </c>
      <c r="C187" s="126"/>
      <c r="D187" s="126"/>
      <c r="E187" s="100" t="s">
        <v>228</v>
      </c>
      <c r="F187" s="140"/>
      <c r="G187" s="140"/>
      <c r="H187" s="125"/>
      <c r="J187" s="120" t="s">
        <v>226</v>
      </c>
      <c r="K187" s="126" t="s">
        <v>227</v>
      </c>
      <c r="L187" s="126"/>
      <c r="M187" s="126"/>
      <c r="N187" s="100" t="s">
        <v>228</v>
      </c>
      <c r="O187" s="140"/>
      <c r="P187" s="140"/>
      <c r="Q187" s="125"/>
      <c r="S187" s="120" t="s">
        <v>226</v>
      </c>
      <c r="T187" s="126" t="s">
        <v>227</v>
      </c>
      <c r="U187" s="126"/>
      <c r="V187" s="126"/>
      <c r="W187" s="100" t="s">
        <v>228</v>
      </c>
      <c r="X187" s="248"/>
      <c r="Y187" s="248"/>
      <c r="Z187" s="125"/>
      <c r="AB187" s="120" t="s">
        <v>226</v>
      </c>
      <c r="AC187" s="126" t="s">
        <v>227</v>
      </c>
      <c r="AD187" s="126"/>
      <c r="AE187" s="126"/>
      <c r="AF187" s="100" t="s">
        <v>228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229</v>
      </c>
      <c r="B190" s="100" t="s">
        <v>230</v>
      </c>
      <c r="C190" s="126"/>
      <c r="D190" s="126"/>
      <c r="E190" s="100" t="s">
        <v>231</v>
      </c>
      <c r="F190" s="140"/>
      <c r="G190" s="140"/>
      <c r="H190" s="125"/>
      <c r="J190" s="167" t="s">
        <v>229</v>
      </c>
      <c r="K190" s="100" t="s">
        <v>230</v>
      </c>
      <c r="L190" s="126"/>
      <c r="M190" s="126"/>
      <c r="N190" s="100" t="s">
        <v>231</v>
      </c>
      <c r="O190" s="140"/>
      <c r="P190" s="140"/>
      <c r="Q190" s="125"/>
      <c r="S190" s="167" t="s">
        <v>229</v>
      </c>
      <c r="T190" s="100" t="s">
        <v>230</v>
      </c>
      <c r="U190" s="126"/>
      <c r="V190" s="126"/>
      <c r="W190" s="100" t="s">
        <v>231</v>
      </c>
      <c r="X190" s="248"/>
      <c r="Y190" s="248"/>
      <c r="Z190" s="125"/>
      <c r="AB190" s="167" t="s">
        <v>229</v>
      </c>
      <c r="AC190" s="100" t="s">
        <v>230</v>
      </c>
      <c r="AD190" s="126"/>
      <c r="AE190" s="126"/>
      <c r="AF190" s="100" t="s">
        <v>231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139.99</v>
      </c>
      <c r="B191" s="112" t="n">
        <f aca="false">B188+E188+A191</f>
        <v>526.37125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232</v>
      </c>
      <c r="B193" s="126"/>
      <c r="C193" s="126"/>
      <c r="D193" s="172"/>
      <c r="E193" s="172"/>
      <c r="F193" s="172"/>
      <c r="G193" s="172"/>
      <c r="H193" s="173"/>
      <c r="J193" s="171" t="s">
        <v>232</v>
      </c>
      <c r="K193" s="126"/>
      <c r="L193" s="126"/>
      <c r="M193" s="172"/>
      <c r="N193" s="172"/>
      <c r="O193" s="172"/>
      <c r="P193" s="172"/>
      <c r="Q193" s="173"/>
      <c r="S193" s="171" t="s">
        <v>232</v>
      </c>
      <c r="T193" s="126"/>
      <c r="U193" s="126"/>
      <c r="V193" s="172"/>
      <c r="W193" s="172"/>
      <c r="X193" s="172"/>
      <c r="Y193" s="172"/>
      <c r="Z193" s="173"/>
      <c r="AB193" s="171" t="s">
        <v>232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str">
        <f aca="false">B30</f>
        <v>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B29</f>
        <v>0</v>
      </c>
      <c r="B197" s="71" t="n">
        <f aca="false">B96</f>
        <v>1261.13933396034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142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143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144</v>
      </c>
      <c r="K27" s="151" t="n">
        <v>1</v>
      </c>
      <c r="P27" s="141"/>
    </row>
    <row r="28" customFormat="false" ht="22.05" hidden="false" customHeight="false" outlineLevel="0" collapsed="false">
      <c r="A28" s="152" t="s">
        <v>95</v>
      </c>
      <c r="B28" s="152"/>
      <c r="C28" s="152"/>
      <c r="D28" s="152"/>
      <c r="E28" s="152"/>
      <c r="F28" s="152"/>
      <c r="G28" s="152"/>
      <c r="H28" s="152"/>
      <c r="I28" s="115"/>
      <c r="J28" s="150" t="s">
        <v>145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123</v>
      </c>
      <c r="B30" s="49" t="s">
        <v>146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147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148</v>
      </c>
      <c r="F32" s="126"/>
      <c r="G32" s="126"/>
      <c r="H32" s="125"/>
      <c r="I32" s="115" t="n">
        <v>0</v>
      </c>
      <c r="J32" s="148" t="s">
        <v>149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150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151</v>
      </c>
      <c r="B35" s="126" t="s">
        <v>152</v>
      </c>
      <c r="C35" s="126"/>
      <c r="D35" s="141"/>
      <c r="E35" s="126" t="s">
        <v>153</v>
      </c>
      <c r="F35" s="159"/>
      <c r="G35" s="159"/>
      <c r="H35" s="157"/>
      <c r="I35" s="115"/>
      <c r="J35" s="160" t="s">
        <v>154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155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156</v>
      </c>
      <c r="B39" s="126" t="s">
        <v>157</v>
      </c>
      <c r="C39" s="126"/>
      <c r="D39" s="141"/>
      <c r="E39" s="126" t="s">
        <v>158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8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159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160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161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162</v>
      </c>
      <c r="K43" s="115"/>
      <c r="L43" s="115"/>
      <c r="P43" s="141"/>
    </row>
    <row r="44" customFormat="false" ht="17.35" hidden="false" customHeight="false" outlineLevel="0" collapsed="false">
      <c r="A44" s="167" t="s">
        <v>163</v>
      </c>
      <c r="B44" s="126"/>
      <c r="C44" s="12" t="s">
        <v>164</v>
      </c>
      <c r="D44" s="12"/>
      <c r="E44" s="126"/>
      <c r="F44" s="126"/>
      <c r="G44" s="126"/>
      <c r="H44" s="125"/>
      <c r="J44" s="115" t="s">
        <v>165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168" t="s">
        <v>166</v>
      </c>
      <c r="B45" s="126"/>
      <c r="C45" s="169" t="s">
        <v>166</v>
      </c>
      <c r="D45" s="169"/>
      <c r="E45" s="169"/>
      <c r="F45" s="126"/>
      <c r="G45" s="126"/>
      <c r="H45" s="125"/>
      <c r="J45" s="115" t="s">
        <v>167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168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169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170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171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172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172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172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172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173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173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173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173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174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174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174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174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175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175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175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175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B77/H29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176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176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176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176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159</v>
      </c>
      <c r="B82" s="125" t="n">
        <f aca="false">A40</f>
        <v>27500</v>
      </c>
      <c r="C82" s="126"/>
      <c r="D82" s="126"/>
      <c r="E82" s="181"/>
      <c r="F82" s="181"/>
      <c r="G82" s="181"/>
      <c r="H82" s="125"/>
      <c r="J82" s="120" t="s">
        <v>159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159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159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177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177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177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177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178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178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178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178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179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179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179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179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180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180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180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180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181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181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181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181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182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182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182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182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183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183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183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183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IF(B26="YES",((E40/B85)*(1+A108)),"0")</f>
        <v>35.3142857142857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1254.07647681749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186</v>
      </c>
      <c r="B100" s="116"/>
      <c r="C100" s="116"/>
      <c r="D100" s="116"/>
      <c r="E100" s="116"/>
      <c r="F100" s="116"/>
      <c r="G100" s="116"/>
      <c r="H100" s="116"/>
      <c r="J100" s="116" t="s">
        <v>185</v>
      </c>
      <c r="K100" s="116"/>
      <c r="L100" s="116"/>
      <c r="M100" s="116"/>
      <c r="N100" s="116"/>
      <c r="O100" s="116"/>
      <c r="P100" s="116"/>
      <c r="Q100" s="116"/>
      <c r="S100" s="116" t="s">
        <v>186</v>
      </c>
      <c r="T100" s="116"/>
      <c r="U100" s="116"/>
      <c r="V100" s="116"/>
      <c r="W100" s="116"/>
      <c r="X100" s="116"/>
      <c r="Y100" s="116"/>
      <c r="Z100" s="116"/>
      <c r="AB100" s="116" t="s">
        <v>184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95</v>
      </c>
      <c r="B102" s="152"/>
      <c r="C102" s="152"/>
      <c r="D102" s="152"/>
      <c r="E102" s="152"/>
      <c r="F102" s="152"/>
      <c r="G102" s="152"/>
      <c r="H102" s="152"/>
      <c r="J102" s="152" t="s">
        <v>95</v>
      </c>
      <c r="K102" s="152"/>
      <c r="L102" s="152"/>
      <c r="M102" s="152"/>
      <c r="N102" s="152"/>
      <c r="O102" s="152"/>
      <c r="P102" s="152"/>
      <c r="Q102" s="152"/>
      <c r="S102" s="152" t="s">
        <v>95</v>
      </c>
      <c r="T102" s="152"/>
      <c r="U102" s="152"/>
      <c r="V102" s="152"/>
      <c r="W102" s="152"/>
      <c r="X102" s="152"/>
      <c r="Y102" s="152"/>
      <c r="Z102" s="152"/>
      <c r="AB102" s="152" t="s">
        <v>95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96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96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96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96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187</v>
      </c>
      <c r="B105" s="112" t="s">
        <v>42</v>
      </c>
      <c r="C105" s="112"/>
      <c r="D105" s="112"/>
      <c r="E105" s="49" t="s">
        <v>25</v>
      </c>
      <c r="F105" s="49"/>
      <c r="G105" s="49"/>
      <c r="H105" s="202"/>
      <c r="J105" s="146" t="s">
        <v>187</v>
      </c>
      <c r="K105" s="112" t="s">
        <v>42</v>
      </c>
      <c r="L105" s="112"/>
      <c r="M105" s="112"/>
      <c r="N105" s="49" t="s">
        <v>25</v>
      </c>
      <c r="O105" s="49"/>
      <c r="P105" s="49"/>
      <c r="Q105" s="202"/>
      <c r="S105" s="146" t="s">
        <v>187</v>
      </c>
      <c r="T105" s="112" t="s">
        <v>42</v>
      </c>
      <c r="U105" s="112"/>
      <c r="V105" s="112"/>
      <c r="W105" s="49" t="s">
        <v>25</v>
      </c>
      <c r="X105" s="49"/>
      <c r="Y105" s="49"/>
      <c r="Z105" s="202"/>
      <c r="AB105" s="146" t="s">
        <v>187</v>
      </c>
      <c r="AC105" s="112" t="s">
        <v>42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188</v>
      </c>
      <c r="C107" s="126"/>
      <c r="D107" s="181"/>
      <c r="E107" s="126" t="s">
        <v>189</v>
      </c>
      <c r="F107" s="126"/>
      <c r="G107" s="181"/>
      <c r="H107" s="202"/>
      <c r="J107" s="120" t="s">
        <v>105</v>
      </c>
      <c r="K107" s="126" t="s">
        <v>188</v>
      </c>
      <c r="L107" s="126"/>
      <c r="M107" s="181"/>
      <c r="N107" s="126" t="s">
        <v>189</v>
      </c>
      <c r="O107" s="126"/>
      <c r="P107" s="181"/>
      <c r="Q107" s="202"/>
      <c r="S107" s="120" t="s">
        <v>105</v>
      </c>
      <c r="T107" s="126" t="s">
        <v>188</v>
      </c>
      <c r="U107" s="126"/>
      <c r="V107" s="181"/>
      <c r="W107" s="126" t="s">
        <v>189</v>
      </c>
      <c r="X107" s="126"/>
      <c r="Y107" s="181"/>
      <c r="Z107" s="202"/>
      <c r="AB107" s="120" t="s">
        <v>105</v>
      </c>
      <c r="AC107" s="126" t="s">
        <v>188</v>
      </c>
      <c r="AD107" s="126"/>
      <c r="AE107" s="181"/>
      <c r="AF107" s="126" t="s">
        <v>189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190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191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192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192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193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191</v>
      </c>
    </row>
    <row r="110" customFormat="false" ht="17.35" hidden="false" customHeight="false" outlineLevel="0" collapsed="false">
      <c r="A110" s="120" t="s">
        <v>194</v>
      </c>
      <c r="B110" s="126" t="s">
        <v>119</v>
      </c>
      <c r="C110" s="126"/>
      <c r="D110" s="126"/>
      <c r="E110" s="126" t="s">
        <v>195</v>
      </c>
      <c r="F110" s="126"/>
      <c r="G110" s="126"/>
      <c r="H110" s="125"/>
      <c r="J110" s="120" t="s">
        <v>194</v>
      </c>
      <c r="K110" s="126" t="s">
        <v>119</v>
      </c>
      <c r="L110" s="126"/>
      <c r="M110" s="126"/>
      <c r="N110" s="126" t="s">
        <v>195</v>
      </c>
      <c r="O110" s="126"/>
      <c r="P110" s="126"/>
      <c r="Q110" s="125"/>
      <c r="S110" s="120" t="s">
        <v>194</v>
      </c>
      <c r="T110" s="126" t="s">
        <v>119</v>
      </c>
      <c r="U110" s="126"/>
      <c r="V110" s="126"/>
      <c r="W110" s="126" t="s">
        <v>195</v>
      </c>
      <c r="X110" s="126"/>
      <c r="Y110" s="126"/>
      <c r="Z110" s="125"/>
      <c r="AB110" s="120" t="s">
        <v>194</v>
      </c>
      <c r="AC110" s="126" t="s">
        <v>119</v>
      </c>
      <c r="AD110" s="126"/>
      <c r="AE110" s="126"/>
      <c r="AF110" s="126" t="s">
        <v>195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196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196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196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196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233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198</v>
      </c>
      <c r="B117" s="152"/>
      <c r="C117" s="152"/>
      <c r="D117" s="152"/>
      <c r="E117" s="152"/>
      <c r="F117" s="152"/>
      <c r="G117" s="152"/>
      <c r="H117" s="152"/>
      <c r="J117" s="152" t="s">
        <v>198</v>
      </c>
      <c r="K117" s="152"/>
      <c r="L117" s="152"/>
      <c r="M117" s="152"/>
      <c r="N117" s="152"/>
      <c r="O117" s="152"/>
      <c r="P117" s="152"/>
      <c r="Q117" s="152"/>
      <c r="S117" s="152" t="s">
        <v>198</v>
      </c>
      <c r="T117" s="152"/>
      <c r="U117" s="152"/>
      <c r="V117" s="152"/>
      <c r="W117" s="152"/>
      <c r="X117" s="152"/>
      <c r="Y117" s="152"/>
      <c r="Z117" s="152"/>
      <c r="AB117" s="152" t="s">
        <v>198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199</v>
      </c>
      <c r="C120" s="211" t="s">
        <v>200</v>
      </c>
      <c r="D120" s="210" t="s">
        <v>199</v>
      </c>
      <c r="E120" s="212" t="s">
        <v>200</v>
      </c>
      <c r="F120" s="210" t="s">
        <v>199</v>
      </c>
      <c r="G120" s="212" t="s">
        <v>200</v>
      </c>
      <c r="H120" s="213"/>
      <c r="J120" s="117"/>
      <c r="K120" s="210" t="s">
        <v>199</v>
      </c>
      <c r="L120" s="211" t="s">
        <v>200</v>
      </c>
      <c r="M120" s="210" t="s">
        <v>199</v>
      </c>
      <c r="N120" s="212" t="s">
        <v>200</v>
      </c>
      <c r="O120" s="210" t="s">
        <v>199</v>
      </c>
      <c r="P120" s="212" t="s">
        <v>200</v>
      </c>
      <c r="Q120" s="213"/>
      <c r="S120" s="117"/>
      <c r="T120" s="210" t="s">
        <v>199</v>
      </c>
      <c r="U120" s="211" t="s">
        <v>200</v>
      </c>
      <c r="V120" s="210" t="s">
        <v>199</v>
      </c>
      <c r="W120" s="212" t="s">
        <v>200</v>
      </c>
      <c r="X120" s="210" t="s">
        <v>199</v>
      </c>
      <c r="Y120" s="212" t="s">
        <v>200</v>
      </c>
      <c r="Z120" s="213"/>
      <c r="AB120" s="117"/>
      <c r="AC120" s="210" t="s">
        <v>199</v>
      </c>
      <c r="AD120" s="211" t="s">
        <v>200</v>
      </c>
      <c r="AE120" s="210" t="s">
        <v>199</v>
      </c>
      <c r="AF120" s="212" t="s">
        <v>200</v>
      </c>
      <c r="AG120" s="210" t="s">
        <v>199</v>
      </c>
      <c r="AH120" s="212" t="s">
        <v>200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199</v>
      </c>
      <c r="H127" s="223" t="s">
        <v>200</v>
      </c>
      <c r="J127" s="221"/>
      <c r="K127" s="222"/>
      <c r="L127" s="222"/>
      <c r="M127" s="222"/>
      <c r="N127" s="222"/>
      <c r="O127" s="222"/>
      <c r="P127" s="128" t="s">
        <v>199</v>
      </c>
      <c r="Q127" s="223" t="s">
        <v>200</v>
      </c>
      <c r="S127" s="221"/>
      <c r="T127" s="222"/>
      <c r="U127" s="222"/>
      <c r="V127" s="222"/>
      <c r="W127" s="222"/>
      <c r="X127" s="222"/>
      <c r="Y127" s="128" t="s">
        <v>199</v>
      </c>
      <c r="Z127" s="223" t="s">
        <v>200</v>
      </c>
      <c r="AB127" s="221"/>
      <c r="AC127" s="222"/>
      <c r="AD127" s="222"/>
      <c r="AE127" s="222"/>
      <c r="AF127" s="222"/>
      <c r="AG127" s="222"/>
      <c r="AH127" s="128" t="s">
        <v>199</v>
      </c>
      <c r="AI127" s="223" t="s">
        <v>200</v>
      </c>
    </row>
    <row r="128" customFormat="false" ht="17.35" hidden="false" customHeight="false" outlineLevel="0" collapsed="false">
      <c r="A128" s="224" t="s">
        <v>201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201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201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201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202</v>
      </c>
      <c r="B130" s="228" t="s">
        <v>203</v>
      </c>
      <c r="C130" s="228"/>
      <c r="D130" s="228" t="s">
        <v>204</v>
      </c>
      <c r="E130" s="228"/>
      <c r="F130" s="228" t="s">
        <v>7</v>
      </c>
      <c r="G130" s="228"/>
      <c r="H130" s="229" t="s">
        <v>200</v>
      </c>
      <c r="J130" s="230" t="s">
        <v>202</v>
      </c>
      <c r="K130" s="228" t="s">
        <v>203</v>
      </c>
      <c r="L130" s="228"/>
      <c r="M130" s="228" t="s">
        <v>204</v>
      </c>
      <c r="N130" s="228"/>
      <c r="O130" s="228" t="s">
        <v>7</v>
      </c>
      <c r="P130" s="228"/>
      <c r="Q130" s="229" t="s">
        <v>200</v>
      </c>
      <c r="S130" s="230" t="s">
        <v>202</v>
      </c>
      <c r="T130" s="228" t="s">
        <v>203</v>
      </c>
      <c r="U130" s="228"/>
      <c r="V130" s="228" t="s">
        <v>204</v>
      </c>
      <c r="W130" s="228"/>
      <c r="X130" s="228" t="s">
        <v>7</v>
      </c>
      <c r="Y130" s="228"/>
      <c r="Z130" s="229" t="s">
        <v>200</v>
      </c>
      <c r="AB130" s="230" t="s">
        <v>202</v>
      </c>
      <c r="AC130" s="228" t="s">
        <v>203</v>
      </c>
      <c r="AD130" s="228"/>
      <c r="AE130" s="228" t="s">
        <v>204</v>
      </c>
      <c r="AF130" s="228"/>
      <c r="AG130" s="228" t="s">
        <v>7</v>
      </c>
      <c r="AH130" s="228"/>
      <c r="AI130" s="229" t="s">
        <v>200</v>
      </c>
    </row>
    <row r="131" customFormat="false" ht="17.35" hidden="false" customHeight="false" outlineLevel="0" collapsed="false">
      <c r="A131" s="120" t="s">
        <v>205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205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205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205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206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206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206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206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207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207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207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207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208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208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208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208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209</v>
      </c>
      <c r="B150" s="152"/>
      <c r="C150" s="152"/>
      <c r="D150" s="152"/>
      <c r="E150" s="152"/>
      <c r="F150" s="152"/>
      <c r="G150" s="152"/>
      <c r="H150" s="152"/>
      <c r="J150" s="152" t="s">
        <v>209</v>
      </c>
      <c r="K150" s="152"/>
      <c r="L150" s="152"/>
      <c r="M150" s="152"/>
      <c r="N150" s="152"/>
      <c r="O150" s="152"/>
      <c r="P150" s="152"/>
      <c r="Q150" s="152"/>
      <c r="S150" s="152" t="s">
        <v>209</v>
      </c>
      <c r="T150" s="152"/>
      <c r="U150" s="152"/>
      <c r="V150" s="152"/>
      <c r="W150" s="152"/>
      <c r="X150" s="152"/>
      <c r="Y150" s="152"/>
      <c r="Z150" s="152"/>
      <c r="AB150" s="152" t="s">
        <v>209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115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115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115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115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116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116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116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116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117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117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117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117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118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118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118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118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210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210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210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210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211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211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211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211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120</v>
      </c>
      <c r="B159" s="164"/>
      <c r="C159" s="164"/>
      <c r="D159" s="200"/>
      <c r="E159" s="164"/>
      <c r="F159" s="200"/>
      <c r="G159" s="243" t="str">
        <f aca="false">B114</f>
        <v>199.99</v>
      </c>
      <c r="H159" s="243"/>
      <c r="J159" s="163" t="s">
        <v>120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120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120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212</v>
      </c>
      <c r="B162" s="152"/>
      <c r="C162" s="152"/>
      <c r="D162" s="152"/>
      <c r="E162" s="152"/>
      <c r="F162" s="152"/>
      <c r="G162" s="152"/>
      <c r="H162" s="152"/>
      <c r="J162" s="152" t="s">
        <v>212</v>
      </c>
      <c r="K162" s="152"/>
      <c r="L162" s="152"/>
      <c r="M162" s="152"/>
      <c r="N162" s="152"/>
      <c r="O162" s="152"/>
      <c r="P162" s="152"/>
      <c r="Q162" s="152"/>
      <c r="S162" s="152" t="s">
        <v>212</v>
      </c>
      <c r="T162" s="152"/>
      <c r="U162" s="152"/>
      <c r="V162" s="152"/>
      <c r="W162" s="152"/>
      <c r="X162" s="152"/>
      <c r="Y162" s="152"/>
      <c r="Z162" s="152"/>
      <c r="AB162" s="152" t="s">
        <v>212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123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123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123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123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213</v>
      </c>
      <c r="B166" s="245" t="s">
        <v>214</v>
      </c>
      <c r="C166" s="245"/>
      <c r="D166" s="245"/>
      <c r="E166" s="245" t="s">
        <v>215</v>
      </c>
      <c r="F166" s="140"/>
      <c r="G166" s="140"/>
      <c r="H166" s="125"/>
      <c r="J166" s="244" t="s">
        <v>213</v>
      </c>
      <c r="K166" s="245" t="s">
        <v>214</v>
      </c>
      <c r="L166" s="245"/>
      <c r="M166" s="245"/>
      <c r="N166" s="245" t="s">
        <v>215</v>
      </c>
      <c r="O166" s="140"/>
      <c r="P166" s="140"/>
      <c r="Q166" s="125"/>
      <c r="S166" s="244" t="s">
        <v>213</v>
      </c>
      <c r="T166" s="245" t="s">
        <v>214</v>
      </c>
      <c r="U166" s="245"/>
      <c r="V166" s="245"/>
      <c r="W166" s="245" t="s">
        <v>215</v>
      </c>
      <c r="X166" s="140"/>
      <c r="Y166" s="140"/>
      <c r="Z166" s="125"/>
      <c r="AB166" s="244" t="s">
        <v>213</v>
      </c>
      <c r="AC166" s="245" t="s">
        <v>214</v>
      </c>
      <c r="AD166" s="245"/>
      <c r="AE166" s="245"/>
      <c r="AF166" s="245" t="s">
        <v>215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35.3142857142857</v>
      </c>
      <c r="C167" s="245"/>
      <c r="D167" s="245"/>
      <c r="E167" s="108" t="n">
        <f aca="false">B96</f>
        <v>1254.07647681749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216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216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216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216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217</v>
      </c>
      <c r="B172" s="126" t="s">
        <v>218</v>
      </c>
      <c r="C172" s="126"/>
      <c r="D172" s="140"/>
      <c r="E172" s="126" t="s">
        <v>219</v>
      </c>
      <c r="F172" s="140"/>
      <c r="G172" s="140"/>
      <c r="H172" s="125"/>
      <c r="J172" s="120" t="s">
        <v>217</v>
      </c>
      <c r="K172" s="126" t="s">
        <v>218</v>
      </c>
      <c r="L172" s="126"/>
      <c r="M172" s="140"/>
      <c r="N172" s="126" t="s">
        <v>219</v>
      </c>
      <c r="O172" s="140"/>
      <c r="P172" s="140"/>
      <c r="Q172" s="125"/>
      <c r="S172" s="120" t="s">
        <v>217</v>
      </c>
      <c r="T172" s="126" t="s">
        <v>218</v>
      </c>
      <c r="U172" s="126"/>
      <c r="V172" s="140"/>
      <c r="W172" s="126" t="s">
        <v>219</v>
      </c>
      <c r="X172" s="140"/>
      <c r="Y172" s="140"/>
      <c r="Z172" s="125"/>
      <c r="AB172" s="120" t="s">
        <v>217</v>
      </c>
      <c r="AC172" s="126" t="s">
        <v>218</v>
      </c>
      <c r="AD172" s="126"/>
      <c r="AE172" s="140"/>
      <c r="AF172" s="126" t="s">
        <v>219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220</v>
      </c>
      <c r="B175" s="126" t="s">
        <v>119</v>
      </c>
      <c r="C175" s="126"/>
      <c r="D175" s="140"/>
      <c r="E175" s="126" t="s">
        <v>195</v>
      </c>
      <c r="F175" s="140"/>
      <c r="G175" s="140"/>
      <c r="H175" s="125"/>
      <c r="J175" s="120" t="s">
        <v>220</v>
      </c>
      <c r="K175" s="126" t="s">
        <v>119</v>
      </c>
      <c r="L175" s="126"/>
      <c r="M175" s="140"/>
      <c r="N175" s="126" t="s">
        <v>195</v>
      </c>
      <c r="O175" s="140"/>
      <c r="P175" s="140"/>
      <c r="Q175" s="125"/>
      <c r="S175" s="120" t="s">
        <v>220</v>
      </c>
      <c r="T175" s="126" t="s">
        <v>119</v>
      </c>
      <c r="U175" s="126"/>
      <c r="V175" s="140"/>
      <c r="W175" s="126" t="s">
        <v>195</v>
      </c>
      <c r="X175" s="140"/>
      <c r="Y175" s="140"/>
      <c r="Z175" s="125"/>
      <c r="AB175" s="120" t="s">
        <v>220</v>
      </c>
      <c r="AC175" s="126" t="s">
        <v>119</v>
      </c>
      <c r="AD175" s="126"/>
      <c r="AE175" s="140"/>
      <c r="AF175" s="126" t="s">
        <v>195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10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10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10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10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196</v>
      </c>
      <c r="B178" s="126" t="s">
        <v>115</v>
      </c>
      <c r="C178" s="126"/>
      <c r="D178" s="140"/>
      <c r="E178" s="126" t="s">
        <v>211</v>
      </c>
      <c r="F178" s="140"/>
      <c r="G178" s="140"/>
      <c r="H178" s="125"/>
      <c r="J178" s="120" t="s">
        <v>196</v>
      </c>
      <c r="K178" s="126" t="s">
        <v>115</v>
      </c>
      <c r="L178" s="126"/>
      <c r="M178" s="140"/>
      <c r="N178" s="126" t="s">
        <v>211</v>
      </c>
      <c r="O178" s="140"/>
      <c r="P178" s="140"/>
      <c r="Q178" s="125"/>
      <c r="S178" s="120" t="s">
        <v>196</v>
      </c>
      <c r="T178" s="126" t="s">
        <v>115</v>
      </c>
      <c r="U178" s="126"/>
      <c r="V178" s="140"/>
      <c r="W178" s="126" t="s">
        <v>211</v>
      </c>
      <c r="X178" s="140"/>
      <c r="Y178" s="140"/>
      <c r="Z178" s="125"/>
      <c r="AB178" s="120" t="s">
        <v>196</v>
      </c>
      <c r="AC178" s="126" t="s">
        <v>115</v>
      </c>
      <c r="AD178" s="126"/>
      <c r="AE178" s="140"/>
      <c r="AF178" s="126" t="s">
        <v>211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10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10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10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10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221</v>
      </c>
      <c r="B181" s="126" t="s">
        <v>120</v>
      </c>
      <c r="C181" s="126"/>
      <c r="D181" s="140"/>
      <c r="E181" s="126" t="s">
        <v>222</v>
      </c>
      <c r="F181" s="140"/>
      <c r="G181" s="140"/>
      <c r="H181" s="125"/>
      <c r="J181" s="120" t="s">
        <v>221</v>
      </c>
      <c r="K181" s="126" t="s">
        <v>120</v>
      </c>
      <c r="L181" s="126"/>
      <c r="M181" s="140"/>
      <c r="N181" s="126" t="s">
        <v>222</v>
      </c>
      <c r="O181" s="140"/>
      <c r="P181" s="140"/>
      <c r="Q181" s="125"/>
      <c r="S181" s="120" t="s">
        <v>221</v>
      </c>
      <c r="T181" s="126" t="s">
        <v>120</v>
      </c>
      <c r="U181" s="126"/>
      <c r="V181" s="140"/>
      <c r="W181" s="126" t="s">
        <v>222</v>
      </c>
      <c r="X181" s="140"/>
      <c r="Y181" s="140"/>
      <c r="Z181" s="125"/>
      <c r="AB181" s="120" t="s">
        <v>221</v>
      </c>
      <c r="AC181" s="126" t="s">
        <v>120</v>
      </c>
      <c r="AD181" s="126"/>
      <c r="AE181" s="140"/>
      <c r="AF181" s="126" t="s">
        <v>222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199.99</v>
      </c>
      <c r="C182" s="112"/>
      <c r="D182" s="140"/>
      <c r="E182" s="112" t="n">
        <f aca="false">E179+A182+B182+A185</f>
        <v>70366.6666886121</v>
      </c>
      <c r="F182" s="140"/>
      <c r="G182" s="140"/>
      <c r="H182" s="110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10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10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10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223</v>
      </c>
      <c r="B184" s="126" t="s">
        <v>224</v>
      </c>
      <c r="C184" s="126"/>
      <c r="D184" s="140"/>
      <c r="E184" s="126" t="s">
        <v>225</v>
      </c>
      <c r="F184" s="140"/>
      <c r="G184" s="140"/>
      <c r="H184" s="125"/>
      <c r="J184" s="120" t="s">
        <v>223</v>
      </c>
      <c r="K184" s="126" t="s">
        <v>224</v>
      </c>
      <c r="L184" s="126"/>
      <c r="M184" s="140"/>
      <c r="N184" s="126" t="s">
        <v>225</v>
      </c>
      <c r="O184" s="140"/>
      <c r="P184" s="140"/>
      <c r="Q184" s="125"/>
      <c r="S184" s="120" t="s">
        <v>223</v>
      </c>
      <c r="T184" s="126" t="s">
        <v>224</v>
      </c>
      <c r="U184" s="126"/>
      <c r="V184" s="140"/>
      <c r="W184" s="126" t="s">
        <v>225</v>
      </c>
      <c r="X184" s="140"/>
      <c r="Y184" s="140"/>
      <c r="Z184" s="125"/>
      <c r="AB184" s="120" t="s">
        <v>223</v>
      </c>
      <c r="AC184" s="126" t="s">
        <v>224</v>
      </c>
      <c r="AD184" s="126"/>
      <c r="AE184" s="140"/>
      <c r="AF184" s="126" t="s">
        <v>225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199.99</v>
      </c>
      <c r="C185" s="112"/>
      <c r="D185" s="140"/>
      <c r="E185" s="112" t="n">
        <f aca="false">E170+A185</f>
        <v>27510</v>
      </c>
      <c r="F185" s="140"/>
      <c r="G185" s="140"/>
      <c r="H185" s="110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10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10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10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226</v>
      </c>
      <c r="B187" s="126" t="s">
        <v>227</v>
      </c>
      <c r="C187" s="126"/>
      <c r="D187" s="126"/>
      <c r="E187" s="100" t="s">
        <v>228</v>
      </c>
      <c r="F187" s="140"/>
      <c r="G187" s="140"/>
      <c r="H187" s="125"/>
      <c r="J187" s="120" t="s">
        <v>226</v>
      </c>
      <c r="K187" s="126" t="s">
        <v>227</v>
      </c>
      <c r="L187" s="126"/>
      <c r="M187" s="126"/>
      <c r="N187" s="100" t="s">
        <v>228</v>
      </c>
      <c r="O187" s="140"/>
      <c r="P187" s="140"/>
      <c r="Q187" s="125"/>
      <c r="S187" s="120" t="s">
        <v>226</v>
      </c>
      <c r="T187" s="126" t="s">
        <v>227</v>
      </c>
      <c r="U187" s="126"/>
      <c r="V187" s="126"/>
      <c r="W187" s="100" t="s">
        <v>228</v>
      </c>
      <c r="X187" s="248"/>
      <c r="Y187" s="248"/>
      <c r="Z187" s="125"/>
      <c r="AB187" s="120" t="s">
        <v>226</v>
      </c>
      <c r="AC187" s="126" t="s">
        <v>227</v>
      </c>
      <c r="AD187" s="126"/>
      <c r="AE187" s="126"/>
      <c r="AF187" s="100" t="s">
        <v>228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229</v>
      </c>
      <c r="B190" s="100" t="s">
        <v>230</v>
      </c>
      <c r="C190" s="126"/>
      <c r="D190" s="126"/>
      <c r="E190" s="100" t="s">
        <v>231</v>
      </c>
      <c r="F190" s="140"/>
      <c r="G190" s="140"/>
      <c r="H190" s="125"/>
      <c r="J190" s="167" t="s">
        <v>229</v>
      </c>
      <c r="K190" s="100" t="s">
        <v>230</v>
      </c>
      <c r="L190" s="126"/>
      <c r="M190" s="126"/>
      <c r="N190" s="100" t="s">
        <v>231</v>
      </c>
      <c r="O190" s="140"/>
      <c r="P190" s="140"/>
      <c r="Q190" s="125"/>
      <c r="S190" s="167" t="s">
        <v>229</v>
      </c>
      <c r="T190" s="100" t="s">
        <v>230</v>
      </c>
      <c r="U190" s="126"/>
      <c r="V190" s="126"/>
      <c r="W190" s="100" t="s">
        <v>231</v>
      </c>
      <c r="X190" s="248"/>
      <c r="Y190" s="248"/>
      <c r="Z190" s="125"/>
      <c r="AB190" s="167" t="s">
        <v>229</v>
      </c>
      <c r="AC190" s="100" t="s">
        <v>230</v>
      </c>
      <c r="AD190" s="126"/>
      <c r="AE190" s="126"/>
      <c r="AF190" s="100" t="s">
        <v>231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99.99</v>
      </c>
      <c r="B191" s="112" t="n">
        <f aca="false">B188+E188+A191</f>
        <v>486.37125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232</v>
      </c>
      <c r="B193" s="126"/>
      <c r="C193" s="126"/>
      <c r="D193" s="172"/>
      <c r="E193" s="172"/>
      <c r="F193" s="172"/>
      <c r="G193" s="172"/>
      <c r="H193" s="173"/>
      <c r="J193" s="171" t="s">
        <v>232</v>
      </c>
      <c r="K193" s="126"/>
      <c r="L193" s="126"/>
      <c r="M193" s="172"/>
      <c r="N193" s="172"/>
      <c r="O193" s="172"/>
      <c r="P193" s="172"/>
      <c r="Q193" s="173"/>
      <c r="S193" s="171" t="s">
        <v>232</v>
      </c>
      <c r="T193" s="126"/>
      <c r="U193" s="126"/>
      <c r="V193" s="172"/>
      <c r="W193" s="172"/>
      <c r="X193" s="172"/>
      <c r="Y193" s="172"/>
      <c r="Z193" s="173"/>
      <c r="AB193" s="171" t="s">
        <v>232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str">
        <f aca="false">B30</f>
        <v>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B29</f>
        <v>0</v>
      </c>
      <c r="B197" s="71" t="n">
        <f aca="false">B96</f>
        <v>1254.07647681749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142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143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144</v>
      </c>
      <c r="K27" s="151" t="n">
        <v>1</v>
      </c>
      <c r="P27" s="141"/>
    </row>
    <row r="28" customFormat="false" ht="22.05" hidden="false" customHeight="false" outlineLevel="0" collapsed="false">
      <c r="A28" s="152" t="s">
        <v>95</v>
      </c>
      <c r="B28" s="152"/>
      <c r="C28" s="152"/>
      <c r="D28" s="152"/>
      <c r="E28" s="152"/>
      <c r="F28" s="152"/>
      <c r="G28" s="152"/>
      <c r="H28" s="152"/>
      <c r="I28" s="115"/>
      <c r="J28" s="150" t="s">
        <v>145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123</v>
      </c>
      <c r="B30" s="49" t="s">
        <v>146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147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148</v>
      </c>
      <c r="F32" s="126"/>
      <c r="G32" s="126"/>
      <c r="H32" s="125"/>
      <c r="I32" s="115" t="n">
        <v>0</v>
      </c>
      <c r="J32" s="148" t="s">
        <v>149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150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151</v>
      </c>
      <c r="B35" s="126" t="s">
        <v>152</v>
      </c>
      <c r="C35" s="126"/>
      <c r="D35" s="141"/>
      <c r="E35" s="126" t="s">
        <v>153</v>
      </c>
      <c r="F35" s="159"/>
      <c r="G35" s="159"/>
      <c r="H35" s="157"/>
      <c r="I35" s="115"/>
      <c r="J35" s="160" t="s">
        <v>154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155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156</v>
      </c>
      <c r="B39" s="126" t="s">
        <v>157</v>
      </c>
      <c r="C39" s="126"/>
      <c r="D39" s="141"/>
      <c r="E39" s="126" t="s">
        <v>158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7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159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160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161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162</v>
      </c>
      <c r="K43" s="115"/>
      <c r="L43" s="115"/>
      <c r="P43" s="141"/>
    </row>
    <row r="44" customFormat="false" ht="17.35" hidden="false" customHeight="false" outlineLevel="0" collapsed="false">
      <c r="A44" s="167" t="s">
        <v>163</v>
      </c>
      <c r="B44" s="126"/>
      <c r="C44" s="12" t="s">
        <v>164</v>
      </c>
      <c r="D44" s="12"/>
      <c r="E44" s="126"/>
      <c r="F44" s="126"/>
      <c r="G44" s="126"/>
      <c r="H44" s="125"/>
      <c r="J44" s="115" t="s">
        <v>165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249" t="s">
        <v>166</v>
      </c>
      <c r="B45" s="126"/>
      <c r="C45" s="169" t="s">
        <v>166</v>
      </c>
      <c r="D45" s="169"/>
      <c r="E45" s="169"/>
      <c r="F45" s="126"/>
      <c r="G45" s="126"/>
      <c r="H45" s="125"/>
      <c r="J45" s="115" t="s">
        <v>167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168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169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170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171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172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172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172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172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173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173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173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173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174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174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174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174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175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175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175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175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B77/H29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176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176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176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176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159</v>
      </c>
      <c r="B82" s="125" t="n">
        <f aca="false">IF(A111 = "YES", A40, 0)</f>
        <v>27500</v>
      </c>
      <c r="C82" s="126"/>
      <c r="D82" s="126"/>
      <c r="E82" s="181"/>
      <c r="F82" s="181"/>
      <c r="G82" s="181"/>
      <c r="H82" s="125"/>
      <c r="J82" s="120" t="s">
        <v>159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159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159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177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177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177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177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178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178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178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178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179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179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179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179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180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180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180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180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181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181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181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181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182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182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182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182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183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183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183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183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IF(B26="YES",((E40/B85)*(1+A108)*1.2),"0")</f>
        <v>42.3771428571428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1261.13933396034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185</v>
      </c>
      <c r="B100" s="116"/>
      <c r="C100" s="116"/>
      <c r="D100" s="116"/>
      <c r="E100" s="116"/>
      <c r="F100" s="116"/>
      <c r="G100" s="116"/>
      <c r="H100" s="116"/>
      <c r="J100" s="116" t="s">
        <v>185</v>
      </c>
      <c r="K100" s="116"/>
      <c r="L100" s="116"/>
      <c r="M100" s="116"/>
      <c r="N100" s="116"/>
      <c r="O100" s="116"/>
      <c r="P100" s="116"/>
      <c r="Q100" s="116"/>
      <c r="S100" s="116" t="s">
        <v>186</v>
      </c>
      <c r="T100" s="116"/>
      <c r="U100" s="116"/>
      <c r="V100" s="116"/>
      <c r="W100" s="116"/>
      <c r="X100" s="116"/>
      <c r="Y100" s="116"/>
      <c r="Z100" s="116"/>
      <c r="AB100" s="116" t="s">
        <v>184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95</v>
      </c>
      <c r="B102" s="152"/>
      <c r="C102" s="152"/>
      <c r="D102" s="152"/>
      <c r="E102" s="152"/>
      <c r="F102" s="152"/>
      <c r="G102" s="152"/>
      <c r="H102" s="152"/>
      <c r="J102" s="152" t="s">
        <v>95</v>
      </c>
      <c r="K102" s="152"/>
      <c r="L102" s="152"/>
      <c r="M102" s="152"/>
      <c r="N102" s="152"/>
      <c r="O102" s="152"/>
      <c r="P102" s="152"/>
      <c r="Q102" s="152"/>
      <c r="S102" s="152" t="s">
        <v>95</v>
      </c>
      <c r="T102" s="152"/>
      <c r="U102" s="152"/>
      <c r="V102" s="152"/>
      <c r="W102" s="152"/>
      <c r="X102" s="152"/>
      <c r="Y102" s="152"/>
      <c r="Z102" s="152"/>
      <c r="AB102" s="152" t="s">
        <v>95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96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96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96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96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187</v>
      </c>
      <c r="B105" s="112" t="s">
        <v>42</v>
      </c>
      <c r="C105" s="112"/>
      <c r="D105" s="112"/>
      <c r="E105" s="49" t="s">
        <v>25</v>
      </c>
      <c r="F105" s="49"/>
      <c r="G105" s="49"/>
      <c r="H105" s="202"/>
      <c r="J105" s="146" t="s">
        <v>187</v>
      </c>
      <c r="K105" s="112" t="s">
        <v>42</v>
      </c>
      <c r="L105" s="112"/>
      <c r="M105" s="112"/>
      <c r="N105" s="49" t="s">
        <v>25</v>
      </c>
      <c r="O105" s="49"/>
      <c r="P105" s="49"/>
      <c r="Q105" s="202"/>
      <c r="S105" s="146" t="s">
        <v>187</v>
      </c>
      <c r="T105" s="112" t="s">
        <v>42</v>
      </c>
      <c r="U105" s="112"/>
      <c r="V105" s="112"/>
      <c r="W105" s="49" t="s">
        <v>25</v>
      </c>
      <c r="X105" s="49"/>
      <c r="Y105" s="49"/>
      <c r="Z105" s="202"/>
      <c r="AB105" s="146" t="s">
        <v>187</v>
      </c>
      <c r="AC105" s="112" t="s">
        <v>42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188</v>
      </c>
      <c r="C107" s="126"/>
      <c r="D107" s="181"/>
      <c r="E107" s="126" t="s">
        <v>189</v>
      </c>
      <c r="F107" s="126"/>
      <c r="G107" s="181"/>
      <c r="H107" s="202"/>
      <c r="J107" s="120" t="s">
        <v>105</v>
      </c>
      <c r="K107" s="126" t="s">
        <v>188</v>
      </c>
      <c r="L107" s="126"/>
      <c r="M107" s="181"/>
      <c r="N107" s="126" t="s">
        <v>189</v>
      </c>
      <c r="O107" s="126"/>
      <c r="P107" s="181"/>
      <c r="Q107" s="202"/>
      <c r="S107" s="120" t="s">
        <v>105</v>
      </c>
      <c r="T107" s="126" t="s">
        <v>188</v>
      </c>
      <c r="U107" s="126"/>
      <c r="V107" s="181"/>
      <c r="W107" s="126" t="s">
        <v>189</v>
      </c>
      <c r="X107" s="126"/>
      <c r="Y107" s="181"/>
      <c r="Z107" s="202"/>
      <c r="AB107" s="120" t="s">
        <v>105</v>
      </c>
      <c r="AC107" s="126" t="s">
        <v>188</v>
      </c>
      <c r="AD107" s="126"/>
      <c r="AE107" s="181"/>
      <c r="AF107" s="126" t="s">
        <v>189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190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191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192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192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193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191</v>
      </c>
    </row>
    <row r="110" customFormat="false" ht="17.35" hidden="false" customHeight="false" outlineLevel="0" collapsed="false">
      <c r="A110" s="120" t="s">
        <v>194</v>
      </c>
      <c r="B110" s="126" t="s">
        <v>119</v>
      </c>
      <c r="C110" s="126"/>
      <c r="D110" s="126"/>
      <c r="E110" s="126" t="s">
        <v>195</v>
      </c>
      <c r="F110" s="126"/>
      <c r="G110" s="126"/>
      <c r="H110" s="125"/>
      <c r="J110" s="120" t="s">
        <v>194</v>
      </c>
      <c r="K110" s="126" t="s">
        <v>119</v>
      </c>
      <c r="L110" s="126"/>
      <c r="M110" s="126"/>
      <c r="N110" s="126" t="s">
        <v>195</v>
      </c>
      <c r="O110" s="126"/>
      <c r="P110" s="126"/>
      <c r="Q110" s="125"/>
      <c r="S110" s="120" t="s">
        <v>194</v>
      </c>
      <c r="T110" s="126" t="s">
        <v>119</v>
      </c>
      <c r="U110" s="126"/>
      <c r="V110" s="126"/>
      <c r="W110" s="126" t="s">
        <v>195</v>
      </c>
      <c r="X110" s="126"/>
      <c r="Y110" s="126"/>
      <c r="Z110" s="125"/>
      <c r="AB110" s="120" t="s">
        <v>194</v>
      </c>
      <c r="AC110" s="126" t="s">
        <v>119</v>
      </c>
      <c r="AD110" s="126"/>
      <c r="AE110" s="126"/>
      <c r="AF110" s="126" t="s">
        <v>195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196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196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196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196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197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198</v>
      </c>
      <c r="B117" s="152"/>
      <c r="C117" s="152"/>
      <c r="D117" s="152"/>
      <c r="E117" s="152"/>
      <c r="F117" s="152"/>
      <c r="G117" s="152"/>
      <c r="H117" s="152"/>
      <c r="J117" s="152" t="s">
        <v>198</v>
      </c>
      <c r="K117" s="152"/>
      <c r="L117" s="152"/>
      <c r="M117" s="152"/>
      <c r="N117" s="152"/>
      <c r="O117" s="152"/>
      <c r="P117" s="152"/>
      <c r="Q117" s="152"/>
      <c r="S117" s="152" t="s">
        <v>198</v>
      </c>
      <c r="T117" s="152"/>
      <c r="U117" s="152"/>
      <c r="V117" s="152"/>
      <c r="W117" s="152"/>
      <c r="X117" s="152"/>
      <c r="Y117" s="152"/>
      <c r="Z117" s="152"/>
      <c r="AB117" s="152" t="s">
        <v>198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199</v>
      </c>
      <c r="C120" s="211" t="s">
        <v>200</v>
      </c>
      <c r="D120" s="210" t="s">
        <v>199</v>
      </c>
      <c r="E120" s="212" t="s">
        <v>200</v>
      </c>
      <c r="F120" s="210" t="s">
        <v>199</v>
      </c>
      <c r="G120" s="212" t="s">
        <v>200</v>
      </c>
      <c r="H120" s="213"/>
      <c r="J120" s="117"/>
      <c r="K120" s="210" t="s">
        <v>199</v>
      </c>
      <c r="L120" s="211" t="s">
        <v>200</v>
      </c>
      <c r="M120" s="210" t="s">
        <v>199</v>
      </c>
      <c r="N120" s="212" t="s">
        <v>200</v>
      </c>
      <c r="O120" s="210" t="s">
        <v>199</v>
      </c>
      <c r="P120" s="212" t="s">
        <v>200</v>
      </c>
      <c r="Q120" s="213"/>
      <c r="S120" s="117"/>
      <c r="T120" s="210" t="s">
        <v>199</v>
      </c>
      <c r="U120" s="211" t="s">
        <v>200</v>
      </c>
      <c r="V120" s="210" t="s">
        <v>199</v>
      </c>
      <c r="W120" s="212" t="s">
        <v>200</v>
      </c>
      <c r="X120" s="210" t="s">
        <v>199</v>
      </c>
      <c r="Y120" s="212" t="s">
        <v>200</v>
      </c>
      <c r="Z120" s="213"/>
      <c r="AB120" s="117"/>
      <c r="AC120" s="210" t="s">
        <v>199</v>
      </c>
      <c r="AD120" s="211" t="s">
        <v>200</v>
      </c>
      <c r="AE120" s="210" t="s">
        <v>199</v>
      </c>
      <c r="AF120" s="212" t="s">
        <v>200</v>
      </c>
      <c r="AG120" s="210" t="s">
        <v>199</v>
      </c>
      <c r="AH120" s="212" t="s">
        <v>200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199</v>
      </c>
      <c r="H127" s="223" t="s">
        <v>200</v>
      </c>
      <c r="J127" s="221"/>
      <c r="K127" s="222"/>
      <c r="L127" s="222"/>
      <c r="M127" s="222"/>
      <c r="N127" s="222"/>
      <c r="O127" s="222"/>
      <c r="P127" s="128" t="s">
        <v>199</v>
      </c>
      <c r="Q127" s="223" t="s">
        <v>200</v>
      </c>
      <c r="S127" s="221"/>
      <c r="T127" s="222"/>
      <c r="U127" s="222"/>
      <c r="V127" s="222"/>
      <c r="W127" s="222"/>
      <c r="X127" s="222"/>
      <c r="Y127" s="128" t="s">
        <v>199</v>
      </c>
      <c r="Z127" s="223" t="s">
        <v>200</v>
      </c>
      <c r="AB127" s="221"/>
      <c r="AC127" s="222"/>
      <c r="AD127" s="222"/>
      <c r="AE127" s="222"/>
      <c r="AF127" s="222"/>
      <c r="AG127" s="222"/>
      <c r="AH127" s="128" t="s">
        <v>199</v>
      </c>
      <c r="AI127" s="223" t="s">
        <v>200</v>
      </c>
    </row>
    <row r="128" customFormat="false" ht="17.35" hidden="false" customHeight="false" outlineLevel="0" collapsed="false">
      <c r="A128" s="224" t="s">
        <v>201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201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201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201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202</v>
      </c>
      <c r="B130" s="228" t="s">
        <v>203</v>
      </c>
      <c r="C130" s="228"/>
      <c r="D130" s="228" t="s">
        <v>204</v>
      </c>
      <c r="E130" s="228"/>
      <c r="F130" s="228" t="s">
        <v>7</v>
      </c>
      <c r="G130" s="228"/>
      <c r="H130" s="229" t="s">
        <v>200</v>
      </c>
      <c r="J130" s="230" t="s">
        <v>202</v>
      </c>
      <c r="K130" s="228" t="s">
        <v>203</v>
      </c>
      <c r="L130" s="228"/>
      <c r="M130" s="228" t="s">
        <v>204</v>
      </c>
      <c r="N130" s="228"/>
      <c r="O130" s="228" t="s">
        <v>7</v>
      </c>
      <c r="P130" s="228"/>
      <c r="Q130" s="229" t="s">
        <v>200</v>
      </c>
      <c r="S130" s="230" t="s">
        <v>202</v>
      </c>
      <c r="T130" s="228" t="s">
        <v>203</v>
      </c>
      <c r="U130" s="228"/>
      <c r="V130" s="228" t="s">
        <v>204</v>
      </c>
      <c r="W130" s="228"/>
      <c r="X130" s="228" t="s">
        <v>7</v>
      </c>
      <c r="Y130" s="228"/>
      <c r="Z130" s="229" t="s">
        <v>200</v>
      </c>
      <c r="AB130" s="230" t="s">
        <v>202</v>
      </c>
      <c r="AC130" s="228" t="s">
        <v>203</v>
      </c>
      <c r="AD130" s="228"/>
      <c r="AE130" s="228" t="s">
        <v>204</v>
      </c>
      <c r="AF130" s="228"/>
      <c r="AG130" s="228" t="s">
        <v>7</v>
      </c>
      <c r="AH130" s="228"/>
      <c r="AI130" s="229" t="s">
        <v>200</v>
      </c>
    </row>
    <row r="131" customFormat="false" ht="17.35" hidden="false" customHeight="false" outlineLevel="0" collapsed="false">
      <c r="A131" s="120" t="s">
        <v>205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205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205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205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206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206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206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206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207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207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207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207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208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208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208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208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209</v>
      </c>
      <c r="B150" s="152"/>
      <c r="C150" s="152"/>
      <c r="D150" s="152"/>
      <c r="E150" s="152"/>
      <c r="F150" s="152"/>
      <c r="G150" s="152"/>
      <c r="H150" s="152"/>
      <c r="J150" s="152" t="s">
        <v>209</v>
      </c>
      <c r="K150" s="152"/>
      <c r="L150" s="152"/>
      <c r="M150" s="152"/>
      <c r="N150" s="152"/>
      <c r="O150" s="152"/>
      <c r="P150" s="152"/>
      <c r="Q150" s="152"/>
      <c r="S150" s="152" t="s">
        <v>209</v>
      </c>
      <c r="T150" s="152"/>
      <c r="U150" s="152"/>
      <c r="V150" s="152"/>
      <c r="W150" s="152"/>
      <c r="X150" s="152"/>
      <c r="Y150" s="152"/>
      <c r="Z150" s="152"/>
      <c r="AB150" s="152" t="s">
        <v>209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115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115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115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115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116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116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116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116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117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117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117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117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118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118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118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118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210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210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210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210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211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211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211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211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120</v>
      </c>
      <c r="B159" s="164"/>
      <c r="C159" s="164"/>
      <c r="D159" s="200"/>
      <c r="E159" s="164"/>
      <c r="F159" s="200"/>
      <c r="G159" s="243" t="str">
        <f aca="false">B114</f>
        <v>239.99</v>
      </c>
      <c r="H159" s="243"/>
      <c r="J159" s="163" t="s">
        <v>120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120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120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212</v>
      </c>
      <c r="B162" s="152"/>
      <c r="C162" s="152"/>
      <c r="D162" s="152"/>
      <c r="E162" s="152"/>
      <c r="F162" s="152"/>
      <c r="G162" s="152"/>
      <c r="H162" s="152"/>
      <c r="J162" s="152" t="s">
        <v>212</v>
      </c>
      <c r="K162" s="152"/>
      <c r="L162" s="152"/>
      <c r="M162" s="152"/>
      <c r="N162" s="152"/>
      <c r="O162" s="152"/>
      <c r="P162" s="152"/>
      <c r="Q162" s="152"/>
      <c r="S162" s="152" t="s">
        <v>212</v>
      </c>
      <c r="T162" s="152"/>
      <c r="U162" s="152"/>
      <c r="V162" s="152"/>
      <c r="W162" s="152"/>
      <c r="X162" s="152"/>
      <c r="Y162" s="152"/>
      <c r="Z162" s="152"/>
      <c r="AB162" s="152" t="s">
        <v>212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123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123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123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123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213</v>
      </c>
      <c r="B166" s="245" t="s">
        <v>214</v>
      </c>
      <c r="C166" s="245"/>
      <c r="D166" s="245"/>
      <c r="E166" s="245" t="s">
        <v>215</v>
      </c>
      <c r="F166" s="140"/>
      <c r="G166" s="140"/>
      <c r="H166" s="125"/>
      <c r="J166" s="244" t="s">
        <v>213</v>
      </c>
      <c r="K166" s="245" t="s">
        <v>214</v>
      </c>
      <c r="L166" s="245"/>
      <c r="M166" s="245"/>
      <c r="N166" s="245" t="s">
        <v>215</v>
      </c>
      <c r="O166" s="140"/>
      <c r="P166" s="140"/>
      <c r="Q166" s="125"/>
      <c r="S166" s="244" t="s">
        <v>213</v>
      </c>
      <c r="T166" s="245" t="s">
        <v>214</v>
      </c>
      <c r="U166" s="245"/>
      <c r="V166" s="245"/>
      <c r="W166" s="245" t="s">
        <v>215</v>
      </c>
      <c r="X166" s="140"/>
      <c r="Y166" s="140"/>
      <c r="Z166" s="125"/>
      <c r="AB166" s="244" t="s">
        <v>213</v>
      </c>
      <c r="AC166" s="245" t="s">
        <v>214</v>
      </c>
      <c r="AD166" s="245"/>
      <c r="AE166" s="245"/>
      <c r="AF166" s="245" t="s">
        <v>215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42.3771428571428</v>
      </c>
      <c r="C167" s="245"/>
      <c r="D167" s="245"/>
      <c r="E167" s="108" t="n">
        <f aca="false">B96</f>
        <v>1261.13933396034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216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216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216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216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217</v>
      </c>
      <c r="B172" s="126" t="s">
        <v>218</v>
      </c>
      <c r="C172" s="126"/>
      <c r="D172" s="140"/>
      <c r="E172" s="126" t="s">
        <v>219</v>
      </c>
      <c r="F172" s="140"/>
      <c r="G172" s="140"/>
      <c r="H172" s="125"/>
      <c r="J172" s="120" t="s">
        <v>217</v>
      </c>
      <c r="K172" s="126" t="s">
        <v>218</v>
      </c>
      <c r="L172" s="126"/>
      <c r="M172" s="140"/>
      <c r="N172" s="126" t="s">
        <v>219</v>
      </c>
      <c r="O172" s="140"/>
      <c r="P172" s="140"/>
      <c r="Q172" s="125"/>
      <c r="S172" s="120" t="s">
        <v>217</v>
      </c>
      <c r="T172" s="126" t="s">
        <v>218</v>
      </c>
      <c r="U172" s="126"/>
      <c r="V172" s="140"/>
      <c r="W172" s="126" t="s">
        <v>219</v>
      </c>
      <c r="X172" s="140"/>
      <c r="Y172" s="140"/>
      <c r="Z172" s="125"/>
      <c r="AB172" s="120" t="s">
        <v>217</v>
      </c>
      <c r="AC172" s="126" t="s">
        <v>218</v>
      </c>
      <c r="AD172" s="126"/>
      <c r="AE172" s="140"/>
      <c r="AF172" s="126" t="s">
        <v>219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220</v>
      </c>
      <c r="B175" s="126" t="s">
        <v>119</v>
      </c>
      <c r="C175" s="126"/>
      <c r="D175" s="140"/>
      <c r="E175" s="126" t="s">
        <v>195</v>
      </c>
      <c r="F175" s="140"/>
      <c r="G175" s="140"/>
      <c r="H175" s="125"/>
      <c r="J175" s="120" t="s">
        <v>220</v>
      </c>
      <c r="K175" s="126" t="s">
        <v>119</v>
      </c>
      <c r="L175" s="126"/>
      <c r="M175" s="140"/>
      <c r="N175" s="126" t="s">
        <v>195</v>
      </c>
      <c r="O175" s="140"/>
      <c r="P175" s="140"/>
      <c r="Q175" s="125"/>
      <c r="S175" s="120" t="s">
        <v>220</v>
      </c>
      <c r="T175" s="126" t="s">
        <v>119</v>
      </c>
      <c r="U175" s="126"/>
      <c r="V175" s="140"/>
      <c r="W175" s="126" t="s">
        <v>195</v>
      </c>
      <c r="X175" s="140"/>
      <c r="Y175" s="140"/>
      <c r="Z175" s="125"/>
      <c r="AB175" s="120" t="s">
        <v>220</v>
      </c>
      <c r="AC175" s="126" t="s">
        <v>119</v>
      </c>
      <c r="AD175" s="126"/>
      <c r="AE175" s="140"/>
      <c r="AF175" s="126" t="s">
        <v>195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10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10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10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10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196</v>
      </c>
      <c r="B178" s="126" t="s">
        <v>115</v>
      </c>
      <c r="C178" s="126"/>
      <c r="D178" s="140"/>
      <c r="E178" s="126" t="s">
        <v>211</v>
      </c>
      <c r="F178" s="140"/>
      <c r="G178" s="140"/>
      <c r="H178" s="125"/>
      <c r="J178" s="120" t="s">
        <v>196</v>
      </c>
      <c r="K178" s="126" t="s">
        <v>115</v>
      </c>
      <c r="L178" s="126"/>
      <c r="M178" s="140"/>
      <c r="N178" s="126" t="s">
        <v>211</v>
      </c>
      <c r="O178" s="140"/>
      <c r="P178" s="140"/>
      <c r="Q178" s="125"/>
      <c r="S178" s="120" t="s">
        <v>196</v>
      </c>
      <c r="T178" s="126" t="s">
        <v>115</v>
      </c>
      <c r="U178" s="126"/>
      <c r="V178" s="140"/>
      <c r="W178" s="126" t="s">
        <v>211</v>
      </c>
      <c r="X178" s="140"/>
      <c r="Y178" s="140"/>
      <c r="Z178" s="125"/>
      <c r="AB178" s="120" t="s">
        <v>196</v>
      </c>
      <c r="AC178" s="126" t="s">
        <v>115</v>
      </c>
      <c r="AD178" s="126"/>
      <c r="AE178" s="140"/>
      <c r="AF178" s="126" t="s">
        <v>211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10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10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10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10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221</v>
      </c>
      <c r="B181" s="126" t="s">
        <v>120</v>
      </c>
      <c r="C181" s="126"/>
      <c r="D181" s="140"/>
      <c r="E181" s="126" t="s">
        <v>222</v>
      </c>
      <c r="F181" s="140"/>
      <c r="G181" s="140"/>
      <c r="H181" s="125"/>
      <c r="J181" s="120" t="s">
        <v>221</v>
      </c>
      <c r="K181" s="126" t="s">
        <v>120</v>
      </c>
      <c r="L181" s="126"/>
      <c r="M181" s="140"/>
      <c r="N181" s="126" t="s">
        <v>222</v>
      </c>
      <c r="O181" s="140"/>
      <c r="P181" s="140"/>
      <c r="Q181" s="125"/>
      <c r="S181" s="120" t="s">
        <v>221</v>
      </c>
      <c r="T181" s="126" t="s">
        <v>120</v>
      </c>
      <c r="U181" s="126"/>
      <c r="V181" s="140"/>
      <c r="W181" s="126" t="s">
        <v>222</v>
      </c>
      <c r="X181" s="140"/>
      <c r="Y181" s="140"/>
      <c r="Z181" s="125"/>
      <c r="AB181" s="120" t="s">
        <v>221</v>
      </c>
      <c r="AC181" s="126" t="s">
        <v>120</v>
      </c>
      <c r="AD181" s="126"/>
      <c r="AE181" s="140"/>
      <c r="AF181" s="126" t="s">
        <v>222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239.99</v>
      </c>
      <c r="C182" s="112"/>
      <c r="D182" s="140"/>
      <c r="E182" s="112" t="n">
        <f aca="false">E179+A182+B182+A185</f>
        <v>70406.6666886121</v>
      </c>
      <c r="F182" s="140"/>
      <c r="G182" s="140"/>
      <c r="H182" s="110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10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10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10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223</v>
      </c>
      <c r="B184" s="126" t="s">
        <v>224</v>
      </c>
      <c r="C184" s="126"/>
      <c r="D184" s="140"/>
      <c r="E184" s="126" t="s">
        <v>225</v>
      </c>
      <c r="F184" s="140"/>
      <c r="G184" s="140"/>
      <c r="H184" s="125"/>
      <c r="J184" s="120" t="s">
        <v>223</v>
      </c>
      <c r="K184" s="126" t="s">
        <v>224</v>
      </c>
      <c r="L184" s="126"/>
      <c r="M184" s="140"/>
      <c r="N184" s="126" t="s">
        <v>225</v>
      </c>
      <c r="O184" s="140"/>
      <c r="P184" s="140"/>
      <c r="Q184" s="125"/>
      <c r="S184" s="120" t="s">
        <v>223</v>
      </c>
      <c r="T184" s="126" t="s">
        <v>224</v>
      </c>
      <c r="U184" s="126"/>
      <c r="V184" s="140"/>
      <c r="W184" s="126" t="s">
        <v>225</v>
      </c>
      <c r="X184" s="140"/>
      <c r="Y184" s="140"/>
      <c r="Z184" s="125"/>
      <c r="AB184" s="120" t="s">
        <v>223</v>
      </c>
      <c r="AC184" s="126" t="s">
        <v>224</v>
      </c>
      <c r="AD184" s="126"/>
      <c r="AE184" s="140"/>
      <c r="AF184" s="126" t="s">
        <v>225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239.99</v>
      </c>
      <c r="C185" s="112"/>
      <c r="D185" s="140"/>
      <c r="E185" s="112" t="n">
        <f aca="false">E170+A185</f>
        <v>27510</v>
      </c>
      <c r="F185" s="140"/>
      <c r="G185" s="140"/>
      <c r="H185" s="110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10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10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10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226</v>
      </c>
      <c r="B187" s="126" t="s">
        <v>227</v>
      </c>
      <c r="C187" s="126"/>
      <c r="D187" s="126"/>
      <c r="E187" s="100" t="s">
        <v>228</v>
      </c>
      <c r="F187" s="140"/>
      <c r="G187" s="140"/>
      <c r="H187" s="125"/>
      <c r="J187" s="120" t="s">
        <v>226</v>
      </c>
      <c r="K187" s="126" t="s">
        <v>227</v>
      </c>
      <c r="L187" s="126"/>
      <c r="M187" s="126"/>
      <c r="N187" s="100" t="s">
        <v>228</v>
      </c>
      <c r="O187" s="140"/>
      <c r="P187" s="140"/>
      <c r="Q187" s="125"/>
      <c r="S187" s="120" t="s">
        <v>226</v>
      </c>
      <c r="T187" s="126" t="s">
        <v>227</v>
      </c>
      <c r="U187" s="126"/>
      <c r="V187" s="126"/>
      <c r="W187" s="100" t="s">
        <v>228</v>
      </c>
      <c r="X187" s="248"/>
      <c r="Y187" s="248"/>
      <c r="Z187" s="125"/>
      <c r="AB187" s="120" t="s">
        <v>226</v>
      </c>
      <c r="AC187" s="126" t="s">
        <v>227</v>
      </c>
      <c r="AD187" s="126"/>
      <c r="AE187" s="126"/>
      <c r="AF187" s="100" t="s">
        <v>228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229</v>
      </c>
      <c r="B190" s="100" t="s">
        <v>230</v>
      </c>
      <c r="C190" s="126"/>
      <c r="D190" s="126"/>
      <c r="E190" s="100" t="s">
        <v>231</v>
      </c>
      <c r="F190" s="140"/>
      <c r="G190" s="140"/>
      <c r="H190" s="125"/>
      <c r="J190" s="167" t="s">
        <v>229</v>
      </c>
      <c r="K190" s="100" t="s">
        <v>230</v>
      </c>
      <c r="L190" s="126"/>
      <c r="M190" s="126"/>
      <c r="N190" s="100" t="s">
        <v>231</v>
      </c>
      <c r="O190" s="140"/>
      <c r="P190" s="140"/>
      <c r="Q190" s="125"/>
      <c r="S190" s="167" t="s">
        <v>229</v>
      </c>
      <c r="T190" s="100" t="s">
        <v>230</v>
      </c>
      <c r="U190" s="126"/>
      <c r="V190" s="126"/>
      <c r="W190" s="100" t="s">
        <v>231</v>
      </c>
      <c r="X190" s="248"/>
      <c r="Y190" s="248"/>
      <c r="Z190" s="125"/>
      <c r="AB190" s="167" t="s">
        <v>229</v>
      </c>
      <c r="AC190" s="100" t="s">
        <v>230</v>
      </c>
      <c r="AD190" s="126"/>
      <c r="AE190" s="126"/>
      <c r="AF190" s="100" t="s">
        <v>231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139.99</v>
      </c>
      <c r="B191" s="112" t="n">
        <f aca="false">B188+E188+A191</f>
        <v>526.37125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232</v>
      </c>
      <c r="B193" s="126"/>
      <c r="C193" s="126"/>
      <c r="D193" s="172"/>
      <c r="E193" s="172"/>
      <c r="F193" s="172"/>
      <c r="G193" s="172"/>
      <c r="H193" s="173"/>
      <c r="J193" s="171" t="s">
        <v>232</v>
      </c>
      <c r="K193" s="126"/>
      <c r="L193" s="126"/>
      <c r="M193" s="172"/>
      <c r="N193" s="172"/>
      <c r="O193" s="172"/>
      <c r="P193" s="172"/>
      <c r="Q193" s="173"/>
      <c r="S193" s="171" t="s">
        <v>232</v>
      </c>
      <c r="T193" s="126"/>
      <c r="U193" s="126"/>
      <c r="V193" s="172"/>
      <c r="W193" s="172"/>
      <c r="X193" s="172"/>
      <c r="Y193" s="172"/>
      <c r="Z193" s="173"/>
      <c r="AB193" s="171" t="s">
        <v>232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n">
        <f aca="false">K30</f>
        <v>10000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K29</f>
        <v>36</v>
      </c>
      <c r="B197" s="71" t="n">
        <f aca="false">B96</f>
        <v>1261.13933396034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D127" activeCellId="0" sqref="D127"/>
    </sheetView>
  </sheetViews>
  <sheetFormatPr defaultColWidth="11.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45293.125</v>
      </c>
      <c r="F9" s="2"/>
      <c r="G9" s="251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142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143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144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212</v>
      </c>
      <c r="B28" s="28"/>
      <c r="C28" s="28"/>
      <c r="D28" s="28"/>
      <c r="E28" s="28"/>
      <c r="F28" s="2"/>
      <c r="G28" s="30" t="s">
        <v>145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123</v>
      </c>
      <c r="B30" s="103" t="s">
        <v>146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147</v>
      </c>
      <c r="H31" s="155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148</v>
      </c>
      <c r="E32" s="14"/>
      <c r="F32" s="2"/>
      <c r="G32" s="29" t="s">
        <v>149</v>
      </c>
      <c r="I32" s="155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1131.65789821935</v>
      </c>
      <c r="E33" s="14"/>
      <c r="F33" s="2"/>
      <c r="G33" s="30" t="s">
        <v>150</v>
      </c>
      <c r="H33" s="259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151</v>
      </c>
      <c r="B35" s="13" t="s">
        <v>152</v>
      </c>
      <c r="C35" s="13"/>
      <c r="D35" s="13" t="s">
        <v>153</v>
      </c>
      <c r="E35" s="14"/>
      <c r="F35" s="2"/>
      <c r="G35" s="46" t="s">
        <v>154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1106.77373155268</v>
      </c>
      <c r="B36" s="11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156</v>
      </c>
      <c r="B39" s="13" t="s">
        <v>157</v>
      </c>
      <c r="C39" s="13"/>
      <c r="D39" s="13" t="s">
        <v>158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15200</v>
      </c>
      <c r="B40" s="97" t="n">
        <f aca="false">IF(B26="YES",H42,"0")</f>
        <v>24.8841666666667</v>
      </c>
      <c r="C40" s="97"/>
      <c r="D40" s="54" t="n">
        <f aca="false">I32</f>
        <v>895.83</v>
      </c>
      <c r="E40" s="14"/>
      <c r="F40" s="2"/>
      <c r="G40" s="2" t="s">
        <v>159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160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161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162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163</v>
      </c>
      <c r="B44" s="13"/>
      <c r="C44" s="261" t="s">
        <v>164</v>
      </c>
      <c r="D44" s="261"/>
      <c r="E44" s="14"/>
      <c r="F44" s="2"/>
      <c r="G44" s="2" t="s">
        <v>235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166</v>
      </c>
      <c r="B45" s="13"/>
      <c r="C45" s="263" t="s">
        <v>166</v>
      </c>
      <c r="D45" s="263"/>
      <c r="E45" s="14"/>
      <c r="F45" s="2"/>
      <c r="G45" s="2" t="s">
        <v>236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237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169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170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171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1131.65789821935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3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13"/>
      <c r="D64" s="12" t="n">
        <f aca="false">B64-A145</f>
        <v>6077.925</v>
      </c>
      <c r="E64" s="14"/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13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(B61*B66)/1.2</f>
        <v>964.75</v>
      </c>
      <c r="C67" s="13"/>
      <c r="D67" s="12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265" t="n">
        <f aca="false">B68*(1+B69)</f>
        <v>0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266" t="s">
        <v>79</v>
      </c>
      <c r="B74" s="267" t="n">
        <v>0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268" t="s">
        <v>80</v>
      </c>
      <c r="B75" s="269" t="n">
        <v>0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270" t="s">
        <v>81</v>
      </c>
      <c r="B76" s="271" t="n">
        <f aca="false">((B74+B75)/12)*(H29-11)</f>
        <v>0</v>
      </c>
      <c r="C76" s="13"/>
      <c r="D76" s="12" t="n">
        <f aca="false">B76</f>
        <v>0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91" t="n">
        <f aca="false">B102*1.1</f>
        <v>0</v>
      </c>
      <c r="C77" s="13"/>
      <c r="D77" s="12" t="n">
        <f aca="false">B77</f>
        <v>0</v>
      </c>
      <c r="E77" s="14"/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13"/>
      <c r="D79" s="12" t="n">
        <f aca="false">B79</f>
        <v>200</v>
      </c>
      <c r="E79" s="14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13"/>
      <c r="D80" s="12" t="n">
        <f aca="false">B80</f>
        <v>200</v>
      </c>
      <c r="E80" s="14"/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6857.925</v>
      </c>
      <c r="C81" s="13"/>
      <c r="D81" s="13"/>
      <c r="E81" s="14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190.497916666667</v>
      </c>
      <c r="C82" s="13"/>
      <c r="D82" s="13"/>
      <c r="E82" s="14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1106.77373155268</v>
      </c>
      <c r="C83" s="13"/>
      <c r="D83" s="13"/>
      <c r="E83" s="14"/>
      <c r="F83" s="2"/>
      <c r="G83" s="89" t="s">
        <v>88</v>
      </c>
      <c r="H83" s="90" t="n">
        <f aca="false">H47</f>
        <v>1106.77373155268</v>
      </c>
      <c r="I83" s="13"/>
      <c r="J83" s="13"/>
      <c r="K83" s="14"/>
      <c r="L83" s="2"/>
      <c r="M83" s="89" t="s">
        <v>88</v>
      </c>
      <c r="N83" s="90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</f>
        <v>46701.7793358966</v>
      </c>
      <c r="C85" s="13"/>
      <c r="D85" s="13"/>
      <c r="E85" s="14"/>
      <c r="F85" s="2"/>
      <c r="G85" s="75" t="s">
        <v>89</v>
      </c>
      <c r="H85" s="91" t="n">
        <f aca="false">((H83*H29)+H81)*1.2</f>
        <v>56385.0352030759</v>
      </c>
      <c r="I85" s="13"/>
      <c r="J85" s="13"/>
      <c r="K85" s="14"/>
      <c r="L85" s="2"/>
      <c r="M85" s="75" t="s">
        <v>89</v>
      </c>
      <c r="N85" s="91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(B85/(1-B70))*B70</f>
        <v>0</v>
      </c>
      <c r="C86" s="13"/>
      <c r="D86" s="13"/>
      <c r="E86" s="14"/>
      <c r="F86" s="2"/>
      <c r="G86" s="6" t="s">
        <v>90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IF(B110="YES",((B85+B86)-E114),(B85+B86))</f>
        <v>46701.7793358966</v>
      </c>
      <c r="C87" s="13"/>
      <c r="D87" s="13"/>
      <c r="E87" s="14"/>
      <c r="F87" s="2"/>
      <c r="G87" s="72" t="s">
        <v>91</v>
      </c>
      <c r="H87" s="80" t="n">
        <f aca="false">IF(H110="YES",((H85+H86)-K114),(H85+H86))</f>
        <v>56783.0739751831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(D40+(D40*B105))/(B58), (D40+(D40*B105))/(B57+B58))</f>
        <v>23.5744736842105</v>
      </c>
      <c r="C89" s="13"/>
      <c r="D89" s="13"/>
      <c r="E89" s="14"/>
      <c r="F89" s="2"/>
      <c r="G89" s="87" t="s">
        <v>92</v>
      </c>
      <c r="H89" s="88" t="n">
        <f aca="false">IF(H99=Y98, (D40+(D40*H105))/(H58), (D40+(D40*H105))/(H57+H58))*1.2</f>
        <v>31.4632975609756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1228.99419304991</v>
      </c>
      <c r="C90" s="13"/>
      <c r="D90" s="13"/>
      <c r="E90" s="14"/>
      <c r="F90" s="2"/>
      <c r="G90" s="92" t="s">
        <v>93</v>
      </c>
      <c r="H90" s="93" t="n">
        <f aca="false">IF(H99=Y98, (H87-J105)/(H58), H87/(H57+H58))</f>
        <v>1384.95302378495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1252.56866673412</v>
      </c>
      <c r="C91" s="13"/>
      <c r="D91" s="13"/>
      <c r="E91" s="14"/>
      <c r="F91" s="2"/>
      <c r="G91" s="94" t="s">
        <v>52</v>
      </c>
      <c r="H91" s="95" t="n">
        <f aca="false">IF(G105="YES", H90+H89, H90)</f>
        <v>1416.41632134593</v>
      </c>
      <c r="I91" s="13"/>
      <c r="J91" s="13"/>
      <c r="K91" s="14"/>
      <c r="L91" s="2"/>
      <c r="M91" s="94" t="s">
        <v>52</v>
      </c>
      <c r="N91" s="9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238</v>
      </c>
      <c r="B94" s="27"/>
      <c r="C94" s="27"/>
      <c r="D94" s="27"/>
      <c r="E94" s="27"/>
      <c r="F94" s="2"/>
      <c r="G94" s="27" t="s">
        <v>94</v>
      </c>
      <c r="H94" s="27"/>
      <c r="I94" s="27"/>
      <c r="J94" s="27"/>
      <c r="K94" s="27"/>
      <c r="L94" s="2"/>
      <c r="M94" s="27" t="s">
        <v>238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95</v>
      </c>
      <c r="B96" s="28"/>
      <c r="C96" s="28"/>
      <c r="D96" s="28"/>
      <c r="E96" s="28"/>
      <c r="F96" s="2"/>
      <c r="G96" s="28" t="s">
        <v>95</v>
      </c>
      <c r="H96" s="28"/>
      <c r="I96" s="28"/>
      <c r="J96" s="28"/>
      <c r="K96" s="28"/>
      <c r="L96" s="2"/>
      <c r="M96" s="28" t="s">
        <v>95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72"/>
    </row>
    <row r="98" customFormat="false" ht="18.75" hidden="false" customHeight="true" outlineLevel="0" collapsed="false">
      <c r="A98" s="6" t="s">
        <v>96</v>
      </c>
      <c r="B98" s="13" t="s">
        <v>38</v>
      </c>
      <c r="C98" s="13"/>
      <c r="D98" s="13" t="s">
        <v>97</v>
      </c>
      <c r="E98" s="14"/>
      <c r="F98" s="2"/>
      <c r="G98" s="6" t="s">
        <v>96</v>
      </c>
      <c r="H98" s="13" t="s">
        <v>38</v>
      </c>
      <c r="I98" s="13"/>
      <c r="J98" s="13" t="s">
        <v>97</v>
      </c>
      <c r="K98" s="14"/>
      <c r="L98" s="2"/>
      <c r="M98" s="6" t="s">
        <v>96</v>
      </c>
      <c r="N98" s="13" t="s">
        <v>38</v>
      </c>
      <c r="O98" s="13"/>
      <c r="P98" s="13" t="s">
        <v>97</v>
      </c>
      <c r="Q98" s="14"/>
      <c r="R98" s="2"/>
      <c r="S98" s="2"/>
      <c r="T98" s="2"/>
      <c r="U98" s="2"/>
      <c r="V98" s="2"/>
      <c r="W98" s="2"/>
      <c r="X98" s="2"/>
      <c r="Y98" s="2" t="s">
        <v>102</v>
      </c>
      <c r="Z98" s="2"/>
    </row>
    <row r="99" customFormat="false" ht="18.75" hidden="false" customHeight="true" outlineLevel="0" collapsed="false">
      <c r="A99" s="31" t="s">
        <v>98</v>
      </c>
      <c r="B99" s="96" t="s">
        <v>103</v>
      </c>
      <c r="C99" s="96"/>
      <c r="D99" s="97" t="n">
        <v>1000</v>
      </c>
      <c r="E99" s="97"/>
      <c r="F99" s="2"/>
      <c r="G99" s="31" t="s">
        <v>98</v>
      </c>
      <c r="H99" s="96" t="s">
        <v>107</v>
      </c>
      <c r="I99" s="96"/>
      <c r="J99" s="97" t="n">
        <v>0</v>
      </c>
      <c r="K99" s="97"/>
      <c r="L99" s="2"/>
      <c r="M99" s="31" t="s">
        <v>98</v>
      </c>
      <c r="N99" s="96" t="s">
        <v>107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103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99</v>
      </c>
      <c r="B101" s="13" t="s">
        <v>100</v>
      </c>
      <c r="C101" s="13"/>
      <c r="D101" s="13" t="s">
        <v>101</v>
      </c>
      <c r="E101" s="14"/>
      <c r="F101" s="2"/>
      <c r="G101" s="6" t="s">
        <v>99</v>
      </c>
      <c r="H101" s="13" t="s">
        <v>100</v>
      </c>
      <c r="I101" s="13"/>
      <c r="J101" s="13" t="s">
        <v>101</v>
      </c>
      <c r="K101" s="14"/>
      <c r="L101" s="2"/>
      <c r="M101" s="6" t="s">
        <v>99</v>
      </c>
      <c r="N101" s="13" t="s">
        <v>100</v>
      </c>
      <c r="O101" s="13"/>
      <c r="P101" s="13" t="s">
        <v>101</v>
      </c>
      <c r="Q101" s="14"/>
      <c r="R101" s="2"/>
      <c r="S101" s="2"/>
      <c r="T101" s="2"/>
      <c r="U101" s="2"/>
      <c r="V101" s="2"/>
      <c r="W101" s="2"/>
      <c r="X101" s="2"/>
      <c r="Y101" s="2" t="s">
        <v>108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110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112</v>
      </c>
      <c r="Z104" s="2"/>
    </row>
    <row r="105" customFormat="false" ht="18.75" hidden="false" customHeight="true" outlineLevel="0" collapsed="false">
      <c r="A105" s="33" t="s">
        <v>25</v>
      </c>
      <c r="B105" s="99" t="n">
        <v>0</v>
      </c>
      <c r="C105" s="99"/>
      <c r="D105" s="97" t="s">
        <v>239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113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240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240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111</v>
      </c>
      <c r="B108" s="28"/>
      <c r="C108" s="28"/>
      <c r="D108" s="28"/>
      <c r="E108" s="28"/>
      <c r="F108" s="2"/>
      <c r="G108" s="28" t="s">
        <v>111</v>
      </c>
      <c r="H108" s="28"/>
      <c r="I108" s="28"/>
      <c r="J108" s="28"/>
      <c r="K108" s="28"/>
      <c r="L108" s="2"/>
      <c r="M108" s="28" t="s">
        <v>111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114</v>
      </c>
      <c r="B110" s="33" t="s">
        <v>26</v>
      </c>
      <c r="C110" s="13"/>
      <c r="D110" s="13"/>
      <c r="E110" s="14"/>
      <c r="F110" s="2"/>
      <c r="G110" s="6" t="s">
        <v>114</v>
      </c>
      <c r="H110" s="33" t="s">
        <v>26</v>
      </c>
      <c r="I110" s="13"/>
      <c r="J110" s="13"/>
      <c r="K110" s="14"/>
      <c r="L110" s="2"/>
      <c r="M110" s="6" t="s">
        <v>114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115</v>
      </c>
      <c r="B112" s="13"/>
      <c r="C112" s="13"/>
      <c r="D112" s="98" t="n">
        <v>500</v>
      </c>
      <c r="E112" s="97" t="n">
        <v>300</v>
      </c>
      <c r="F112" s="2"/>
      <c r="G112" s="6" t="s">
        <v>115</v>
      </c>
      <c r="H112" s="13"/>
      <c r="I112" s="13"/>
      <c r="J112" s="98" t="n">
        <v>0</v>
      </c>
      <c r="K112" s="97" t="n">
        <v>0</v>
      </c>
      <c r="L112" s="2"/>
      <c r="M112" s="6" t="s">
        <v>115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116</v>
      </c>
      <c r="B113" s="13"/>
      <c r="C113" s="13"/>
      <c r="D113" s="100" t="n">
        <f aca="false">E113</f>
        <v>100</v>
      </c>
      <c r="E113" s="97" t="n">
        <v>100</v>
      </c>
      <c r="F113" s="2"/>
      <c r="G113" s="6" t="s">
        <v>116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116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117</v>
      </c>
      <c r="B114" s="13"/>
      <c r="C114" s="13"/>
      <c r="D114" s="100" t="n">
        <f aca="false">D112-D113</f>
        <v>400</v>
      </c>
      <c r="E114" s="101" t="n">
        <f aca="false">E112-E113</f>
        <v>200</v>
      </c>
      <c r="F114" s="2"/>
      <c r="G114" s="6" t="s">
        <v>117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117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118</v>
      </c>
      <c r="B115" s="13"/>
      <c r="C115" s="13"/>
      <c r="D115" s="100" t="n">
        <f aca="false">D114-E114</f>
        <v>200</v>
      </c>
      <c r="E115" s="14"/>
      <c r="F115" s="2"/>
      <c r="G115" s="6" t="s">
        <v>118</v>
      </c>
      <c r="H115" s="13"/>
      <c r="I115" s="13"/>
      <c r="J115" s="100" t="n">
        <f aca="false">J114-K114</f>
        <v>0</v>
      </c>
      <c r="K115" s="14"/>
      <c r="L115" s="2"/>
      <c r="M115" s="6" t="s">
        <v>118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119</v>
      </c>
      <c r="B117" s="76"/>
      <c r="C117" s="76"/>
      <c r="D117" s="76"/>
      <c r="E117" s="91" t="n">
        <f aca="false">D99</f>
        <v>1000</v>
      </c>
      <c r="F117" s="2"/>
      <c r="G117" s="75" t="s">
        <v>119</v>
      </c>
      <c r="H117" s="76"/>
      <c r="I117" s="76"/>
      <c r="J117" s="76"/>
      <c r="K117" s="91" t="n">
        <f aca="false">J99</f>
        <v>0</v>
      </c>
      <c r="L117" s="2"/>
      <c r="M117" s="75" t="s">
        <v>119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120</v>
      </c>
      <c r="B118" s="13"/>
      <c r="C118" s="13"/>
      <c r="D118" s="13"/>
      <c r="E118" s="11" t="n">
        <f aca="false">A102</f>
        <v>199.99</v>
      </c>
      <c r="F118" s="2"/>
      <c r="G118" s="6" t="s">
        <v>120</v>
      </c>
      <c r="H118" s="13"/>
      <c r="I118" s="13"/>
      <c r="J118" s="13"/>
      <c r="K118" s="11" t="n">
        <f aca="false">G102</f>
        <v>199.99</v>
      </c>
      <c r="L118" s="2"/>
      <c r="M118" s="6" t="s">
        <v>120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121</v>
      </c>
      <c r="B119" s="73"/>
      <c r="C119" s="73"/>
      <c r="D119" s="73"/>
      <c r="E119" s="80" t="n">
        <f aca="false">(E118+E117)-D115</f>
        <v>999.99</v>
      </c>
      <c r="F119" s="2"/>
      <c r="G119" s="102" t="s">
        <v>121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121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122</v>
      </c>
      <c r="B122" s="28"/>
      <c r="C122" s="28"/>
      <c r="D122" s="28"/>
      <c r="E122" s="28"/>
      <c r="F122" s="2"/>
      <c r="G122" s="28" t="s">
        <v>122</v>
      </c>
      <c r="H122" s="28"/>
      <c r="I122" s="28"/>
      <c r="J122" s="28"/>
      <c r="K122" s="28"/>
      <c r="L122" s="2"/>
      <c r="M122" s="28" t="s">
        <v>122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123</v>
      </c>
      <c r="B124" s="103" t="n">
        <v>0</v>
      </c>
      <c r="C124" s="103"/>
      <c r="D124" s="13"/>
      <c r="E124" s="14"/>
      <c r="F124" s="2"/>
      <c r="G124" s="6" t="s">
        <v>123</v>
      </c>
      <c r="H124" s="103" t="n">
        <v>0</v>
      </c>
      <c r="I124" s="103"/>
      <c r="J124" s="13"/>
      <c r="K124" s="14"/>
      <c r="L124" s="2"/>
      <c r="M124" s="6" t="s">
        <v>123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241</v>
      </c>
      <c r="B126" s="105" t="s">
        <v>51</v>
      </c>
      <c r="C126" s="105"/>
      <c r="D126" s="105" t="s">
        <v>52</v>
      </c>
      <c r="E126" s="14"/>
      <c r="F126" s="2"/>
      <c r="G126" s="104" t="s">
        <v>124</v>
      </c>
      <c r="H126" s="105" t="s">
        <v>125</v>
      </c>
      <c r="I126" s="105"/>
      <c r="J126" s="105" t="s">
        <v>126</v>
      </c>
      <c r="K126" s="14"/>
      <c r="L126" s="2"/>
      <c r="M126" s="104" t="s">
        <v>241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1228.99419304991</v>
      </c>
      <c r="B127" s="108" t="n">
        <f aca="false">IF(A105="YES", B89*B57, 0)</f>
        <v>70.7234210526316</v>
      </c>
      <c r="C127" s="108"/>
      <c r="D127" s="108" t="n">
        <f aca="false">B91</f>
        <v>1252.56866673412</v>
      </c>
      <c r="E127" s="14"/>
      <c r="F127" s="2"/>
      <c r="G127" s="107" t="n">
        <f aca="false">H90</f>
        <v>1384.95302378495</v>
      </c>
      <c r="H127" s="108" t="n">
        <f aca="false">IF(G105="YES", H89*H57, 0)</f>
        <v>188.779785365854</v>
      </c>
      <c r="I127" s="108"/>
      <c r="J127" s="109" t="n">
        <f aca="false">H91</f>
        <v>1416.41632134593</v>
      </c>
      <c r="K127" s="14"/>
      <c r="L127" s="2"/>
      <c r="M127" s="107" t="n">
        <f aca="false">N90</f>
        <v>1147.29039384234</v>
      </c>
      <c r="N127" s="108" t="n">
        <f aca="false">IF(M105="YES", N89*N57, 0)</f>
        <v>157.316487804878</v>
      </c>
      <c r="O127" s="108"/>
      <c r="P127" s="108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242</v>
      </c>
      <c r="B132" s="13" t="s">
        <v>40</v>
      </c>
      <c r="C132" s="13"/>
      <c r="D132" s="13" t="s">
        <v>44</v>
      </c>
      <c r="E132" s="14"/>
      <c r="F132" s="2"/>
      <c r="G132" s="6" t="s">
        <v>127</v>
      </c>
      <c r="H132" s="13" t="s">
        <v>128</v>
      </c>
      <c r="I132" s="13"/>
      <c r="J132" s="13" t="s">
        <v>129</v>
      </c>
      <c r="K132" s="14"/>
      <c r="L132" s="2"/>
      <c r="M132" s="6" t="s">
        <v>242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3686.98257914973</v>
      </c>
      <c r="B133" s="112" t="n">
        <f aca="false">IF(A105="YES", B89*B57, 0)</f>
        <v>70.7234210526316</v>
      </c>
      <c r="C133" s="32"/>
      <c r="D133" s="54" t="n">
        <f aca="false">B91*B57</f>
        <v>3757.70600020236</v>
      </c>
      <c r="E133" s="14"/>
      <c r="F133" s="2"/>
      <c r="G133" s="111" t="n">
        <f aca="false">H90*H57</f>
        <v>8309.71814270973</v>
      </c>
      <c r="H133" s="11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11" t="n">
        <f aca="false">N90*N57</f>
        <v>6883.74236305403</v>
      </c>
      <c r="N133" s="11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130</v>
      </c>
      <c r="H135" s="13" t="s">
        <v>131</v>
      </c>
      <c r="I135" s="13"/>
      <c r="J135" s="13" t="s">
        <v>132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0.3339105</v>
      </c>
      <c r="B136" s="112" t="n">
        <f aca="false">IF(A105="YES", E15*0.000002, 0)</f>
        <v>0.1113035</v>
      </c>
      <c r="C136" s="112"/>
      <c r="D136" s="112" t="n">
        <f aca="false">A136+B136</f>
        <v>0.445214</v>
      </c>
      <c r="E136" s="110"/>
      <c r="F136" s="2"/>
      <c r="G136" s="113" t="n">
        <f aca="false">E15*0.000006</f>
        <v>0.3339105</v>
      </c>
      <c r="H136" s="112" t="n">
        <f aca="false">IF(G105="YES", E15*0.000002, 0)</f>
        <v>0.1113035</v>
      </c>
      <c r="I136" s="112"/>
      <c r="J136" s="112" t="n">
        <f aca="false">G136+H136</f>
        <v>0.445214</v>
      </c>
      <c r="K136" s="110"/>
      <c r="L136" s="2"/>
      <c r="M136" s="113" t="n">
        <f aca="false">E15*0.000006</f>
        <v>0.3339105</v>
      </c>
      <c r="N136" s="112" t="n">
        <f aca="false">IF(M105="YES", E15*0.000002, 0)</f>
        <v>0.1113035</v>
      </c>
      <c r="O136" s="112"/>
      <c r="P136" s="112" t="n">
        <f aca="false">M136+N136</f>
        <v>0.445214</v>
      </c>
      <c r="Q136" s="110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134</v>
      </c>
      <c r="C138" s="13"/>
      <c r="D138" s="13" t="s">
        <v>135</v>
      </c>
      <c r="E138" s="14"/>
      <c r="F138" s="2"/>
      <c r="G138" s="6" t="s">
        <v>133</v>
      </c>
      <c r="H138" s="13" t="s">
        <v>134</v>
      </c>
      <c r="I138" s="13"/>
      <c r="J138" s="13" t="s">
        <v>135</v>
      </c>
      <c r="K138" s="14"/>
      <c r="L138" s="2"/>
      <c r="M138" s="6" t="s">
        <v>53</v>
      </c>
      <c r="N138" s="13" t="s">
        <v>134</v>
      </c>
      <c r="O138" s="13"/>
      <c r="P138" s="13" t="s">
        <v>135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964.75</v>
      </c>
      <c r="C139" s="112"/>
      <c r="D139" s="112" t="n">
        <f aca="false">B102*0.9</f>
        <v>0</v>
      </c>
      <c r="E139" s="110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10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10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136</v>
      </c>
      <c r="B141" s="13" t="s">
        <v>137</v>
      </c>
      <c r="C141" s="13"/>
      <c r="D141" s="13" t="s">
        <v>138</v>
      </c>
      <c r="E141" s="14"/>
      <c r="F141" s="2"/>
      <c r="G141" s="6" t="s">
        <v>136</v>
      </c>
      <c r="H141" s="13" t="s">
        <v>137</v>
      </c>
      <c r="I141" s="13"/>
      <c r="J141" s="13" t="s">
        <v>138</v>
      </c>
      <c r="K141" s="14"/>
      <c r="L141" s="2"/>
      <c r="M141" s="6" t="s">
        <v>136</v>
      </c>
      <c r="N141" s="13" t="s">
        <v>137</v>
      </c>
      <c r="O141" s="13"/>
      <c r="P141" s="13" t="s">
        <v>138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0</v>
      </c>
      <c r="B142" s="112" t="n">
        <f aca="false">A102-100</f>
        <v>99.99</v>
      </c>
      <c r="C142" s="112"/>
      <c r="D142" s="112" t="n">
        <f aca="false">(B139+D139+A142+B142)-B145</f>
        <v>1064.74</v>
      </c>
      <c r="E142" s="110"/>
      <c r="F142" s="2"/>
      <c r="G142" s="113" t="n">
        <f aca="false">IF(G105="YES", ((B36*H105)*0.1)*(G130), 0)</f>
        <v>17.9166</v>
      </c>
      <c r="H142" s="112" t="n">
        <f aca="false">G102-100</f>
        <v>99.99</v>
      </c>
      <c r="I142" s="112"/>
      <c r="J142" s="112" t="n">
        <f aca="false">(H139+J139+G142+H142)-H145</f>
        <v>1082.6566</v>
      </c>
      <c r="K142" s="110"/>
      <c r="L142" s="2"/>
      <c r="M142" s="113" t="n">
        <f aca="false">IF(M105="YES", ((B36*N105)*0.1)*(M130), 0)</f>
        <v>17.9166</v>
      </c>
      <c r="N142" s="112" t="n">
        <f aca="false">M102-100</f>
        <v>99.99</v>
      </c>
      <c r="O142" s="112"/>
      <c r="P142" s="112" t="n">
        <f aca="false">(N139+P139+M142+N142)-N145</f>
        <v>1082.6566</v>
      </c>
      <c r="Q142" s="11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139</v>
      </c>
      <c r="B144" s="13" t="s">
        <v>140</v>
      </c>
      <c r="C144" s="13"/>
      <c r="D144" s="13"/>
      <c r="E144" s="14"/>
      <c r="F144" s="2"/>
      <c r="G144" s="6" t="s">
        <v>139</v>
      </c>
      <c r="H144" s="13" t="s">
        <v>140</v>
      </c>
      <c r="I144" s="13"/>
      <c r="J144" s="13"/>
      <c r="K144" s="14"/>
      <c r="L144" s="2"/>
      <c r="M144" s="6" t="s">
        <v>139</v>
      </c>
      <c r="N144" s="13" t="s">
        <v>140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n">
        <f aca="false">(H139+J139+G142+H142)*(G145/H64)</f>
        <v>0</v>
      </c>
      <c r="I145" s="13"/>
      <c r="J145" s="13"/>
      <c r="K145" s="14"/>
      <c r="L145" s="2"/>
      <c r="M145" s="113" t="n">
        <v>0</v>
      </c>
      <c r="N145" s="11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13"/>
      <c r="B146" s="11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67" t="s">
        <v>243</v>
      </c>
      <c r="B147" s="100" t="s">
        <v>244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243</v>
      </c>
      <c r="N147" s="100" t="s">
        <v>244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273" t="n">
        <v>18000</v>
      </c>
      <c r="B148" s="274" t="n">
        <v>0.99</v>
      </c>
      <c r="C148" s="274"/>
      <c r="D148" s="13"/>
      <c r="E148" s="14"/>
      <c r="F148" s="2"/>
      <c r="G148" s="62" t="s">
        <v>141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2" t="s">
        <v>141</v>
      </c>
      <c r="B151" s="13"/>
      <c r="C151" s="13"/>
      <c r="D151" s="63"/>
      <c r="E151" s="6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141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5"/>
      <c r="C152" s="65"/>
      <c r="D152" s="13"/>
      <c r="E152" s="14"/>
      <c r="F152" s="2"/>
      <c r="G152" s="70" t="n">
        <f aca="false">A52</f>
        <v>36</v>
      </c>
      <c r="H152" s="71" t="n">
        <f aca="false">H91</f>
        <v>1416.41632134593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7" t="s">
        <v>64</v>
      </c>
      <c r="B153" s="68" t="s">
        <v>65</v>
      </c>
      <c r="C153" s="68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7"/>
      <c r="B154" s="69" t="n">
        <f aca="false">A51</f>
        <v>0</v>
      </c>
      <c r="C154" s="69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0" t="n">
        <f aca="false">A52</f>
        <v>36</v>
      </c>
      <c r="B155" s="71" t="n">
        <f aca="false">B91</f>
        <v>1252.56866673412</v>
      </c>
      <c r="C155" s="71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1173.50980847649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45293.125</v>
      </c>
      <c r="F9" s="2"/>
      <c r="G9" s="251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142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143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144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212</v>
      </c>
      <c r="B28" s="28"/>
      <c r="C28" s="28"/>
      <c r="D28" s="28"/>
      <c r="E28" s="28"/>
      <c r="F28" s="2"/>
      <c r="G28" s="30" t="s">
        <v>145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123</v>
      </c>
      <c r="B30" s="103" t="s">
        <v>146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147</v>
      </c>
      <c r="H31" s="155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148</v>
      </c>
      <c r="E32" s="14"/>
      <c r="F32" s="2"/>
      <c r="G32" s="29" t="s">
        <v>149</v>
      </c>
      <c r="I32" s="155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1131.65789821935</v>
      </c>
      <c r="E33" s="14"/>
      <c r="F33" s="2"/>
      <c r="G33" s="30" t="s">
        <v>150</v>
      </c>
      <c r="H33" s="259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151</v>
      </c>
      <c r="B35" s="13" t="s">
        <v>152</v>
      </c>
      <c r="C35" s="13"/>
      <c r="D35" s="13" t="s">
        <v>153</v>
      </c>
      <c r="E35" s="14"/>
      <c r="F35" s="2"/>
      <c r="G35" s="46" t="s">
        <v>154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1106.77373155268</v>
      </c>
      <c r="B36" s="11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156</v>
      </c>
      <c r="B39" s="13" t="s">
        <v>157</v>
      </c>
      <c r="C39" s="13"/>
      <c r="D39" s="13" t="s">
        <v>158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15200</v>
      </c>
      <c r="B40" s="97" t="n">
        <f aca="false">IF(B26="YES",H42,"0")</f>
        <v>24.8841666666667</v>
      </c>
      <c r="C40" s="97"/>
      <c r="D40" s="54" t="n">
        <f aca="false">I32</f>
        <v>895.83</v>
      </c>
      <c r="E40" s="14"/>
      <c r="F40" s="2"/>
      <c r="G40" s="2" t="s">
        <v>159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160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161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162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163</v>
      </c>
      <c r="B44" s="13"/>
      <c r="C44" s="261" t="s">
        <v>164</v>
      </c>
      <c r="D44" s="261"/>
      <c r="E44" s="14"/>
      <c r="F44" s="2"/>
      <c r="G44" s="2" t="s">
        <v>235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166</v>
      </c>
      <c r="B45" s="13"/>
      <c r="C45" s="275" t="s">
        <v>166</v>
      </c>
      <c r="D45" s="275"/>
      <c r="E45" s="14"/>
      <c r="F45" s="2"/>
      <c r="G45" s="2" t="s">
        <v>236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237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169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170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171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1131.65789821935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13"/>
      <c r="D64" s="12" t="n">
        <f aca="false">B64-A145</f>
        <v>6077.925</v>
      </c>
      <c r="E64" s="276" t="n">
        <f aca="false">D64/(B58+B57)</f>
        <v>168.83125</v>
      </c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13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(B61*B66)/1.2</f>
        <v>964.75</v>
      </c>
      <c r="C67" s="13"/>
      <c r="D67" s="12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343.75</v>
      </c>
      <c r="C76" s="13"/>
      <c r="D76" s="12" t="n">
        <f aca="false">B76</f>
        <v>343.75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91" t="n">
        <f aca="false">B102*1.1</f>
        <v>0</v>
      </c>
      <c r="C77" s="13"/>
      <c r="D77" s="12" t="n">
        <f aca="false">B77</f>
        <v>0</v>
      </c>
      <c r="E77" s="276" t="n">
        <f aca="false">D77/(B58+B57)</f>
        <v>0</v>
      </c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v>0</v>
      </c>
      <c r="C78" s="13"/>
      <c r="D78" s="12" t="n">
        <f aca="false">B78</f>
        <v>0</v>
      </c>
      <c r="E78" s="276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13"/>
      <c r="D79" s="12" t="n">
        <f aca="false">B79</f>
        <v>200</v>
      </c>
      <c r="E79" s="276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13"/>
      <c r="D80" s="12" t="n">
        <f aca="false">B80</f>
        <v>200</v>
      </c>
      <c r="E80" s="276" t="n">
        <f aca="false">(D73+D76+D79+D80)/(B58+B57)</f>
        <v>31.2152777777778</v>
      </c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7201.675</v>
      </c>
      <c r="C81" s="13"/>
      <c r="D81" s="13"/>
      <c r="E81" s="276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200.046527777778</v>
      </c>
      <c r="C82" s="13"/>
      <c r="D82" s="13"/>
      <c r="E82" s="276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1106.77373155268</v>
      </c>
      <c r="C83" s="13"/>
      <c r="D83" s="13"/>
      <c r="E83" s="276" t="n">
        <f aca="false">B83+E80+E77+E64</f>
        <v>1306.82025933046</v>
      </c>
      <c r="F83" s="2"/>
      <c r="G83" s="89" t="s">
        <v>88</v>
      </c>
      <c r="H83" s="90" t="n">
        <f aca="false">H47</f>
        <v>1106.77373155268</v>
      </c>
      <c r="I83" s="13"/>
      <c r="J83" s="13"/>
      <c r="K83" s="14"/>
      <c r="L83" s="2"/>
      <c r="M83" s="89" t="s">
        <v>88</v>
      </c>
      <c r="N83" s="90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76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((B83*H29)+B81)*1.2</f>
        <v>56454.6352030759</v>
      </c>
      <c r="C85" s="13"/>
      <c r="D85" s="13"/>
      <c r="E85" s="276" t="n">
        <f aca="false">B85/(B58+B57)</f>
        <v>1568.18431119655</v>
      </c>
      <c r="F85" s="2"/>
      <c r="G85" s="75" t="s">
        <v>89</v>
      </c>
      <c r="H85" s="91" t="n">
        <f aca="false">((H83*H29)+H81)*1.2</f>
        <v>56385.0352030759</v>
      </c>
      <c r="I85" s="13"/>
      <c r="J85" s="13"/>
      <c r="K85" s="14"/>
      <c r="L85" s="2"/>
      <c r="M85" s="75" t="s">
        <v>89</v>
      </c>
      <c r="N85" s="91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((((B83*H29)+B81))/(1-B70))*B70</f>
        <v>0</v>
      </c>
      <c r="C86" s="13"/>
      <c r="D86" s="13"/>
      <c r="E86" s="276" t="n">
        <f aca="false">B86/(B58+B57)</f>
        <v>0</v>
      </c>
      <c r="F86" s="2"/>
      <c r="G86" s="6" t="s">
        <v>90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IF(B110="YES",((B85+B86)-E114),(B85+B86))</f>
        <v>56454.6352030759</v>
      </c>
      <c r="C87" s="13"/>
      <c r="D87" s="13"/>
      <c r="E87" s="276" t="n">
        <f aca="false">E86+E85</f>
        <v>1568.18431119655</v>
      </c>
      <c r="F87" s="2"/>
      <c r="G87" s="72" t="s">
        <v>91</v>
      </c>
      <c r="H87" s="80" t="n">
        <f aca="false">IF(H110="YES",((H85+H86)-K114),(H85+H86))</f>
        <v>56783.0739751831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(D40+(D40*B105))/(B58), (D40+(D40*B105))/(B57+B58))*1.2</f>
        <v>35.8332</v>
      </c>
      <c r="C89" s="13"/>
      <c r="D89" s="13"/>
      <c r="E89" s="14"/>
      <c r="F89" s="2"/>
      <c r="G89" s="87" t="s">
        <v>92</v>
      </c>
      <c r="H89" s="88" t="n">
        <f aca="false">IF(H99=Y98, (D40+(D40*H105))/(H58), (D40+(D40*H105))/(H57+H58))*1.2</f>
        <v>31.4632975609756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1568.18431119655</v>
      </c>
      <c r="C90" s="13"/>
      <c r="D90" s="13"/>
      <c r="E90" s="14"/>
      <c r="F90" s="2"/>
      <c r="G90" s="92" t="s">
        <v>93</v>
      </c>
      <c r="H90" s="93" t="n">
        <f aca="false">IF(H99=Y98, (H87-J105)/(H58), H87/(H57+H58))</f>
        <v>1384.95302378495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1604.01751119655</v>
      </c>
      <c r="C91" s="13"/>
      <c r="D91" s="13"/>
      <c r="E91" s="14"/>
      <c r="F91" s="2"/>
      <c r="G91" s="94" t="s">
        <v>52</v>
      </c>
      <c r="H91" s="95" t="n">
        <f aca="false">IF(G105="YES", H90+H89, H90)</f>
        <v>1416.41632134593</v>
      </c>
      <c r="I91" s="13"/>
      <c r="J91" s="13"/>
      <c r="K91" s="14"/>
      <c r="L91" s="2"/>
      <c r="M91" s="94" t="s">
        <v>52</v>
      </c>
      <c r="N91" s="9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94</v>
      </c>
      <c r="B94" s="27"/>
      <c r="C94" s="27"/>
      <c r="D94" s="27"/>
      <c r="E94" s="27"/>
      <c r="F94" s="2"/>
      <c r="G94" s="27" t="s">
        <v>94</v>
      </c>
      <c r="H94" s="27"/>
      <c r="I94" s="27"/>
      <c r="J94" s="27"/>
      <c r="K94" s="27"/>
      <c r="L94" s="2"/>
      <c r="M94" s="27" t="s">
        <v>238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95</v>
      </c>
      <c r="B96" s="28"/>
      <c r="C96" s="28"/>
      <c r="D96" s="28"/>
      <c r="E96" s="28"/>
      <c r="F96" s="2"/>
      <c r="G96" s="28" t="s">
        <v>95</v>
      </c>
      <c r="H96" s="28"/>
      <c r="I96" s="28"/>
      <c r="J96" s="28"/>
      <c r="K96" s="28"/>
      <c r="L96" s="2"/>
      <c r="M96" s="28" t="s">
        <v>95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72"/>
    </row>
    <row r="98" customFormat="false" ht="18.75" hidden="false" customHeight="true" outlineLevel="0" collapsed="false">
      <c r="A98" s="6" t="s">
        <v>96</v>
      </c>
      <c r="B98" s="13" t="s">
        <v>38</v>
      </c>
      <c r="C98" s="13"/>
      <c r="D98" s="13" t="s">
        <v>97</v>
      </c>
      <c r="E98" s="14"/>
      <c r="F98" s="2"/>
      <c r="G98" s="6" t="s">
        <v>96</v>
      </c>
      <c r="H98" s="13" t="s">
        <v>38</v>
      </c>
      <c r="I98" s="13"/>
      <c r="J98" s="13" t="s">
        <v>97</v>
      </c>
      <c r="K98" s="14"/>
      <c r="L98" s="2"/>
      <c r="M98" s="6" t="s">
        <v>96</v>
      </c>
      <c r="N98" s="13" t="s">
        <v>38</v>
      </c>
      <c r="O98" s="13"/>
      <c r="P98" s="13" t="s">
        <v>97</v>
      </c>
      <c r="Q98" s="14"/>
      <c r="R98" s="2"/>
      <c r="S98" s="2"/>
      <c r="T98" s="2"/>
      <c r="U98" s="2"/>
      <c r="V98" s="2"/>
      <c r="W98" s="2"/>
      <c r="X98" s="2"/>
      <c r="Y98" s="2" t="s">
        <v>102</v>
      </c>
      <c r="Z98" s="2"/>
    </row>
    <row r="99" customFormat="false" ht="18.75" hidden="false" customHeight="true" outlineLevel="0" collapsed="false">
      <c r="A99" s="31" t="s">
        <v>98</v>
      </c>
      <c r="B99" s="96" t="s">
        <v>113</v>
      </c>
      <c r="C99" s="96"/>
      <c r="D99" s="97" t="n">
        <v>1000</v>
      </c>
      <c r="E99" s="97"/>
      <c r="F99" s="2"/>
      <c r="G99" s="31" t="s">
        <v>98</v>
      </c>
      <c r="H99" s="96" t="s">
        <v>107</v>
      </c>
      <c r="I99" s="96"/>
      <c r="J99" s="97" t="n">
        <v>0</v>
      </c>
      <c r="K99" s="97"/>
      <c r="L99" s="2"/>
      <c r="M99" s="31" t="s">
        <v>98</v>
      </c>
      <c r="N99" s="96" t="s">
        <v>107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103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99</v>
      </c>
      <c r="B101" s="13" t="s">
        <v>100</v>
      </c>
      <c r="C101" s="13"/>
      <c r="D101" s="13" t="s">
        <v>101</v>
      </c>
      <c r="E101" s="14"/>
      <c r="F101" s="2"/>
      <c r="G101" s="6" t="s">
        <v>99</v>
      </c>
      <c r="H101" s="13" t="s">
        <v>100</v>
      </c>
      <c r="I101" s="13"/>
      <c r="J101" s="13" t="s">
        <v>101</v>
      </c>
      <c r="K101" s="14"/>
      <c r="L101" s="2"/>
      <c r="M101" s="6" t="s">
        <v>99</v>
      </c>
      <c r="N101" s="13" t="s">
        <v>100</v>
      </c>
      <c r="O101" s="13"/>
      <c r="P101" s="13" t="s">
        <v>101</v>
      </c>
      <c r="Q101" s="14"/>
      <c r="R101" s="2"/>
      <c r="S101" s="2"/>
      <c r="T101" s="2"/>
      <c r="U101" s="2"/>
      <c r="V101" s="2"/>
      <c r="W101" s="2"/>
      <c r="X101" s="2"/>
      <c r="Y101" s="2" t="s">
        <v>108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110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112</v>
      </c>
      <c r="Z104" s="2"/>
    </row>
    <row r="105" customFormat="false" ht="18.75" hidden="false" customHeight="true" outlineLevel="0" collapsed="false">
      <c r="A105" s="33" t="s">
        <v>25</v>
      </c>
      <c r="B105" s="99" t="n">
        <v>0.2</v>
      </c>
      <c r="C105" s="99"/>
      <c r="D105" s="97" t="s">
        <v>239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113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240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111</v>
      </c>
      <c r="B108" s="28"/>
      <c r="C108" s="28"/>
      <c r="D108" s="28"/>
      <c r="E108" s="28"/>
      <c r="F108" s="2"/>
      <c r="G108" s="28" t="s">
        <v>111</v>
      </c>
      <c r="H108" s="28"/>
      <c r="I108" s="28"/>
      <c r="J108" s="28"/>
      <c r="K108" s="28"/>
      <c r="L108" s="2"/>
      <c r="M108" s="28" t="s">
        <v>111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114</v>
      </c>
      <c r="B110" s="33" t="s">
        <v>26</v>
      </c>
      <c r="C110" s="13"/>
      <c r="D110" s="13"/>
      <c r="E110" s="14"/>
      <c r="F110" s="2"/>
      <c r="G110" s="6" t="s">
        <v>114</v>
      </c>
      <c r="H110" s="33" t="s">
        <v>26</v>
      </c>
      <c r="I110" s="13"/>
      <c r="J110" s="13"/>
      <c r="K110" s="14"/>
      <c r="L110" s="2"/>
      <c r="M110" s="6" t="s">
        <v>114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115</v>
      </c>
      <c r="B112" s="13"/>
      <c r="C112" s="13"/>
      <c r="D112" s="98" t="n">
        <v>0</v>
      </c>
      <c r="E112" s="97" t="n">
        <v>0</v>
      </c>
      <c r="F112" s="2"/>
      <c r="G112" s="6" t="s">
        <v>115</v>
      </c>
      <c r="H112" s="13"/>
      <c r="I112" s="13"/>
      <c r="J112" s="98" t="n">
        <v>0</v>
      </c>
      <c r="K112" s="97" t="n">
        <v>0</v>
      </c>
      <c r="L112" s="2"/>
      <c r="M112" s="6" t="s">
        <v>115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116</v>
      </c>
      <c r="B113" s="13"/>
      <c r="C113" s="13"/>
      <c r="D113" s="100" t="n">
        <f aca="false">E113</f>
        <v>0</v>
      </c>
      <c r="E113" s="97" t="n">
        <v>0</v>
      </c>
      <c r="F113" s="2"/>
      <c r="G113" s="6" t="s">
        <v>116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116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117</v>
      </c>
      <c r="B114" s="13"/>
      <c r="C114" s="13"/>
      <c r="D114" s="100" t="n">
        <f aca="false">D112-D113</f>
        <v>0</v>
      </c>
      <c r="E114" s="101" t="n">
        <f aca="false">E112-E113</f>
        <v>0</v>
      </c>
      <c r="F114" s="2"/>
      <c r="G114" s="6" t="s">
        <v>117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117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118</v>
      </c>
      <c r="B115" s="13"/>
      <c r="C115" s="13"/>
      <c r="D115" s="100" t="n">
        <f aca="false">D114-E114</f>
        <v>0</v>
      </c>
      <c r="E115" s="14"/>
      <c r="F115" s="2"/>
      <c r="G115" s="6" t="s">
        <v>118</v>
      </c>
      <c r="H115" s="13"/>
      <c r="I115" s="13"/>
      <c r="J115" s="100" t="n">
        <f aca="false">J114-K114</f>
        <v>0</v>
      </c>
      <c r="K115" s="14"/>
      <c r="L115" s="2"/>
      <c r="M115" s="6" t="s">
        <v>118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119</v>
      </c>
      <c r="B117" s="76"/>
      <c r="C117" s="76"/>
      <c r="D117" s="76"/>
      <c r="E117" s="91" t="n">
        <f aca="false">D99</f>
        <v>1000</v>
      </c>
      <c r="F117" s="2"/>
      <c r="G117" s="75" t="s">
        <v>119</v>
      </c>
      <c r="H117" s="76"/>
      <c r="I117" s="76"/>
      <c r="J117" s="76"/>
      <c r="K117" s="91" t="n">
        <f aca="false">J99</f>
        <v>0</v>
      </c>
      <c r="L117" s="2"/>
      <c r="M117" s="75" t="s">
        <v>119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120</v>
      </c>
      <c r="B118" s="13"/>
      <c r="C118" s="13"/>
      <c r="D118" s="13"/>
      <c r="E118" s="11" t="n">
        <f aca="false">A102</f>
        <v>199.99</v>
      </c>
      <c r="F118" s="2"/>
      <c r="G118" s="6" t="s">
        <v>120</v>
      </c>
      <c r="H118" s="13"/>
      <c r="I118" s="13"/>
      <c r="J118" s="13"/>
      <c r="K118" s="11" t="n">
        <f aca="false">G102</f>
        <v>199.99</v>
      </c>
      <c r="L118" s="2"/>
      <c r="M118" s="6" t="s">
        <v>120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121</v>
      </c>
      <c r="B119" s="73"/>
      <c r="C119" s="73"/>
      <c r="D119" s="73"/>
      <c r="E119" s="80" t="n">
        <f aca="false">((E118/1.2)+E117)-(D115-E113)</f>
        <v>1166.65833333333</v>
      </c>
      <c r="F119" s="2"/>
      <c r="G119" s="102" t="s">
        <v>121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121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122</v>
      </c>
      <c r="B122" s="28"/>
      <c r="C122" s="28"/>
      <c r="D122" s="28"/>
      <c r="E122" s="28"/>
      <c r="F122" s="2"/>
      <c r="G122" s="28" t="s">
        <v>122</v>
      </c>
      <c r="H122" s="28"/>
      <c r="I122" s="28"/>
      <c r="J122" s="28"/>
      <c r="K122" s="28"/>
      <c r="L122" s="2"/>
      <c r="M122" s="28" t="s">
        <v>122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123</v>
      </c>
      <c r="B124" s="103" t="n">
        <v>0</v>
      </c>
      <c r="C124" s="103"/>
      <c r="D124" s="13"/>
      <c r="E124" s="14"/>
      <c r="F124" s="2"/>
      <c r="G124" s="6" t="s">
        <v>123</v>
      </c>
      <c r="H124" s="103" t="n">
        <v>0</v>
      </c>
      <c r="I124" s="103"/>
      <c r="J124" s="13"/>
      <c r="K124" s="14"/>
      <c r="L124" s="2"/>
      <c r="M124" s="6" t="s">
        <v>123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124</v>
      </c>
      <c r="B126" s="105" t="s">
        <v>125</v>
      </c>
      <c r="C126" s="105"/>
      <c r="D126" s="105" t="s">
        <v>126</v>
      </c>
      <c r="E126" s="14"/>
      <c r="F126" s="2"/>
      <c r="G126" s="104" t="s">
        <v>124</v>
      </c>
      <c r="H126" s="105" t="s">
        <v>125</v>
      </c>
      <c r="I126" s="105"/>
      <c r="J126" s="105" t="s">
        <v>126</v>
      </c>
      <c r="K126" s="14"/>
      <c r="L126" s="2"/>
      <c r="M126" s="104" t="s">
        <v>241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1568.18431119655</v>
      </c>
      <c r="B127" s="108" t="n">
        <f aca="false">IF(A105="YES", B89*B57, 0)</f>
        <v>322.4988</v>
      </c>
      <c r="C127" s="108"/>
      <c r="D127" s="109" t="n">
        <f aca="false">B91</f>
        <v>1604.01751119655</v>
      </c>
      <c r="E127" s="14"/>
      <c r="F127" s="2"/>
      <c r="G127" s="107" t="n">
        <f aca="false">H90</f>
        <v>1384.95302378495</v>
      </c>
      <c r="H127" s="108" t="n">
        <f aca="false">IF(G105="YES", H89*H57, 0)</f>
        <v>188.779785365854</v>
      </c>
      <c r="I127" s="108"/>
      <c r="J127" s="109" t="n">
        <f aca="false">H91</f>
        <v>1416.41632134593</v>
      </c>
      <c r="K127" s="14"/>
      <c r="L127" s="2"/>
      <c r="M127" s="107" t="n">
        <f aca="false">N90</f>
        <v>1147.29039384234</v>
      </c>
      <c r="N127" s="108" t="n">
        <f aca="false">IF(M105="YES", N89*N57, 0)</f>
        <v>157.316487804878</v>
      </c>
      <c r="O127" s="108"/>
      <c r="P127" s="108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127</v>
      </c>
      <c r="B132" s="13" t="s">
        <v>128</v>
      </c>
      <c r="C132" s="13"/>
      <c r="D132" s="13" t="s">
        <v>129</v>
      </c>
      <c r="E132" s="14"/>
      <c r="F132" s="2"/>
      <c r="G132" s="6" t="s">
        <v>127</v>
      </c>
      <c r="H132" s="13" t="s">
        <v>128</v>
      </c>
      <c r="I132" s="13"/>
      <c r="J132" s="13" t="s">
        <v>129</v>
      </c>
      <c r="K132" s="14"/>
      <c r="L132" s="2"/>
      <c r="M132" s="6" t="s">
        <v>242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14113.658800769</v>
      </c>
      <c r="B133" s="112" t="n">
        <f aca="false">IF(A105="YES", B89*B57, 0)</f>
        <v>322.4988</v>
      </c>
      <c r="C133" s="32"/>
      <c r="D133" s="54" t="n">
        <f aca="false">B91*B57</f>
        <v>14436.157600769</v>
      </c>
      <c r="E133" s="14"/>
      <c r="F133" s="2"/>
      <c r="G133" s="111" t="n">
        <f aca="false">H90*H57</f>
        <v>8309.71814270973</v>
      </c>
      <c r="H133" s="11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11" t="n">
        <f aca="false">N90*N57</f>
        <v>6883.74236305403</v>
      </c>
      <c r="N133" s="11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130</v>
      </c>
      <c r="B135" s="13" t="s">
        <v>131</v>
      </c>
      <c r="C135" s="13"/>
      <c r="D135" s="13" t="s">
        <v>132</v>
      </c>
      <c r="E135" s="14"/>
      <c r="F135" s="2"/>
      <c r="G135" s="6" t="s">
        <v>130</v>
      </c>
      <c r="H135" s="13" t="s">
        <v>131</v>
      </c>
      <c r="I135" s="13"/>
      <c r="J135" s="13" t="s">
        <v>132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0.3339105</v>
      </c>
      <c r="B136" s="112" t="n">
        <f aca="false">IF(A105="YES", E15*0.000002, 0)</f>
        <v>0.1113035</v>
      </c>
      <c r="C136" s="112"/>
      <c r="D136" s="112" t="n">
        <f aca="false">A136+B136</f>
        <v>0.445214</v>
      </c>
      <c r="E136" s="110"/>
      <c r="F136" s="2"/>
      <c r="G136" s="113" t="n">
        <f aca="false">E15*0.000006</f>
        <v>0.3339105</v>
      </c>
      <c r="H136" s="112" t="n">
        <f aca="false">IF(G105="YES", E15*0.000002, 0)</f>
        <v>0.1113035</v>
      </c>
      <c r="I136" s="112"/>
      <c r="J136" s="112" t="n">
        <f aca="false">G136+H136</f>
        <v>0.445214</v>
      </c>
      <c r="K136" s="110"/>
      <c r="L136" s="2"/>
      <c r="M136" s="113" t="n">
        <f aca="false">E15*0.000006</f>
        <v>0.3339105</v>
      </c>
      <c r="N136" s="112" t="n">
        <f aca="false">IF(M105="YES", E15*0.000002, 0)</f>
        <v>0.1113035</v>
      </c>
      <c r="O136" s="112"/>
      <c r="P136" s="112" t="n">
        <f aca="false">M136+N136</f>
        <v>0.445214</v>
      </c>
      <c r="Q136" s="110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133</v>
      </c>
      <c r="B138" s="13" t="s">
        <v>134</v>
      </c>
      <c r="C138" s="13"/>
      <c r="D138" s="13" t="s">
        <v>135</v>
      </c>
      <c r="E138" s="14"/>
      <c r="F138" s="2"/>
      <c r="G138" s="6" t="s">
        <v>133</v>
      </c>
      <c r="H138" s="13" t="s">
        <v>134</v>
      </c>
      <c r="I138" s="13"/>
      <c r="J138" s="13" t="s">
        <v>135</v>
      </c>
      <c r="K138" s="14"/>
      <c r="L138" s="2"/>
      <c r="M138" s="6" t="s">
        <v>53</v>
      </c>
      <c r="N138" s="13" t="s">
        <v>134</v>
      </c>
      <c r="O138" s="13"/>
      <c r="P138" s="13" t="s">
        <v>135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964.75</v>
      </c>
      <c r="C139" s="112"/>
      <c r="D139" s="112" t="n">
        <f aca="false">B102*0.9</f>
        <v>0</v>
      </c>
      <c r="E139" s="110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10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10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136</v>
      </c>
      <c r="B141" s="13" t="s">
        <v>137</v>
      </c>
      <c r="C141" s="13"/>
      <c r="D141" s="13" t="s">
        <v>138</v>
      </c>
      <c r="E141" s="14"/>
      <c r="F141" s="2"/>
      <c r="G141" s="6" t="s">
        <v>136</v>
      </c>
      <c r="H141" s="13" t="s">
        <v>137</v>
      </c>
      <c r="I141" s="13"/>
      <c r="J141" s="13" t="s">
        <v>138</v>
      </c>
      <c r="K141" s="14"/>
      <c r="L141" s="2"/>
      <c r="M141" s="6" t="s">
        <v>136</v>
      </c>
      <c r="N141" s="13" t="s">
        <v>137</v>
      </c>
      <c r="O141" s="13"/>
      <c r="P141" s="13" t="s">
        <v>138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17.9166</v>
      </c>
      <c r="B142" s="112" t="n">
        <f aca="false">A102-100</f>
        <v>99.99</v>
      </c>
      <c r="C142" s="112"/>
      <c r="D142" s="112" t="n">
        <f aca="false">(B139+D139+A142+B142)-B145</f>
        <v>1082.6566</v>
      </c>
      <c r="E142" s="110"/>
      <c r="F142" s="2"/>
      <c r="G142" s="113" t="n">
        <f aca="false">IF(G105="YES", ((B36*H105)*0.1)*(G130), 0)</f>
        <v>17.9166</v>
      </c>
      <c r="H142" s="112" t="n">
        <f aca="false">G102-100</f>
        <v>99.99</v>
      </c>
      <c r="I142" s="112"/>
      <c r="J142" s="112" t="n">
        <f aca="false">(H139+J139+G142+H142)-H145</f>
        <v>1082.6566</v>
      </c>
      <c r="K142" s="110"/>
      <c r="L142" s="2"/>
      <c r="M142" s="113" t="n">
        <f aca="false">IF(M105="YES", ((B36*N105)*0.1)*(M130), 0)</f>
        <v>17.9166</v>
      </c>
      <c r="N142" s="112" t="n">
        <f aca="false">M102-100</f>
        <v>99.99</v>
      </c>
      <c r="O142" s="112"/>
      <c r="P142" s="112" t="n">
        <f aca="false">(N139+P139+M142+N142)-N145</f>
        <v>1082.6566</v>
      </c>
      <c r="Q142" s="11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139</v>
      </c>
      <c r="B144" s="13" t="s">
        <v>140</v>
      </c>
      <c r="C144" s="13"/>
      <c r="D144" s="13"/>
      <c r="E144" s="14"/>
      <c r="F144" s="2"/>
      <c r="G144" s="6" t="s">
        <v>139</v>
      </c>
      <c r="H144" s="13" t="s">
        <v>140</v>
      </c>
      <c r="I144" s="13"/>
      <c r="J144" s="13"/>
      <c r="K144" s="14"/>
      <c r="L144" s="2"/>
      <c r="M144" s="6" t="s">
        <v>139</v>
      </c>
      <c r="N144" s="13" t="s">
        <v>140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n">
        <f aca="false">(H139+J139+G142+H142)*(G145/H64)</f>
        <v>0</v>
      </c>
      <c r="I145" s="13"/>
      <c r="J145" s="13"/>
      <c r="K145" s="14"/>
      <c r="L145" s="2"/>
      <c r="M145" s="113" t="n">
        <v>0</v>
      </c>
      <c r="N145" s="11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243</v>
      </c>
      <c r="N147" s="100" t="s">
        <v>244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141</v>
      </c>
      <c r="B148" s="13"/>
      <c r="C148" s="13"/>
      <c r="D148" s="63"/>
      <c r="E148" s="64"/>
      <c r="F148" s="2"/>
      <c r="G148" s="62" t="s">
        <v>141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141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1604.01751119655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1416.41632134593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1173.50980847649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05" colorId="64" zoomScale="75" zoomScaleNormal="75" zoomScalePageLayoutView="100" workbookViewId="0">
      <selection pane="topLeft" activeCell="E144" activeCellId="0" sqref="E144"/>
    </sheetView>
  </sheetViews>
  <sheetFormatPr defaultColWidth="11.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47687.5</v>
      </c>
      <c r="F9" s="2"/>
      <c r="G9" s="251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142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143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144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212</v>
      </c>
      <c r="B28" s="28"/>
      <c r="C28" s="28"/>
      <c r="D28" s="28"/>
      <c r="E28" s="28"/>
      <c r="F28" s="2"/>
      <c r="G28" s="30" t="s">
        <v>145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123</v>
      </c>
      <c r="B30" s="103" t="s">
        <v>146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147</v>
      </c>
      <c r="H31" s="155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148</v>
      </c>
      <c r="E32" s="14"/>
      <c r="F32" s="2"/>
      <c r="G32" s="29" t="s">
        <v>149</v>
      </c>
      <c r="I32" s="155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922.920864561026</v>
      </c>
      <c r="E33" s="14"/>
      <c r="F33" s="2"/>
      <c r="G33" s="30" t="s">
        <v>150</v>
      </c>
      <c r="H33" s="259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151</v>
      </c>
      <c r="B35" s="13" t="s">
        <v>152</v>
      </c>
      <c r="C35" s="13"/>
      <c r="D35" s="13" t="s">
        <v>153</v>
      </c>
      <c r="E35" s="14"/>
      <c r="F35" s="2"/>
      <c r="G35" s="46" t="s">
        <v>154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922.920864561026</v>
      </c>
      <c r="B36" s="11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156</v>
      </c>
      <c r="B39" s="13" t="s">
        <v>157</v>
      </c>
      <c r="C39" s="13"/>
      <c r="D39" s="13" t="s">
        <v>158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27500</v>
      </c>
      <c r="B40" s="97" t="str">
        <f aca="false">IF(B26="YES",H42,"0")</f>
        <v>0</v>
      </c>
      <c r="C40" s="97"/>
      <c r="D40" s="54" t="n">
        <f aca="false">I32</f>
        <v>0</v>
      </c>
      <c r="E40" s="14"/>
      <c r="F40" s="2"/>
      <c r="G40" s="2" t="s">
        <v>159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160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161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162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163</v>
      </c>
      <c r="B44" s="13"/>
      <c r="C44" s="261" t="s">
        <v>164</v>
      </c>
      <c r="D44" s="261"/>
      <c r="E44" s="14"/>
      <c r="F44" s="2"/>
      <c r="G44" s="2" t="s">
        <v>235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166</v>
      </c>
      <c r="B45" s="13"/>
      <c r="C45" s="263" t="s">
        <v>166</v>
      </c>
      <c r="D45" s="263"/>
      <c r="E45" s="14"/>
      <c r="F45" s="2"/>
      <c r="G45" s="2" t="s">
        <v>236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237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169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170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171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B62+(B62*0.25*((H29/12)-1))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277"/>
      <c r="D64" s="12" t="n">
        <f aca="false">B64</f>
        <v>6077.925</v>
      </c>
      <c r="E64" s="276" t="n">
        <f aca="false">D64/(B58+B57)</f>
        <v>168.83125</v>
      </c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2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278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</f>
        <v>1157.7</v>
      </c>
      <c r="C67" s="279"/>
      <c r="D67" s="280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281"/>
      <c r="D68" s="12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355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5" t="s">
        <v>82</v>
      </c>
      <c r="B77" s="91" t="n">
        <f aca="false">B102*1.1</f>
        <v>0</v>
      </c>
      <c r="C77" s="282"/>
      <c r="D77" s="12" t="n">
        <f aca="false">B77</f>
        <v>0</v>
      </c>
      <c r="E77" s="276" t="n">
        <f aca="false">D77/(B58+B57)</f>
        <v>0</v>
      </c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D102/(1-0.1)</f>
        <v>0</v>
      </c>
      <c r="C78" s="282"/>
      <c r="D78" s="12" t="n">
        <f aca="false">B78</f>
        <v>0</v>
      </c>
      <c r="E78" s="276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282"/>
      <c r="D79" s="12" t="n">
        <f aca="false">B79</f>
        <v>200</v>
      </c>
      <c r="E79" s="276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282"/>
      <c r="D80" s="12" t="n">
        <f aca="false">B80</f>
        <v>200</v>
      </c>
      <c r="E80" s="276" t="n">
        <f aca="false">(D73+D76+D79+D80)/(B58+B57)</f>
        <v>51.7592592592593</v>
      </c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7941.25833333333</v>
      </c>
      <c r="C81" s="282"/>
      <c r="D81" s="283"/>
      <c r="E81" s="276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220.590509259259</v>
      </c>
      <c r="C82" s="282"/>
      <c r="D82" s="13"/>
      <c r="E82" s="276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922.920864561026</v>
      </c>
      <c r="C83" s="282"/>
      <c r="D83" s="13"/>
      <c r="E83" s="276" t="n">
        <f aca="false">B83+E80+E77+E64</f>
        <v>1143.51137382028</v>
      </c>
      <c r="F83" s="2"/>
      <c r="G83" s="89" t="s">
        <v>88</v>
      </c>
      <c r="H83" s="90" t="n">
        <f aca="false">H47</f>
        <v>922.920864561026</v>
      </c>
      <c r="I83" s="13"/>
      <c r="J83" s="13"/>
      <c r="K83" s="14"/>
      <c r="L83" s="2"/>
      <c r="M83" s="89" t="s">
        <v>88</v>
      </c>
      <c r="N83" s="90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82"/>
      <c r="D84" s="282"/>
      <c r="E84" s="276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</f>
        <v>41166.4094575303</v>
      </c>
      <c r="C85" s="282"/>
      <c r="D85" s="282"/>
      <c r="E85" s="276" t="n">
        <f aca="false">B85/(B58+B57)</f>
        <v>1143.51137382028</v>
      </c>
      <c r="F85" s="2"/>
      <c r="G85" s="75" t="s">
        <v>89</v>
      </c>
      <c r="H85" s="91" t="n">
        <f aca="false">((H83*H29)+H81)*1.2</f>
        <v>48442.5913490363</v>
      </c>
      <c r="I85" s="13"/>
      <c r="J85" s="13"/>
      <c r="K85" s="14"/>
      <c r="L85" s="2"/>
      <c r="M85" s="75" t="s">
        <v>89</v>
      </c>
      <c r="N85" s="91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(((B83*H29)+B81)/(1-B70))*B70</f>
        <v>348.727147482104</v>
      </c>
      <c r="C86" s="282"/>
      <c r="D86" s="13"/>
      <c r="E86" s="276" t="n">
        <f aca="false">B86/(B58+B57)</f>
        <v>9.68686520783622</v>
      </c>
      <c r="F86" s="2"/>
      <c r="G86" s="6" t="s">
        <v>90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90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IF(B110="YES",((B85+B86)-E114),((B85+B86)))</f>
        <v>41515.1366050124</v>
      </c>
      <c r="C87" s="282"/>
      <c r="D87" s="284"/>
      <c r="E87" s="276" t="n">
        <f aca="false">E86+E85</f>
        <v>1153.19823902812</v>
      </c>
      <c r="F87" s="2"/>
      <c r="G87" s="72" t="s">
        <v>91</v>
      </c>
      <c r="H87" s="80" t="n">
        <f aca="false">IF(H110="YES",((H85+H86)-K114),(H85+H86))</f>
        <v>48784.562042303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82"/>
      <c r="D88" s="13"/>
      <c r="E88" s="276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(I32+(I32*B105))/(B58), (I32+(I32*B105))/(B57+B58))</f>
        <v>0</v>
      </c>
      <c r="C89" s="282"/>
      <c r="D89" s="13"/>
      <c r="E89" s="14"/>
      <c r="F89" s="2"/>
      <c r="G89" s="87" t="s">
        <v>92</v>
      </c>
      <c r="H89" s="88" t="n">
        <f aca="false">IF(H99=Y98, (D40+(D40*H105))/(H58), (D40+(D40*H105))/(H57+H58))*1.2</f>
        <v>0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1153.19823902812</v>
      </c>
      <c r="C90" s="282"/>
      <c r="D90" s="13"/>
      <c r="E90" s="285"/>
      <c r="F90" s="2"/>
      <c r="G90" s="92" t="s">
        <v>93</v>
      </c>
      <c r="H90" s="93" t="n">
        <f aca="false">IF(H99=Y98, (H87-J105)/(H58), H87/(H57+H58))</f>
        <v>1189.86736688544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1153.19823902812</v>
      </c>
      <c r="C91" s="282"/>
      <c r="D91" s="286"/>
      <c r="E91" s="287"/>
      <c r="F91" s="2"/>
      <c r="G91" s="94" t="s">
        <v>52</v>
      </c>
      <c r="H91" s="95" t="n">
        <f aca="false">IF(G105="YES", H90+H89, H90)</f>
        <v>1189.86736688544</v>
      </c>
      <c r="I91" s="13"/>
      <c r="J91" s="13"/>
      <c r="K91" s="14"/>
      <c r="L91" s="2"/>
      <c r="M91" s="94" t="s">
        <v>52</v>
      </c>
      <c r="N91" s="9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288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245</v>
      </c>
      <c r="B94" s="27"/>
      <c r="C94" s="27"/>
      <c r="D94" s="27"/>
      <c r="E94" s="27"/>
      <c r="F94" s="2"/>
      <c r="G94" s="27" t="s">
        <v>94</v>
      </c>
      <c r="H94" s="27"/>
      <c r="I94" s="27"/>
      <c r="J94" s="27"/>
      <c r="K94" s="27"/>
      <c r="L94" s="2"/>
      <c r="M94" s="27" t="s">
        <v>238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246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95</v>
      </c>
      <c r="B96" s="28"/>
      <c r="C96" s="28"/>
      <c r="D96" s="28"/>
      <c r="E96" s="28"/>
      <c r="F96" s="2"/>
      <c r="G96" s="28" t="s">
        <v>95</v>
      </c>
      <c r="H96" s="28"/>
      <c r="I96" s="28"/>
      <c r="J96" s="28"/>
      <c r="K96" s="28"/>
      <c r="L96" s="2"/>
      <c r="M96" s="28" t="s">
        <v>95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89"/>
      <c r="C97" s="289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72"/>
    </row>
    <row r="98" customFormat="false" ht="18.75" hidden="false" customHeight="true" outlineLevel="0" collapsed="false">
      <c r="A98" s="6" t="s">
        <v>96</v>
      </c>
      <c r="B98" s="13" t="s">
        <v>38</v>
      </c>
      <c r="C98" s="13"/>
      <c r="D98" s="13" t="s">
        <v>97</v>
      </c>
      <c r="E98" s="14"/>
      <c r="F98" s="2"/>
      <c r="G98" s="6" t="s">
        <v>96</v>
      </c>
      <c r="H98" s="13" t="s">
        <v>38</v>
      </c>
      <c r="I98" s="13"/>
      <c r="J98" s="13" t="s">
        <v>97</v>
      </c>
      <c r="K98" s="14"/>
      <c r="L98" s="2"/>
      <c r="M98" s="6" t="s">
        <v>96</v>
      </c>
      <c r="N98" s="13" t="s">
        <v>38</v>
      </c>
      <c r="O98" s="13"/>
      <c r="P98" s="13" t="s">
        <v>97</v>
      </c>
      <c r="Q98" s="14"/>
      <c r="R98" s="2"/>
      <c r="S98" s="2"/>
      <c r="T98" s="2"/>
      <c r="U98" s="2"/>
      <c r="V98" s="2"/>
      <c r="W98" s="2"/>
      <c r="X98" s="2"/>
      <c r="Y98" s="2" t="s">
        <v>102</v>
      </c>
      <c r="Z98" s="2"/>
    </row>
    <row r="99" customFormat="false" ht="18.75" hidden="false" customHeight="true" outlineLevel="0" collapsed="false">
      <c r="A99" s="31" t="s">
        <v>98</v>
      </c>
      <c r="B99" s="96" t="s">
        <v>247</v>
      </c>
      <c r="C99" s="96"/>
      <c r="D99" s="97" t="n">
        <v>1000</v>
      </c>
      <c r="E99" s="97"/>
      <c r="F99" s="2"/>
      <c r="G99" s="31" t="s">
        <v>98</v>
      </c>
      <c r="H99" s="96" t="s">
        <v>107</v>
      </c>
      <c r="I99" s="96"/>
      <c r="J99" s="97" t="n">
        <v>0</v>
      </c>
      <c r="K99" s="97"/>
      <c r="L99" s="2"/>
      <c r="M99" s="31" t="s">
        <v>98</v>
      </c>
      <c r="N99" s="96" t="s">
        <v>107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103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99</v>
      </c>
      <c r="B101" s="13" t="s">
        <v>100</v>
      </c>
      <c r="C101" s="13"/>
      <c r="D101" s="13" t="s">
        <v>248</v>
      </c>
      <c r="E101" s="14"/>
      <c r="F101" s="2"/>
      <c r="G101" s="6" t="s">
        <v>99</v>
      </c>
      <c r="H101" s="13" t="s">
        <v>100</v>
      </c>
      <c r="I101" s="13"/>
      <c r="J101" s="13" t="s">
        <v>101</v>
      </c>
      <c r="K101" s="14"/>
      <c r="L101" s="2"/>
      <c r="M101" s="6" t="s">
        <v>99</v>
      </c>
      <c r="N101" s="13" t="s">
        <v>100</v>
      </c>
      <c r="O101" s="13"/>
      <c r="P101" s="13" t="s">
        <v>101</v>
      </c>
      <c r="Q101" s="14"/>
      <c r="R101" s="2"/>
      <c r="S101" s="2"/>
      <c r="T101" s="2"/>
      <c r="U101" s="2"/>
      <c r="V101" s="2"/>
      <c r="W101" s="2"/>
      <c r="X101" s="2"/>
      <c r="Y101" s="2" t="s">
        <v>108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110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112</v>
      </c>
      <c r="Z104" s="2"/>
    </row>
    <row r="105" customFormat="false" ht="18.75" hidden="false" customHeight="true" outlineLevel="0" collapsed="false">
      <c r="A105" s="33" t="s">
        <v>26</v>
      </c>
      <c r="B105" s="99" t="n">
        <v>0</v>
      </c>
      <c r="C105" s="99"/>
      <c r="D105" s="97" t="s">
        <v>239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113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240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111</v>
      </c>
      <c r="B108" s="28"/>
      <c r="C108" s="28"/>
      <c r="D108" s="28"/>
      <c r="E108" s="28"/>
      <c r="F108" s="2"/>
      <c r="G108" s="28" t="s">
        <v>111</v>
      </c>
      <c r="H108" s="28"/>
      <c r="I108" s="28"/>
      <c r="J108" s="28"/>
      <c r="K108" s="28"/>
      <c r="L108" s="2"/>
      <c r="M108" s="28" t="s">
        <v>111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114</v>
      </c>
      <c r="B110" s="33" t="s">
        <v>26</v>
      </c>
      <c r="C110" s="13"/>
      <c r="D110" s="13"/>
      <c r="E110" s="14"/>
      <c r="F110" s="2"/>
      <c r="G110" s="6" t="s">
        <v>114</v>
      </c>
      <c r="H110" s="33" t="s">
        <v>26</v>
      </c>
      <c r="I110" s="13"/>
      <c r="J110" s="13"/>
      <c r="K110" s="14"/>
      <c r="L110" s="2"/>
      <c r="M110" s="6" t="s">
        <v>114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115</v>
      </c>
      <c r="B112" s="13"/>
      <c r="C112" s="13"/>
      <c r="D112" s="98" t="n">
        <v>0</v>
      </c>
      <c r="E112" s="97" t="n">
        <v>0</v>
      </c>
      <c r="F112" s="2"/>
      <c r="G112" s="6" t="s">
        <v>115</v>
      </c>
      <c r="H112" s="13"/>
      <c r="I112" s="13"/>
      <c r="J112" s="98" t="n">
        <v>0</v>
      </c>
      <c r="K112" s="97" t="n">
        <v>0</v>
      </c>
      <c r="L112" s="2"/>
      <c r="M112" s="6" t="s">
        <v>115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116</v>
      </c>
      <c r="B113" s="13"/>
      <c r="C113" s="13"/>
      <c r="D113" s="100" t="n">
        <f aca="false">E113</f>
        <v>0</v>
      </c>
      <c r="E113" s="97" t="n">
        <v>0</v>
      </c>
      <c r="F113" s="2"/>
      <c r="G113" s="6" t="s">
        <v>116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116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117</v>
      </c>
      <c r="B114" s="13"/>
      <c r="C114" s="13"/>
      <c r="D114" s="100" t="n">
        <f aca="false">D112-D113</f>
        <v>0</v>
      </c>
      <c r="E114" s="101" t="n">
        <f aca="false">E112-E113</f>
        <v>0</v>
      </c>
      <c r="F114" s="2"/>
      <c r="G114" s="6" t="s">
        <v>117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117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118</v>
      </c>
      <c r="B115" s="13"/>
      <c r="C115" s="13"/>
      <c r="D115" s="100" t="n">
        <f aca="false">D114-E114</f>
        <v>0</v>
      </c>
      <c r="E115" s="14"/>
      <c r="F115" s="2"/>
      <c r="G115" s="6" t="s">
        <v>118</v>
      </c>
      <c r="H115" s="13"/>
      <c r="I115" s="13"/>
      <c r="J115" s="100" t="n">
        <f aca="false">J114-K114</f>
        <v>0</v>
      </c>
      <c r="K115" s="14"/>
      <c r="L115" s="2"/>
      <c r="M115" s="6" t="s">
        <v>118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119</v>
      </c>
      <c r="B117" s="76"/>
      <c r="C117" s="76"/>
      <c r="D117" s="76"/>
      <c r="E117" s="91" t="n">
        <v>1000</v>
      </c>
      <c r="F117" s="2"/>
      <c r="G117" s="75" t="s">
        <v>119</v>
      </c>
      <c r="H117" s="76"/>
      <c r="I117" s="76"/>
      <c r="J117" s="76"/>
      <c r="K117" s="91" t="n">
        <f aca="false">J99</f>
        <v>0</v>
      </c>
      <c r="L117" s="2"/>
      <c r="M117" s="75" t="s">
        <v>119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120</v>
      </c>
      <c r="B118" s="13"/>
      <c r="C118" s="13"/>
      <c r="D118" s="13"/>
      <c r="E118" s="11" t="n">
        <v>199.99</v>
      </c>
      <c r="F118" s="2"/>
      <c r="G118" s="6" t="s">
        <v>120</v>
      </c>
      <c r="H118" s="13"/>
      <c r="I118" s="13"/>
      <c r="J118" s="13"/>
      <c r="K118" s="11" t="n">
        <f aca="false">G102</f>
        <v>199.99</v>
      </c>
      <c r="L118" s="2"/>
      <c r="M118" s="6" t="s">
        <v>120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121</v>
      </c>
      <c r="B119" s="73"/>
      <c r="C119" s="73"/>
      <c r="D119" s="73"/>
      <c r="E119" s="80" t="n">
        <f aca="false">IF(B110="YES",((E118*1.2)+E117)-E114,((E118*1.2)+E117))</f>
        <v>1239.988</v>
      </c>
      <c r="F119" s="2"/>
      <c r="G119" s="102" t="s">
        <v>121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121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122</v>
      </c>
      <c r="B122" s="28"/>
      <c r="C122" s="28"/>
      <c r="D122" s="28"/>
      <c r="E122" s="28"/>
      <c r="F122" s="2"/>
      <c r="G122" s="28" t="s">
        <v>122</v>
      </c>
      <c r="H122" s="28"/>
      <c r="I122" s="28"/>
      <c r="J122" s="28"/>
      <c r="K122" s="28"/>
      <c r="L122" s="2"/>
      <c r="M122" s="28" t="s">
        <v>122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123</v>
      </c>
      <c r="B124" s="290" t="n">
        <v>0</v>
      </c>
      <c r="C124" s="290"/>
      <c r="D124" s="13"/>
      <c r="E124" s="14"/>
      <c r="F124" s="2"/>
      <c r="G124" s="6" t="s">
        <v>123</v>
      </c>
      <c r="H124" s="103" t="n">
        <v>0</v>
      </c>
      <c r="I124" s="103"/>
      <c r="J124" s="13"/>
      <c r="K124" s="14"/>
      <c r="L124" s="2"/>
      <c r="M124" s="6" t="s">
        <v>123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241</v>
      </c>
      <c r="B126" s="105" t="s">
        <v>51</v>
      </c>
      <c r="C126" s="105"/>
      <c r="D126" s="105" t="s">
        <v>52</v>
      </c>
      <c r="E126" s="14"/>
      <c r="F126" s="2"/>
      <c r="G126" s="104" t="s">
        <v>124</v>
      </c>
      <c r="H126" s="105" t="s">
        <v>125</v>
      </c>
      <c r="I126" s="105"/>
      <c r="J126" s="105" t="s">
        <v>126</v>
      </c>
      <c r="K126" s="14"/>
      <c r="L126" s="2"/>
      <c r="M126" s="104" t="s">
        <v>241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1153.19823902812</v>
      </c>
      <c r="B127" s="108" t="n">
        <f aca="false">IF(A105="YES", B89*B57, 0)</f>
        <v>0</v>
      </c>
      <c r="C127" s="108"/>
      <c r="D127" s="108" t="n">
        <f aca="false">B91</f>
        <v>1153.19823902812</v>
      </c>
      <c r="E127" s="14"/>
      <c r="F127" s="2"/>
      <c r="G127" s="107" t="n">
        <f aca="false">H90</f>
        <v>1189.86736688544</v>
      </c>
      <c r="H127" s="108" t="n">
        <f aca="false">IF(G105="YES", H89*H57, 0)</f>
        <v>0</v>
      </c>
      <c r="I127" s="108"/>
      <c r="J127" s="109" t="n">
        <f aca="false">H91</f>
        <v>1189.86736688544</v>
      </c>
      <c r="K127" s="14"/>
      <c r="L127" s="2"/>
      <c r="M127" s="107" t="n">
        <f aca="false">N90</f>
        <v>984.491094073066</v>
      </c>
      <c r="N127" s="108" t="n">
        <f aca="false">IF(M105="YES", N89*N57, 0)</f>
        <v>0</v>
      </c>
      <c r="O127" s="108"/>
      <c r="P127" s="108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242</v>
      </c>
      <c r="B132" s="13" t="s">
        <v>40</v>
      </c>
      <c r="C132" s="13"/>
      <c r="D132" s="13" t="s">
        <v>44</v>
      </c>
      <c r="E132" s="14"/>
      <c r="F132" s="2"/>
      <c r="G132" s="6" t="s">
        <v>127</v>
      </c>
      <c r="H132" s="13" t="s">
        <v>128</v>
      </c>
      <c r="I132" s="13"/>
      <c r="J132" s="13" t="s">
        <v>129</v>
      </c>
      <c r="K132" s="14"/>
      <c r="L132" s="2"/>
      <c r="M132" s="6" t="s">
        <v>242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10378.7841512531</v>
      </c>
      <c r="B133" s="112" t="n">
        <f aca="false">IF(A105="YES", B89*B57, 0)</f>
        <v>0</v>
      </c>
      <c r="C133" s="32"/>
      <c r="D133" s="54" t="n">
        <f aca="false">B91*B57</f>
        <v>10378.7841512531</v>
      </c>
      <c r="E133" s="14"/>
      <c r="F133" s="2"/>
      <c r="G133" s="111" t="n">
        <f aca="false">H90*H57</f>
        <v>7139.20420131264</v>
      </c>
      <c r="H133" s="11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11" t="n">
        <f aca="false">N90*N57</f>
        <v>5906.94656443839</v>
      </c>
      <c r="N133" s="11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130</v>
      </c>
      <c r="H135" s="13" t="s">
        <v>131</v>
      </c>
      <c r="I135" s="13"/>
      <c r="J135" s="13" t="s">
        <v>132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1" t="n">
        <f aca="false">E15*0.000006</f>
        <v>0.35115</v>
      </c>
      <c r="B136" s="292" t="n">
        <f aca="false">IF(A105="YES", E15*0.000002, 0)</f>
        <v>0</v>
      </c>
      <c r="C136" s="112"/>
      <c r="D136" s="292" t="n">
        <f aca="false">A136+B136</f>
        <v>0.35115</v>
      </c>
      <c r="E136" s="110"/>
      <c r="F136" s="2"/>
      <c r="G136" s="113" t="n">
        <f aca="false">E15*0.000006</f>
        <v>0.35115</v>
      </c>
      <c r="H136" s="112" t="n">
        <f aca="false">IF(G105="YES", E15*0.000002, 0)</f>
        <v>0.11705</v>
      </c>
      <c r="I136" s="112"/>
      <c r="J136" s="112" t="n">
        <f aca="false">G136+H136</f>
        <v>0.4682</v>
      </c>
      <c r="K136" s="110"/>
      <c r="L136" s="2"/>
      <c r="M136" s="113" t="n">
        <f aca="false">E15*0.000006</f>
        <v>0.35115</v>
      </c>
      <c r="N136" s="112" t="n">
        <f aca="false">IF(M105="YES", E15*0.000002, 0)</f>
        <v>0.11705</v>
      </c>
      <c r="O136" s="112"/>
      <c r="P136" s="112" t="n">
        <f aca="false">M136+N136</f>
        <v>0.4682</v>
      </c>
      <c r="Q136" s="110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134</v>
      </c>
      <c r="C138" s="13"/>
      <c r="D138" s="13" t="s">
        <v>135</v>
      </c>
      <c r="E138" s="14"/>
      <c r="F138" s="2"/>
      <c r="G138" s="6" t="s">
        <v>133</v>
      </c>
      <c r="H138" s="13" t="s">
        <v>134</v>
      </c>
      <c r="I138" s="13"/>
      <c r="J138" s="13" t="s">
        <v>135</v>
      </c>
      <c r="K138" s="14"/>
      <c r="L138" s="2"/>
      <c r="M138" s="6" t="s">
        <v>53</v>
      </c>
      <c r="N138" s="13" t="s">
        <v>134</v>
      </c>
      <c r="O138" s="13"/>
      <c r="P138" s="13" t="s">
        <v>135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1157.7</v>
      </c>
      <c r="C139" s="112"/>
      <c r="D139" s="112" t="n">
        <f aca="false">B102*0.9</f>
        <v>0</v>
      </c>
      <c r="E139" s="110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10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10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136</v>
      </c>
      <c r="B141" s="13" t="s">
        <v>137</v>
      </c>
      <c r="C141" s="13"/>
      <c r="D141" s="13" t="s">
        <v>138</v>
      </c>
      <c r="E141" s="14"/>
      <c r="F141" s="2"/>
      <c r="G141" s="6" t="s">
        <v>136</v>
      </c>
      <c r="H141" s="13" t="s">
        <v>137</v>
      </c>
      <c r="I141" s="13"/>
      <c r="J141" s="13" t="s">
        <v>138</v>
      </c>
      <c r="K141" s="14"/>
      <c r="L141" s="2"/>
      <c r="M141" s="6" t="s">
        <v>136</v>
      </c>
      <c r="N141" s="13" t="s">
        <v>137</v>
      </c>
      <c r="O141" s="13"/>
      <c r="P141" s="13" t="s">
        <v>138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0</v>
      </c>
      <c r="B142" s="112" t="n">
        <f aca="false">A102-100</f>
        <v>99.99</v>
      </c>
      <c r="C142" s="112"/>
      <c r="D142" s="112" t="n">
        <f aca="false">(B139+D139+A142+B142)-B145</f>
        <v>1257.69</v>
      </c>
      <c r="E142" s="110"/>
      <c r="F142" s="2"/>
      <c r="G142" s="113" t="e">
        <f aca="false">IF(G105="YES", ((B36*H105)*0.1)*(G130), 0)</f>
        <v>#VALUE!</v>
      </c>
      <c r="H142" s="112" t="n">
        <f aca="false">G102-100</f>
        <v>99.99</v>
      </c>
      <c r="I142" s="112"/>
      <c r="J142" s="112" t="e">
        <f aca="false">(H139+J139+G142+H142)-H145</f>
        <v>#VALUE!</v>
      </c>
      <c r="K142" s="110"/>
      <c r="L142" s="2"/>
      <c r="M142" s="113" t="e">
        <f aca="false">IF(M105="YES", ((B36*N105)*0.1)*(M130), 0)</f>
        <v>#VALUE!</v>
      </c>
      <c r="N142" s="112" t="n">
        <f aca="false">M102-100</f>
        <v>99.99</v>
      </c>
      <c r="O142" s="112"/>
      <c r="P142" s="112" t="e">
        <f aca="false">(N139+P139+M142+N142)-N145</f>
        <v>#VALUE!</v>
      </c>
      <c r="Q142" s="11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139</v>
      </c>
      <c r="B144" s="13" t="s">
        <v>140</v>
      </c>
      <c r="C144" s="13"/>
      <c r="D144" s="13"/>
      <c r="E144" s="14"/>
      <c r="F144" s="2"/>
      <c r="G144" s="6" t="s">
        <v>139</v>
      </c>
      <c r="H144" s="13" t="s">
        <v>140</v>
      </c>
      <c r="I144" s="13"/>
      <c r="J144" s="13"/>
      <c r="K144" s="14"/>
      <c r="L144" s="2"/>
      <c r="M144" s="6" t="s">
        <v>139</v>
      </c>
      <c r="N144" s="13" t="s">
        <v>140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e">
        <f aca="false">(H139+J139+G142+H142)*(G145/H64)</f>
        <v>#VALUE!</v>
      </c>
      <c r="I145" s="13"/>
      <c r="J145" s="13"/>
      <c r="K145" s="14"/>
      <c r="L145" s="2"/>
      <c r="M145" s="113" t="n">
        <v>0</v>
      </c>
      <c r="N145" s="11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243</v>
      </c>
      <c r="N147" s="100" t="s">
        <v>244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141</v>
      </c>
      <c r="B148" s="13"/>
      <c r="C148" s="13"/>
      <c r="D148" s="63"/>
      <c r="E148" s="64"/>
      <c r="F148" s="2"/>
      <c r="G148" s="62" t="s">
        <v>141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141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1153.19823902812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1189.86736688544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984.491094073066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G20" activeCellId="0" sqref="G20"/>
    </sheetView>
  </sheetViews>
  <sheetFormatPr defaultColWidth="11.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138500</v>
      </c>
      <c r="C3" s="7" t="n">
        <v>0</v>
      </c>
      <c r="D3" s="7" t="n">
        <v>0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168500</v>
      </c>
      <c r="F15" s="2"/>
      <c r="G15" s="19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v>0</v>
      </c>
      <c r="C32" s="38"/>
      <c r="D32" s="38" t="n">
        <v>0</v>
      </c>
      <c r="E32" s="38"/>
      <c r="F32" s="2"/>
      <c r="G32" s="39" t="s">
        <v>43</v>
      </c>
      <c r="H32" s="37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249</v>
      </c>
      <c r="H33" s="37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0</v>
      </c>
      <c r="B35" s="34" t="n">
        <v>33</v>
      </c>
      <c r="C35" s="34"/>
      <c r="D35" s="34" t="n">
        <v>11000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30250</v>
      </c>
      <c r="B38" s="34" t="s">
        <v>25</v>
      </c>
      <c r="C38" s="34"/>
      <c r="D38" s="49" t="n">
        <v>50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250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22.73</v>
      </c>
      <c r="B41" s="55" t="n">
        <f aca="false">IF(B38="YES", D38+A41, D38)</f>
        <v>72.73</v>
      </c>
      <c r="C41" s="55"/>
      <c r="D41" s="49" t="n">
        <v>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53</v>
      </c>
      <c r="B43" s="53" t="s">
        <v>55</v>
      </c>
      <c r="C43" s="42"/>
      <c r="D43" s="53" t="s">
        <v>56</v>
      </c>
      <c r="E43" s="57"/>
      <c r="F43" s="2"/>
      <c r="G43" s="2" t="s">
        <v>58</v>
      </c>
      <c r="H43" s="50" t="n">
        <f aca="false">((((D38*(B35-1))+B32)/B35) + (A44/B35))+A44/H29</f>
        <v>51.5151515151515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50</v>
      </c>
      <c r="B44" s="49" t="n">
        <v>50</v>
      </c>
      <c r="C44" s="49"/>
      <c r="D44" s="49" t="n">
        <v>0</v>
      </c>
      <c r="E44" s="49"/>
      <c r="F44" s="2"/>
      <c r="G44" s="2" t="s">
        <v>59</v>
      </c>
      <c r="H44" s="50" t="n">
        <f aca="false">H32</f>
        <v>22.73</v>
      </c>
      <c r="I44" s="293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74.2451515151515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57</v>
      </c>
      <c r="B46" s="53" t="s">
        <v>251</v>
      </c>
      <c r="C46" s="42"/>
      <c r="D46" s="53" t="s">
        <v>252</v>
      </c>
      <c r="E46" s="57"/>
      <c r="F46" s="2"/>
      <c r="G46" s="2" t="s">
        <v>62</v>
      </c>
      <c r="H46" s="50" t="n">
        <f aca="false">H43</f>
        <v>51.5151515151515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294" t="n">
        <v>0</v>
      </c>
      <c r="B47" s="295" t="n">
        <v>0.99</v>
      </c>
      <c r="C47" s="295"/>
      <c r="D47" s="49" t="n">
        <v>0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253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1" t="s">
        <v>61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2" t="s">
        <v>63</v>
      </c>
      <c r="B54" s="13"/>
      <c r="C54" s="13"/>
      <c r="D54" s="63"/>
      <c r="E54" s="64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5"/>
      <c r="C55" s="65"/>
      <c r="D55" s="13"/>
      <c r="E55" s="14"/>
      <c r="F55" s="2"/>
      <c r="G55" s="2"/>
      <c r="H55" s="66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64</v>
      </c>
      <c r="B56" s="68" t="s">
        <v>65</v>
      </c>
      <c r="C56" s="68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11000</v>
      </c>
      <c r="C57" s="69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33</v>
      </c>
      <c r="B58" s="71" t="n">
        <f aca="false">H45</f>
        <v>74.2451515151515</v>
      </c>
      <c r="C58" s="71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2"/>
      <c r="B60" s="73"/>
      <c r="C60" s="73"/>
      <c r="D60" s="73"/>
      <c r="E60" s="7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5"/>
      <c r="B62" s="76"/>
      <c r="C62" s="76"/>
      <c r="D62" s="76"/>
      <c r="E62" s="77"/>
      <c r="F62" s="2"/>
      <c r="G62" s="75"/>
      <c r="H62" s="76"/>
      <c r="I62" s="76"/>
      <c r="J62" s="76"/>
      <c r="K62" s="77"/>
      <c r="L62" s="2"/>
      <c r="M62" s="75"/>
      <c r="N62" s="76"/>
      <c r="O62" s="76"/>
      <c r="P62" s="76"/>
      <c r="Q62" s="77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IF(B105=Y103,1,IF(B105=Y104,1,IF(B105=Y105,3,IF(B105=Y106,6,IF(B105=Y107,9,IF(B105=Y108,12,IF(B105=Y109,3,IF(B105=Y110,6,IF(B105=Y111,9,0)))))))))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3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12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IF(B105=Y103,H29-B63,IF(B105=Y104,H29-B63,IF(B105=Y105,H29-1,IF(B105=Y106,H29-1,IF(B105=Y107,H29-1,IF(B105=Y108,H29-1,IF(B105=Y109,H29-B63,IF(B105=Y110,H29-B63,IF(B105=Y111,H29-B63,0)))))))))</f>
        <v>32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30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32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3"/>
      <c r="D67" s="13"/>
      <c r="E67" s="14"/>
      <c r="F67" s="2"/>
      <c r="G67" s="6" t="s">
        <v>21</v>
      </c>
      <c r="H67" s="12" t="n">
        <f aca="false">G18</f>
        <v>166200</v>
      </c>
      <c r="I67" s="13"/>
      <c r="J67" s="13"/>
      <c r="K67" s="14"/>
      <c r="L67" s="2"/>
      <c r="M67" s="6" t="s">
        <v>21</v>
      </c>
      <c r="N67" s="12" t="n">
        <f aca="false">G18</f>
        <v>166200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67</v>
      </c>
      <c r="B68" s="79" t="n">
        <v>0.07</v>
      </c>
      <c r="C68" s="13"/>
      <c r="D68" s="13"/>
      <c r="E68" s="14"/>
      <c r="F68" s="2"/>
      <c r="G68" s="78" t="s">
        <v>67</v>
      </c>
      <c r="H68" s="79" t="n">
        <v>0.07</v>
      </c>
      <c r="I68" s="13"/>
      <c r="J68" s="13"/>
      <c r="K68" s="14"/>
      <c r="L68" s="2"/>
      <c r="M68" s="78" t="s">
        <v>67</v>
      </c>
      <c r="N68" s="79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68</v>
      </c>
      <c r="B69" s="10" t="n">
        <f aca="false">B68+(B68*0.25*(H29/12-1))</f>
        <v>0.100625</v>
      </c>
      <c r="C69" s="13"/>
      <c r="D69" s="13"/>
      <c r="E69" s="14"/>
      <c r="F69" s="2"/>
      <c r="G69" s="6" t="s">
        <v>68</v>
      </c>
      <c r="H69" s="10" t="n">
        <f aca="false">H68+(H68*0.25*(H29/12-1))</f>
        <v>0.100625</v>
      </c>
      <c r="I69" s="13"/>
      <c r="J69" s="13"/>
      <c r="K69" s="14"/>
      <c r="L69" s="2"/>
      <c r="M69" s="6" t="s">
        <v>68</v>
      </c>
      <c r="N69" s="10" t="n">
        <f aca="false">N68+(N68*0.25*(H29/12-1))</f>
        <v>0.100625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69</v>
      </c>
      <c r="B70" s="80" t="n">
        <f aca="false">B67*B69</f>
        <v>16723.875</v>
      </c>
      <c r="C70" s="13"/>
      <c r="D70" s="12" t="n">
        <f aca="false">B70-A151</f>
        <v>16723.875</v>
      </c>
      <c r="E70" s="14" t="n">
        <f aca="false">D70/12</f>
        <v>1393.65625</v>
      </c>
      <c r="F70" s="2"/>
      <c r="G70" s="72" t="s">
        <v>69</v>
      </c>
      <c r="H70" s="80" t="n">
        <f aca="false">H67*H69</f>
        <v>16723.875</v>
      </c>
      <c r="I70" s="13"/>
      <c r="J70" s="12" t="n">
        <f aca="false">H70-G151</f>
        <v>16723.875</v>
      </c>
      <c r="K70" s="14"/>
      <c r="L70" s="2"/>
      <c r="M70" s="72" t="s">
        <v>69</v>
      </c>
      <c r="N70" s="80" t="n">
        <f aca="false">N67*N69</f>
        <v>16723.875</v>
      </c>
      <c r="O70" s="13"/>
      <c r="P70" s="12" t="n">
        <f aca="false">N70-M151</f>
        <v>16723.875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70</v>
      </c>
      <c r="B71" s="79" t="n">
        <v>0.01</v>
      </c>
      <c r="C71" s="13"/>
      <c r="D71" s="13"/>
      <c r="E71" s="14"/>
      <c r="F71" s="2"/>
      <c r="G71" s="78" t="s">
        <v>70</v>
      </c>
      <c r="H71" s="79" t="n">
        <v>0.005</v>
      </c>
      <c r="I71" s="13"/>
      <c r="J71" s="13"/>
      <c r="K71" s="14"/>
      <c r="L71" s="2"/>
      <c r="M71" s="78" t="s">
        <v>70</v>
      </c>
      <c r="N71" s="79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71</v>
      </c>
      <c r="B72" s="10" t="n">
        <f aca="false">B71+(B71*0.5*(H29/12-1))</f>
        <v>0.01875</v>
      </c>
      <c r="C72" s="13"/>
      <c r="D72" s="13"/>
      <c r="E72" s="14"/>
      <c r="F72" s="2"/>
      <c r="G72" s="6" t="s">
        <v>71</v>
      </c>
      <c r="H72" s="10" t="n">
        <f aca="false">H71+(H71*0.5*(H29/12-1))</f>
        <v>0.009375</v>
      </c>
      <c r="I72" s="13"/>
      <c r="J72" s="13"/>
      <c r="K72" s="14"/>
      <c r="L72" s="2"/>
      <c r="M72" s="6" t="s">
        <v>71</v>
      </c>
      <c r="N72" s="10" t="n">
        <f aca="false">N71+(N71*0.5*(H29/12-1))</f>
        <v>0.009375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72</v>
      </c>
      <c r="B73" s="80" t="n">
        <f aca="false">B67*B72</f>
        <v>3116.25</v>
      </c>
      <c r="C73" s="13"/>
      <c r="D73" s="12"/>
      <c r="E73" s="14"/>
      <c r="F73" s="2"/>
      <c r="G73" s="72" t="s">
        <v>72</v>
      </c>
      <c r="H73" s="80" t="n">
        <f aca="false">H67*H72</f>
        <v>1558.125</v>
      </c>
      <c r="I73" s="13"/>
      <c r="J73" s="12"/>
      <c r="K73" s="14"/>
      <c r="L73" s="2"/>
      <c r="M73" s="72" t="s">
        <v>72</v>
      </c>
      <c r="N73" s="80" t="n">
        <f aca="false">N67*N72</f>
        <v>1558.125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73</v>
      </c>
      <c r="B74" s="79" t="n">
        <v>0.0075</v>
      </c>
      <c r="C74" s="13"/>
      <c r="D74" s="13"/>
      <c r="E74" s="14"/>
      <c r="F74" s="2"/>
      <c r="G74" s="78" t="s">
        <v>73</v>
      </c>
      <c r="H74" s="79" t="n">
        <v>0.0075</v>
      </c>
      <c r="I74" s="13"/>
      <c r="J74" s="13"/>
      <c r="K74" s="14"/>
      <c r="L74" s="2"/>
      <c r="M74" s="78" t="s">
        <v>73</v>
      </c>
      <c r="N74" s="79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74</v>
      </c>
      <c r="B75" s="81" t="n">
        <v>0.12</v>
      </c>
      <c r="C75" s="13"/>
      <c r="D75" s="13"/>
      <c r="E75" s="14"/>
      <c r="F75" s="2"/>
      <c r="G75" s="3" t="s">
        <v>74</v>
      </c>
      <c r="H75" s="81" t="n">
        <v>0.12</v>
      </c>
      <c r="I75" s="13"/>
      <c r="J75" s="13"/>
      <c r="K75" s="14"/>
      <c r="L75" s="2"/>
      <c r="M75" s="3" t="s">
        <v>74</v>
      </c>
      <c r="N75" s="81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75</v>
      </c>
      <c r="B76" s="82" t="n">
        <f aca="false">B74*(1+B75)</f>
        <v>0.0084</v>
      </c>
      <c r="C76" s="13"/>
      <c r="D76" s="13"/>
      <c r="E76" s="14"/>
      <c r="F76" s="2"/>
      <c r="G76" s="72" t="s">
        <v>75</v>
      </c>
      <c r="H76" s="82" t="n">
        <f aca="false">H74*(1+H75)</f>
        <v>0.0084</v>
      </c>
      <c r="I76" s="13"/>
      <c r="J76" s="13"/>
      <c r="K76" s="14"/>
      <c r="L76" s="2"/>
      <c r="M76" s="72" t="s">
        <v>75</v>
      </c>
      <c r="N76" s="82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76</v>
      </c>
      <c r="B77" s="83" t="n">
        <v>160</v>
      </c>
      <c r="C77" s="13"/>
      <c r="D77" s="13"/>
      <c r="E77" s="14"/>
      <c r="F77" s="2"/>
      <c r="G77" s="78" t="s">
        <v>76</v>
      </c>
      <c r="H77" s="83" t="n">
        <v>160</v>
      </c>
      <c r="I77" s="13"/>
      <c r="J77" s="13"/>
      <c r="K77" s="14"/>
      <c r="L77" s="2"/>
      <c r="M77" s="78" t="s">
        <v>76</v>
      </c>
      <c r="N77" s="83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77</v>
      </c>
      <c r="B78" s="84" t="n">
        <v>4.5</v>
      </c>
      <c r="C78" s="13"/>
      <c r="D78" s="13"/>
      <c r="E78" s="14"/>
      <c r="F78" s="2"/>
      <c r="G78" s="3" t="s">
        <v>77</v>
      </c>
      <c r="H78" s="84" t="n">
        <v>4.5</v>
      </c>
      <c r="I78" s="13"/>
      <c r="J78" s="13"/>
      <c r="K78" s="14"/>
      <c r="L78" s="2"/>
      <c r="M78" s="3" t="s">
        <v>77</v>
      </c>
      <c r="N78" s="84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2" t="s">
        <v>78</v>
      </c>
      <c r="B79" s="80" t="n">
        <f aca="false">B78*H29</f>
        <v>148.5</v>
      </c>
      <c r="C79" s="13"/>
      <c r="D79" s="12" t="n">
        <f aca="false">B79+B77</f>
        <v>308.5</v>
      </c>
      <c r="E79" s="287" t="n">
        <f aca="false">D79+D85+D86</f>
        <v>508.5</v>
      </c>
      <c r="F79" s="2"/>
      <c r="G79" s="72" t="s">
        <v>78</v>
      </c>
      <c r="H79" s="80" t="n">
        <f aca="false">H78*H29</f>
        <v>148.5</v>
      </c>
      <c r="I79" s="13"/>
      <c r="J79" s="12" t="n">
        <f aca="false">H79+H77</f>
        <v>308.5</v>
      </c>
      <c r="K79" s="14"/>
      <c r="L79" s="2"/>
      <c r="M79" s="72" t="s">
        <v>78</v>
      </c>
      <c r="N79" s="80" t="n">
        <f aca="false">N78*H29</f>
        <v>148.5</v>
      </c>
      <c r="O79" s="13"/>
      <c r="P79" s="12" t="n">
        <f aca="false">N79+N77</f>
        <v>308.5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8" t="s">
        <v>79</v>
      </c>
      <c r="B80" s="83" t="n">
        <v>155</v>
      </c>
      <c r="C80" s="13"/>
      <c r="D80" s="13"/>
      <c r="E80" s="287" t="n">
        <f aca="false">E79+D82</f>
        <v>1406.83333333333</v>
      </c>
      <c r="F80" s="2"/>
      <c r="G80" s="78" t="s">
        <v>79</v>
      </c>
      <c r="H80" s="83" t="n">
        <v>150</v>
      </c>
      <c r="I80" s="13"/>
      <c r="J80" s="13"/>
      <c r="K80" s="14"/>
      <c r="L80" s="2"/>
      <c r="M80" s="266" t="s">
        <v>79</v>
      </c>
      <c r="N80" s="267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80</v>
      </c>
      <c r="B81" s="84" t="n">
        <v>335</v>
      </c>
      <c r="C81" s="13"/>
      <c r="D81" s="13"/>
      <c r="E81" s="14" t="n">
        <f aca="false">E80/12</f>
        <v>117.236111111111</v>
      </c>
      <c r="F81" s="2"/>
      <c r="G81" s="3" t="s">
        <v>80</v>
      </c>
      <c r="H81" s="84" t="n">
        <f aca="false">IF(G18&gt;40000, 325, 0)</f>
        <v>325</v>
      </c>
      <c r="I81" s="13"/>
      <c r="J81" s="13"/>
      <c r="K81" s="14"/>
      <c r="L81" s="2"/>
      <c r="M81" s="268" t="s">
        <v>80</v>
      </c>
      <c r="N81" s="269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2" t="s">
        <v>81</v>
      </c>
      <c r="B82" s="80" t="n">
        <f aca="false">((B80+B81)/12)*(H29-11)</f>
        <v>898.333333333333</v>
      </c>
      <c r="C82" s="13"/>
      <c r="D82" s="12" t="n">
        <f aca="false">IF(A50="YES", 0, B82)</f>
        <v>898.333333333333</v>
      </c>
      <c r="E82" s="14"/>
      <c r="F82" s="2"/>
      <c r="G82" s="72" t="s">
        <v>81</v>
      </c>
      <c r="H82" s="80" t="n">
        <f aca="false">((H80+H81)/12)*(H29-11)</f>
        <v>870.833333333333</v>
      </c>
      <c r="I82" s="13"/>
      <c r="J82" s="12" t="n">
        <f aca="false">IF(A50="YES", 0, H82)</f>
        <v>870.833333333333</v>
      </c>
      <c r="K82" s="14"/>
      <c r="L82" s="2"/>
      <c r="M82" s="270" t="s">
        <v>81</v>
      </c>
      <c r="N82" s="271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8" t="s">
        <v>82</v>
      </c>
      <c r="B83" s="83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78" t="s">
        <v>82</v>
      </c>
      <c r="H83" s="83" t="n">
        <f aca="false">H108</f>
        <v>1200</v>
      </c>
      <c r="I83" s="13"/>
      <c r="J83" s="12" t="n">
        <f aca="false">H83</f>
        <v>1200</v>
      </c>
      <c r="K83" s="14"/>
      <c r="L83" s="2"/>
      <c r="M83" s="78" t="s">
        <v>82</v>
      </c>
      <c r="N83" s="83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254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83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83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84</v>
      </c>
      <c r="B85" s="84" t="n">
        <v>100</v>
      </c>
      <c r="C85" s="13"/>
      <c r="D85" s="12" t="n">
        <f aca="false">B85</f>
        <v>100</v>
      </c>
      <c r="E85" s="14"/>
      <c r="F85" s="2"/>
      <c r="G85" s="3" t="s">
        <v>84</v>
      </c>
      <c r="H85" s="84" t="n">
        <v>100</v>
      </c>
      <c r="I85" s="13"/>
      <c r="J85" s="12" t="n">
        <f aca="false">H85</f>
        <v>100</v>
      </c>
      <c r="K85" s="14"/>
      <c r="L85" s="2"/>
      <c r="M85" s="3" t="s">
        <v>84</v>
      </c>
      <c r="N85" s="84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85" t="s">
        <v>85</v>
      </c>
      <c r="B86" s="86" t="n">
        <v>100</v>
      </c>
      <c r="C86" s="13"/>
      <c r="D86" s="12" t="n">
        <f aca="false">B86</f>
        <v>100</v>
      </c>
      <c r="E86" s="14"/>
      <c r="F86" s="2"/>
      <c r="G86" s="85" t="s">
        <v>85</v>
      </c>
      <c r="H86" s="86" t="n">
        <v>100</v>
      </c>
      <c r="I86" s="13"/>
      <c r="J86" s="12" t="n">
        <f aca="false">H86</f>
        <v>100</v>
      </c>
      <c r="K86" s="14"/>
      <c r="L86" s="2"/>
      <c r="M86" s="85" t="s">
        <v>85</v>
      </c>
      <c r="N86" s="8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87" t="s">
        <v>86</v>
      </c>
      <c r="B87" s="88" t="n">
        <f aca="false">SUM(D70:D86)</f>
        <v>18130.7083333333</v>
      </c>
      <c r="C87" s="13"/>
      <c r="D87" s="13"/>
      <c r="E87" s="14"/>
      <c r="F87" s="2"/>
      <c r="G87" s="87" t="s">
        <v>86</v>
      </c>
      <c r="H87" s="88" t="n">
        <f aca="false">SUM(J70:J86)</f>
        <v>20803.2083333333</v>
      </c>
      <c r="I87" s="13"/>
      <c r="J87" s="13"/>
      <c r="K87" s="14"/>
      <c r="L87" s="2"/>
      <c r="M87" s="87" t="s">
        <v>86</v>
      </c>
      <c r="N87" s="88" t="n">
        <f aca="false">SUM(P70:P86)</f>
        <v>19932.375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87</v>
      </c>
      <c r="B88" s="11" t="n">
        <f aca="false">B87/H29</f>
        <v>549.415404040404</v>
      </c>
      <c r="C88" s="13"/>
      <c r="D88" s="13"/>
      <c r="E88" s="14"/>
      <c r="F88" s="2"/>
      <c r="G88" s="6" t="s">
        <v>87</v>
      </c>
      <c r="H88" s="11" t="n">
        <f aca="false">H87/H29</f>
        <v>630.400252525253</v>
      </c>
      <c r="I88" s="13"/>
      <c r="J88" s="13"/>
      <c r="K88" s="14"/>
      <c r="L88" s="2"/>
      <c r="M88" s="6" t="s">
        <v>87</v>
      </c>
      <c r="N88" s="11" t="n">
        <f aca="false">N87/H29</f>
        <v>604.011363636364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9" t="s">
        <v>88</v>
      </c>
      <c r="B89" s="90" t="n">
        <f aca="false">H46</f>
        <v>51.5151515151515</v>
      </c>
      <c r="C89" s="13"/>
      <c r="D89" s="13"/>
      <c r="E89" s="14"/>
      <c r="F89" s="2"/>
      <c r="G89" s="89" t="s">
        <v>88</v>
      </c>
      <c r="H89" s="90" t="n">
        <f aca="false">H46</f>
        <v>51.5151515151515</v>
      </c>
      <c r="I89" s="13"/>
      <c r="J89" s="13"/>
      <c r="K89" s="14"/>
      <c r="L89" s="2"/>
      <c r="M89" s="89" t="s">
        <v>88</v>
      </c>
      <c r="N89" s="90" t="n">
        <f aca="false">H46</f>
        <v>51.5151515151515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5" t="s">
        <v>89</v>
      </c>
      <c r="B91" s="91" t="n">
        <f aca="false">((B89*H29)+B87)</f>
        <v>19830.7083333333</v>
      </c>
      <c r="C91" s="13"/>
      <c r="D91" s="13"/>
      <c r="E91" s="14"/>
      <c r="F91" s="2"/>
      <c r="G91" s="75" t="s">
        <v>89</v>
      </c>
      <c r="H91" s="91" t="n">
        <f aca="false">((H89*H29)+H87)*1.2</f>
        <v>27003.85</v>
      </c>
      <c r="I91" s="13"/>
      <c r="J91" s="13"/>
      <c r="K91" s="14"/>
      <c r="L91" s="2"/>
      <c r="M91" s="75" t="s">
        <v>89</v>
      </c>
      <c r="N91" s="91" t="n">
        <f aca="false">((N89*H29)+N87)</f>
        <v>21632.375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90</v>
      </c>
      <c r="B92" s="11" t="n">
        <f aca="false">(((B89*H29)+B87)/(1-B76))*B76</f>
        <v>167.989058087939</v>
      </c>
      <c r="C92" s="13"/>
      <c r="D92" s="13"/>
      <c r="E92" s="296"/>
      <c r="F92" s="2"/>
      <c r="G92" s="6" t="s">
        <v>90</v>
      </c>
      <c r="H92" s="11" t="n">
        <f aca="false">(((H89*H29)+H87)/(1-H76))*H76</f>
        <v>190.628227107705</v>
      </c>
      <c r="I92" s="13"/>
      <c r="J92" s="13"/>
      <c r="K92" s="14"/>
      <c r="L92" s="2"/>
      <c r="M92" s="6" t="s">
        <v>90</v>
      </c>
      <c r="N92" s="11" t="n">
        <f aca="false">(N91/(1-N76))*N76</f>
        <v>183.251260588947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2" t="s">
        <v>91</v>
      </c>
      <c r="B93" s="80" t="n">
        <f aca="false">IF(B116="YES",((B91+B92)-E120),(B91+B92))</f>
        <v>19998.6973914213</v>
      </c>
      <c r="C93" s="13"/>
      <c r="D93" s="13"/>
      <c r="E93" s="14"/>
      <c r="F93" s="2"/>
      <c r="G93" s="72" t="s">
        <v>91</v>
      </c>
      <c r="H93" s="80" t="n">
        <f aca="false">IF(H116="YES",((H91+H92)-K120),(H91+H92))</f>
        <v>29194.4782271077</v>
      </c>
      <c r="I93" s="13"/>
      <c r="J93" s="13"/>
      <c r="K93" s="14"/>
      <c r="L93" s="2"/>
      <c r="M93" s="72" t="s">
        <v>91</v>
      </c>
      <c r="N93" s="80" t="n">
        <f aca="false">IF(N116="YES",((N91+N92)-K120),(N91+N92))</f>
        <v>23815.6262605889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87" t="s">
        <v>92</v>
      </c>
      <c r="B95" s="88" t="n">
        <f aca="false">((H44*B35)+((H44*B35)*B111))/(B63+B64)</f>
        <v>27.276</v>
      </c>
      <c r="C95" s="13"/>
      <c r="D95" s="13"/>
      <c r="E95" s="14"/>
      <c r="F95" s="2"/>
      <c r="G95" s="87" t="s">
        <v>92</v>
      </c>
      <c r="H95" s="88" t="n">
        <f aca="false">(((H44*B35)+((H44*B35)*H111))/(H63+H64))*1.2</f>
        <v>32.7312</v>
      </c>
      <c r="I95" s="13"/>
      <c r="J95" s="13"/>
      <c r="K95" s="14"/>
      <c r="L95" s="2"/>
      <c r="M95" s="87" t="s">
        <v>92</v>
      </c>
      <c r="N95" s="88" t="n">
        <f aca="false">((H44*B35)+((H44*B35)*N111))/(N63+N64)</f>
        <v>20.457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2" t="s">
        <v>93</v>
      </c>
      <c r="B96" s="93" t="n">
        <f aca="false">IF(B105=Y104, (B93-D111)/(B64), B93/(B63+B64))</f>
        <v>606.021133073372</v>
      </c>
      <c r="C96" s="13"/>
      <c r="D96" s="13"/>
      <c r="E96" s="14"/>
      <c r="F96" s="2"/>
      <c r="G96" s="92" t="s">
        <v>93</v>
      </c>
      <c r="H96" s="93" t="n">
        <f aca="false">IF(H105=Y104, (H93-J111)/(H64), H93/(H63+H64))</f>
        <v>884.681158397203</v>
      </c>
      <c r="I96" s="13"/>
      <c r="J96" s="13"/>
      <c r="K96" s="14"/>
      <c r="L96" s="2"/>
      <c r="M96" s="92" t="s">
        <v>93</v>
      </c>
      <c r="N96" s="93" t="n">
        <f aca="false">IF(N105=Y104, (N93-P111)/(N64), N93/(N63+N64))</f>
        <v>541.264233195203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94" t="s">
        <v>52</v>
      </c>
      <c r="B97" s="95" t="n">
        <f aca="false">IF(A111="YES", B96+B95, B96)</f>
        <v>633.297133073372</v>
      </c>
      <c r="C97" s="13"/>
      <c r="D97" s="297"/>
      <c r="E97" s="14"/>
      <c r="F97" s="2"/>
      <c r="G97" s="94" t="s">
        <v>52</v>
      </c>
      <c r="H97" s="95" t="n">
        <f aca="false">IF(G111="YES", H96+H95, H96)</f>
        <v>917.412358397203</v>
      </c>
      <c r="I97" s="13"/>
      <c r="J97" s="13"/>
      <c r="K97" s="14"/>
      <c r="L97" s="2"/>
      <c r="M97" s="94" t="s">
        <v>52</v>
      </c>
      <c r="N97" s="95" t="n">
        <f aca="false">IF(M111="YES", N96+N95, N96)</f>
        <v>561.721233195203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2"/>
      <c r="B98" s="73"/>
      <c r="C98" s="73"/>
      <c r="D98" s="73"/>
      <c r="E98" s="74"/>
      <c r="F98" s="2"/>
      <c r="G98" s="72"/>
      <c r="H98" s="73"/>
      <c r="I98" s="73"/>
      <c r="J98" s="73"/>
      <c r="K98" s="74"/>
      <c r="L98" s="2"/>
      <c r="M98" s="72"/>
      <c r="N98" s="73"/>
      <c r="O98" s="73"/>
      <c r="P98" s="73"/>
      <c r="Q98" s="74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245</v>
      </c>
      <c r="B100" s="27"/>
      <c r="C100" s="27"/>
      <c r="D100" s="27"/>
      <c r="E100" s="27"/>
      <c r="F100" s="2"/>
      <c r="G100" s="27" t="s">
        <v>94</v>
      </c>
      <c r="H100" s="27"/>
      <c r="I100" s="27"/>
      <c r="J100" s="27"/>
      <c r="K100" s="27"/>
      <c r="L100" s="2"/>
      <c r="M100" s="27" t="s">
        <v>238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95</v>
      </c>
      <c r="B102" s="28"/>
      <c r="C102" s="28"/>
      <c r="D102" s="28"/>
      <c r="E102" s="28"/>
      <c r="F102" s="2"/>
      <c r="G102" s="28" t="s">
        <v>95</v>
      </c>
      <c r="H102" s="28"/>
      <c r="I102" s="28"/>
      <c r="J102" s="28"/>
      <c r="K102" s="28"/>
      <c r="L102" s="2"/>
      <c r="M102" s="28" t="s">
        <v>95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42</v>
      </c>
      <c r="Z103" s="2"/>
    </row>
    <row r="104" customFormat="false" ht="18.75" hidden="false" customHeight="true" outlineLevel="0" collapsed="false">
      <c r="A104" s="6" t="s">
        <v>96</v>
      </c>
      <c r="B104" s="13" t="s">
        <v>38</v>
      </c>
      <c r="C104" s="13"/>
      <c r="D104" s="13" t="s">
        <v>97</v>
      </c>
      <c r="E104" s="14"/>
      <c r="F104" s="2"/>
      <c r="G104" s="6" t="s">
        <v>96</v>
      </c>
      <c r="H104" s="13" t="s">
        <v>38</v>
      </c>
      <c r="I104" s="13"/>
      <c r="J104" s="13" t="s">
        <v>97</v>
      </c>
      <c r="K104" s="14"/>
      <c r="L104" s="2"/>
      <c r="M104" s="6" t="s">
        <v>96</v>
      </c>
      <c r="N104" s="13" t="s">
        <v>38</v>
      </c>
      <c r="O104" s="13"/>
      <c r="P104" s="13" t="s">
        <v>97</v>
      </c>
      <c r="Q104" s="14"/>
      <c r="R104" s="2"/>
      <c r="S104" s="2"/>
      <c r="T104" s="2"/>
      <c r="U104" s="2"/>
      <c r="V104" s="2"/>
      <c r="W104" s="2"/>
      <c r="X104" s="2"/>
      <c r="Y104" s="2" t="s">
        <v>102</v>
      </c>
      <c r="Z104" s="2"/>
    </row>
    <row r="105" customFormat="false" ht="18.75" hidden="false" customHeight="true" outlineLevel="0" collapsed="false">
      <c r="A105" s="31" t="s">
        <v>98</v>
      </c>
      <c r="B105" s="96" t="s">
        <v>42</v>
      </c>
      <c r="C105" s="96"/>
      <c r="D105" s="298" t="n">
        <v>0</v>
      </c>
      <c r="E105" s="298"/>
      <c r="F105" s="2"/>
      <c r="G105" s="31" t="s">
        <v>98</v>
      </c>
      <c r="H105" s="96" t="s">
        <v>110</v>
      </c>
      <c r="I105" s="96"/>
      <c r="J105" s="298" t="n">
        <v>5000</v>
      </c>
      <c r="K105" s="298"/>
      <c r="L105" s="2"/>
      <c r="M105" s="31" t="s">
        <v>98</v>
      </c>
      <c r="N105" s="96" t="s">
        <v>109</v>
      </c>
      <c r="O105" s="96"/>
      <c r="P105" s="298" t="n">
        <v>0</v>
      </c>
      <c r="Q105" s="298"/>
      <c r="R105" s="2"/>
      <c r="S105" s="2"/>
      <c r="T105" s="2"/>
      <c r="U105" s="2"/>
      <c r="V105" s="2"/>
      <c r="W105" s="2"/>
      <c r="X105" s="2"/>
      <c r="Y105" s="2" t="s">
        <v>103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99</v>
      </c>
      <c r="B107" s="13" t="s">
        <v>100</v>
      </c>
      <c r="C107" s="13"/>
      <c r="D107" s="13" t="s">
        <v>101</v>
      </c>
      <c r="E107" s="14"/>
      <c r="F107" s="2"/>
      <c r="G107" s="6" t="s">
        <v>99</v>
      </c>
      <c r="H107" s="13" t="s">
        <v>100</v>
      </c>
      <c r="I107" s="13"/>
      <c r="J107" s="13" t="s">
        <v>101</v>
      </c>
      <c r="K107" s="14"/>
      <c r="L107" s="2"/>
      <c r="M107" s="6" t="s">
        <v>99</v>
      </c>
      <c r="N107" s="13" t="s">
        <v>100</v>
      </c>
      <c r="O107" s="13"/>
      <c r="P107" s="13" t="s">
        <v>101</v>
      </c>
      <c r="Q107" s="14"/>
      <c r="R107" s="2"/>
      <c r="S107" s="2"/>
      <c r="T107" s="2"/>
      <c r="U107" s="2"/>
      <c r="V107" s="2"/>
      <c r="W107" s="2"/>
      <c r="X107" s="2"/>
      <c r="Y107" s="2" t="s">
        <v>108</v>
      </c>
      <c r="Z107" s="2"/>
    </row>
    <row r="108" customFormat="false" ht="18.75" hidden="false" customHeight="true" outlineLevel="0" collapsed="false">
      <c r="A108" s="98" t="n">
        <v>199.99</v>
      </c>
      <c r="B108" s="97" t="n">
        <v>0</v>
      </c>
      <c r="C108" s="97"/>
      <c r="D108" s="97" t="n">
        <v>0</v>
      </c>
      <c r="E108" s="97"/>
      <c r="F108" s="2"/>
      <c r="G108" s="98" t="n">
        <f aca="false">199.99*1.2</f>
        <v>239.988</v>
      </c>
      <c r="H108" s="97" t="n">
        <v>1200</v>
      </c>
      <c r="I108" s="97"/>
      <c r="J108" s="97" t="n">
        <v>1500</v>
      </c>
      <c r="K108" s="97"/>
      <c r="L108" s="2"/>
      <c r="M108" s="98" t="n">
        <v>199.99</v>
      </c>
      <c r="N108" s="97" t="n">
        <v>1200</v>
      </c>
      <c r="O108" s="97"/>
      <c r="P108" s="97" t="n">
        <v>1500</v>
      </c>
      <c r="Q108" s="97"/>
      <c r="R108" s="2"/>
      <c r="S108" s="2"/>
      <c r="T108" s="2"/>
      <c r="U108" s="2"/>
      <c r="V108" s="2"/>
      <c r="W108" s="2"/>
      <c r="X108" s="2"/>
      <c r="Y108" s="2" t="s">
        <v>109</v>
      </c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 t="s">
        <v>110</v>
      </c>
      <c r="Z109" s="2"/>
    </row>
    <row r="110" customFormat="false" ht="18.75" hidden="false" customHeight="true" outlineLevel="0" collapsed="false">
      <c r="A110" s="31" t="s">
        <v>104</v>
      </c>
      <c r="B110" s="2" t="s">
        <v>105</v>
      </c>
      <c r="C110" s="13"/>
      <c r="D110" s="13" t="s">
        <v>106</v>
      </c>
      <c r="E110" s="14"/>
      <c r="F110" s="2"/>
      <c r="G110" s="31" t="s">
        <v>104</v>
      </c>
      <c r="H110" s="2" t="s">
        <v>105</v>
      </c>
      <c r="I110" s="13"/>
      <c r="J110" s="13" t="s">
        <v>106</v>
      </c>
      <c r="K110" s="14"/>
      <c r="L110" s="2"/>
      <c r="M110" s="31" t="s">
        <v>104</v>
      </c>
      <c r="N110" s="2" t="s">
        <v>105</v>
      </c>
      <c r="O110" s="13"/>
      <c r="P110" s="13" t="s">
        <v>106</v>
      </c>
      <c r="Q110" s="14"/>
      <c r="R110" s="2"/>
      <c r="S110" s="2"/>
      <c r="T110" s="2"/>
      <c r="U110" s="2"/>
      <c r="V110" s="2"/>
      <c r="W110" s="2"/>
      <c r="X110" s="2"/>
      <c r="Y110" s="2" t="s">
        <v>112</v>
      </c>
      <c r="Z110" s="2"/>
    </row>
    <row r="111" customFormat="false" ht="18.75" hidden="false" customHeight="true" outlineLevel="0" collapsed="false">
      <c r="A111" s="33" t="s">
        <v>25</v>
      </c>
      <c r="B111" s="99" t="n">
        <v>0.2</v>
      </c>
      <c r="C111" s="99"/>
      <c r="D111" s="97" t="n">
        <v>5000</v>
      </c>
      <c r="E111" s="97"/>
      <c r="F111" s="2"/>
      <c r="G111" s="33" t="s">
        <v>25</v>
      </c>
      <c r="H111" s="99" t="n">
        <v>0.2</v>
      </c>
      <c r="I111" s="99"/>
      <c r="J111" s="97" t="n">
        <v>5000</v>
      </c>
      <c r="K111" s="97"/>
      <c r="L111" s="2"/>
      <c r="M111" s="33" t="s">
        <v>25</v>
      </c>
      <c r="N111" s="99" t="n">
        <v>0.2</v>
      </c>
      <c r="O111" s="99"/>
      <c r="P111" s="97" t="n">
        <v>5000</v>
      </c>
      <c r="Q111" s="97"/>
      <c r="R111" s="2"/>
      <c r="S111" s="2"/>
      <c r="T111" s="2"/>
      <c r="U111" s="2"/>
      <c r="V111" s="2"/>
      <c r="W111" s="2"/>
      <c r="X111" s="2"/>
      <c r="Y111" s="2" t="s">
        <v>113</v>
      </c>
      <c r="Z111" s="2"/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240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111</v>
      </c>
      <c r="B114" s="28"/>
      <c r="C114" s="28"/>
      <c r="D114" s="28"/>
      <c r="E114" s="28"/>
      <c r="F114" s="2"/>
      <c r="G114" s="28" t="s">
        <v>111</v>
      </c>
      <c r="H114" s="28"/>
      <c r="I114" s="28"/>
      <c r="J114" s="28"/>
      <c r="K114" s="28"/>
      <c r="L114" s="2"/>
      <c r="M114" s="28" t="s">
        <v>111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114</v>
      </c>
      <c r="B116" s="33" t="s">
        <v>26</v>
      </c>
      <c r="C116" s="13"/>
      <c r="D116" s="13"/>
      <c r="E116" s="14"/>
      <c r="F116" s="2"/>
      <c r="G116" s="6" t="s">
        <v>114</v>
      </c>
      <c r="H116" s="33" t="s">
        <v>25</v>
      </c>
      <c r="I116" s="13"/>
      <c r="J116" s="13"/>
      <c r="K116" s="14"/>
      <c r="L116" s="2"/>
      <c r="M116" s="6" t="s">
        <v>114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115</v>
      </c>
      <c r="B118" s="13"/>
      <c r="C118" s="13"/>
      <c r="D118" s="98" t="n">
        <v>0</v>
      </c>
      <c r="E118" s="97" t="n">
        <v>0</v>
      </c>
      <c r="F118" s="2"/>
      <c r="G118" s="6" t="s">
        <v>115</v>
      </c>
      <c r="H118" s="13"/>
      <c r="I118" s="13"/>
      <c r="J118" s="98" t="n">
        <v>10000</v>
      </c>
      <c r="K118" s="97" t="n">
        <v>5000</v>
      </c>
      <c r="L118" s="2"/>
      <c r="M118" s="6" t="s">
        <v>115</v>
      </c>
      <c r="N118" s="13"/>
      <c r="O118" s="13"/>
      <c r="P118" s="98" t="n">
        <v>10000</v>
      </c>
      <c r="Q118" s="97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116</v>
      </c>
      <c r="B119" s="13"/>
      <c r="C119" s="13"/>
      <c r="D119" s="100" t="n">
        <f aca="false">E119</f>
        <v>0</v>
      </c>
      <c r="E119" s="97" t="n">
        <v>0</v>
      </c>
      <c r="F119" s="2"/>
      <c r="G119" s="6" t="s">
        <v>116</v>
      </c>
      <c r="H119" s="13"/>
      <c r="I119" s="13"/>
      <c r="J119" s="100" t="n">
        <f aca="false">K119</f>
        <v>7000</v>
      </c>
      <c r="K119" s="97" t="n">
        <v>7000</v>
      </c>
      <c r="L119" s="2"/>
      <c r="M119" s="6" t="s">
        <v>116</v>
      </c>
      <c r="N119" s="13"/>
      <c r="O119" s="13"/>
      <c r="P119" s="100" t="n">
        <f aca="false">Q119</f>
        <v>7000</v>
      </c>
      <c r="Q119" s="97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117</v>
      </c>
      <c r="B120" s="13"/>
      <c r="C120" s="13"/>
      <c r="D120" s="100" t="n">
        <f aca="false">D118-D119</f>
        <v>0</v>
      </c>
      <c r="E120" s="101" t="n">
        <f aca="false">E118-E119</f>
        <v>0</v>
      </c>
      <c r="F120" s="2"/>
      <c r="G120" s="6" t="s">
        <v>117</v>
      </c>
      <c r="H120" s="13"/>
      <c r="I120" s="13"/>
      <c r="J120" s="100" t="n">
        <f aca="false">J118-J119</f>
        <v>3000</v>
      </c>
      <c r="K120" s="101" t="n">
        <f aca="false">K118-K119</f>
        <v>-2000</v>
      </c>
      <c r="L120" s="2"/>
      <c r="M120" s="6" t="s">
        <v>117</v>
      </c>
      <c r="N120" s="13"/>
      <c r="O120" s="13"/>
      <c r="P120" s="100" t="n">
        <f aca="false">P118-P119</f>
        <v>3000</v>
      </c>
      <c r="Q120" s="101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118</v>
      </c>
      <c r="B121" s="13"/>
      <c r="C121" s="13"/>
      <c r="D121" s="100" t="n">
        <f aca="false">D120-E120</f>
        <v>0</v>
      </c>
      <c r="E121" s="14"/>
      <c r="F121" s="2"/>
      <c r="G121" s="6" t="s">
        <v>118</v>
      </c>
      <c r="H121" s="13"/>
      <c r="I121" s="13"/>
      <c r="J121" s="100" t="n">
        <f aca="false">J120-K120</f>
        <v>5000</v>
      </c>
      <c r="K121" s="14"/>
      <c r="L121" s="2"/>
      <c r="M121" s="6" t="s">
        <v>118</v>
      </c>
      <c r="N121" s="13"/>
      <c r="O121" s="13"/>
      <c r="P121" s="100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5" t="s">
        <v>119</v>
      </c>
      <c r="B123" s="76"/>
      <c r="C123" s="76"/>
      <c r="D123" s="76"/>
      <c r="E123" s="91" t="n">
        <f aca="false">D105</f>
        <v>0</v>
      </c>
      <c r="F123" s="2"/>
      <c r="G123" s="75" t="s">
        <v>119</v>
      </c>
      <c r="H123" s="76"/>
      <c r="I123" s="76"/>
      <c r="J123" s="76"/>
      <c r="K123" s="91" t="n">
        <f aca="false">J105</f>
        <v>5000</v>
      </c>
      <c r="L123" s="2"/>
      <c r="M123" s="75" t="s">
        <v>119</v>
      </c>
      <c r="N123" s="76"/>
      <c r="O123" s="76"/>
      <c r="P123" s="76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120</v>
      </c>
      <c r="B124" s="13"/>
      <c r="C124" s="13"/>
      <c r="D124" s="13"/>
      <c r="E124" s="11" t="n">
        <f aca="false">A108</f>
        <v>199.99</v>
      </c>
      <c r="F124" s="2"/>
      <c r="G124" s="6" t="s">
        <v>120</v>
      </c>
      <c r="H124" s="13"/>
      <c r="I124" s="13"/>
      <c r="J124" s="13"/>
      <c r="K124" s="11" t="n">
        <f aca="false">G108</f>
        <v>239.988</v>
      </c>
      <c r="L124" s="2"/>
      <c r="M124" s="6" t="s">
        <v>120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2" t="s">
        <v>121</v>
      </c>
      <c r="B125" s="73"/>
      <c r="C125" s="73"/>
      <c r="D125" s="73"/>
      <c r="E125" s="80" t="n">
        <f aca="false">(E124+E123)-E120</f>
        <v>199.99</v>
      </c>
      <c r="F125" s="2"/>
      <c r="G125" s="102" t="s">
        <v>121</v>
      </c>
      <c r="H125" s="73"/>
      <c r="I125" s="73"/>
      <c r="J125" s="73"/>
      <c r="K125" s="80" t="n">
        <f aca="false">(K124+K123)-K120</f>
        <v>7239.988</v>
      </c>
      <c r="L125" s="2"/>
      <c r="M125" s="102" t="s">
        <v>121</v>
      </c>
      <c r="N125" s="73"/>
      <c r="O125" s="73"/>
      <c r="P125" s="73"/>
      <c r="Q125" s="80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122</v>
      </c>
      <c r="B128" s="28"/>
      <c r="C128" s="28"/>
      <c r="D128" s="28"/>
      <c r="E128" s="28"/>
      <c r="F128" s="2"/>
      <c r="G128" s="28" t="s">
        <v>122</v>
      </c>
      <c r="H128" s="28"/>
      <c r="I128" s="28"/>
      <c r="J128" s="28"/>
      <c r="K128" s="28"/>
      <c r="L128" s="2"/>
      <c r="M128" s="28" t="s">
        <v>122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123</v>
      </c>
      <c r="B130" s="103" t="n">
        <v>1200</v>
      </c>
      <c r="C130" s="103"/>
      <c r="D130" s="13"/>
      <c r="E130" s="14"/>
      <c r="F130" s="2"/>
      <c r="G130" s="6" t="s">
        <v>123</v>
      </c>
      <c r="H130" s="103" t="n">
        <v>0</v>
      </c>
      <c r="I130" s="103"/>
      <c r="J130" s="13"/>
      <c r="K130" s="14"/>
      <c r="L130" s="2"/>
      <c r="M130" s="6" t="s">
        <v>123</v>
      </c>
      <c r="N130" s="103" t="n">
        <v>0</v>
      </c>
      <c r="O130" s="103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64</v>
      </c>
      <c r="B132" s="13" t="s">
        <v>65</v>
      </c>
      <c r="C132" s="13"/>
      <c r="D132" s="13" t="s">
        <v>34</v>
      </c>
      <c r="E132" s="14"/>
      <c r="F132" s="2"/>
      <c r="G132" s="6" t="s">
        <v>64</v>
      </c>
      <c r="H132" s="13" t="s">
        <v>65</v>
      </c>
      <c r="I132" s="13"/>
      <c r="J132" s="13" t="s">
        <v>34</v>
      </c>
      <c r="K132" s="14"/>
      <c r="L132" s="2"/>
      <c r="M132" s="6" t="s">
        <v>64</v>
      </c>
      <c r="N132" s="13" t="s">
        <v>65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4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4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4" t="s">
        <v>241</v>
      </c>
      <c r="B135" s="105" t="s">
        <v>51</v>
      </c>
      <c r="C135" s="105"/>
      <c r="D135" s="105" t="s">
        <v>52</v>
      </c>
      <c r="E135" s="14"/>
      <c r="F135" s="2"/>
      <c r="G135" s="104" t="s">
        <v>124</v>
      </c>
      <c r="H135" s="105" t="s">
        <v>125</v>
      </c>
      <c r="I135" s="105"/>
      <c r="J135" s="105" t="s">
        <v>126</v>
      </c>
      <c r="K135" s="14"/>
      <c r="L135" s="2"/>
      <c r="M135" s="104" t="s">
        <v>241</v>
      </c>
      <c r="N135" s="105" t="s">
        <v>51</v>
      </c>
      <c r="O135" s="105"/>
      <c r="P135" s="105" t="s">
        <v>52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07" t="n">
        <f aca="false">B96</f>
        <v>606.021133073372</v>
      </c>
      <c r="B136" s="108" t="n">
        <f aca="false">IF(A111="YES", B95*B63, 0)</f>
        <v>27.276</v>
      </c>
      <c r="C136" s="108"/>
      <c r="D136" s="108" t="n">
        <f aca="false">B97</f>
        <v>633.297133073372</v>
      </c>
      <c r="E136" s="14"/>
      <c r="F136" s="2"/>
      <c r="G136" s="107" t="n">
        <f aca="false">H96</f>
        <v>884.681158397203</v>
      </c>
      <c r="H136" s="108" t="n">
        <f aca="false">IF(G111="YES", H95*H63, 0)</f>
        <v>98.1936</v>
      </c>
      <c r="I136" s="108"/>
      <c r="J136" s="109" t="n">
        <f aca="false">H97</f>
        <v>917.412358397203</v>
      </c>
      <c r="K136" s="14"/>
      <c r="L136" s="2"/>
      <c r="M136" s="107" t="n">
        <f aca="false">N96</f>
        <v>541.264233195203</v>
      </c>
      <c r="N136" s="108" t="n">
        <f aca="false">IF(M111="YES", N95*N63, 0)</f>
        <v>245.484</v>
      </c>
      <c r="O136" s="108"/>
      <c r="P136" s="108" t="n">
        <f aca="false">N97</f>
        <v>561.721233195203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242</v>
      </c>
      <c r="B138" s="13" t="s">
        <v>40</v>
      </c>
      <c r="C138" s="13"/>
      <c r="D138" s="13" t="s">
        <v>44</v>
      </c>
      <c r="E138" s="14"/>
      <c r="F138" s="2"/>
      <c r="G138" s="6" t="s">
        <v>127</v>
      </c>
      <c r="H138" s="13" t="s">
        <v>128</v>
      </c>
      <c r="I138" s="13"/>
      <c r="J138" s="13" t="s">
        <v>129</v>
      </c>
      <c r="K138" s="14"/>
      <c r="L138" s="2"/>
      <c r="M138" s="6" t="s">
        <v>242</v>
      </c>
      <c r="N138" s="13" t="s">
        <v>40</v>
      </c>
      <c r="O138" s="13"/>
      <c r="P138" s="13" t="s">
        <v>44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1" t="n">
        <f aca="false">B96*B63</f>
        <v>606.021133073372</v>
      </c>
      <c r="B139" s="112" t="n">
        <f aca="false">IF(A111="YES", B95*B63, 0)</f>
        <v>27.276</v>
      </c>
      <c r="C139" s="32"/>
      <c r="D139" s="54" t="n">
        <f aca="false">B97*B63</f>
        <v>633.297133073372</v>
      </c>
      <c r="E139" s="14"/>
      <c r="F139" s="2"/>
      <c r="G139" s="111" t="n">
        <f aca="false">H96*H63</f>
        <v>2654.04347519161</v>
      </c>
      <c r="H139" s="112" t="n">
        <f aca="false">IF(G111="YES", H95*H63, 0)</f>
        <v>98.1936</v>
      </c>
      <c r="I139" s="32"/>
      <c r="J139" s="112" t="n">
        <f aca="false">H97*H63</f>
        <v>2752.23707519161</v>
      </c>
      <c r="K139" s="14"/>
      <c r="L139" s="2"/>
      <c r="M139" s="111" t="n">
        <f aca="false">N96*N63</f>
        <v>6495.17079834244</v>
      </c>
      <c r="N139" s="112" t="n">
        <f aca="false">IF(M111="YES", N95*N63, 0)</f>
        <v>245.484</v>
      </c>
      <c r="O139" s="32"/>
      <c r="P139" s="54" t="n">
        <f aca="false">N97*N63</f>
        <v>6740.65479834244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55</v>
      </c>
      <c r="B141" s="13" t="s">
        <v>56</v>
      </c>
      <c r="C141" s="13"/>
      <c r="D141" s="13" t="s">
        <v>57</v>
      </c>
      <c r="E141" s="14"/>
      <c r="F141" s="2"/>
      <c r="G141" s="6" t="s">
        <v>130</v>
      </c>
      <c r="H141" s="13" t="s">
        <v>131</v>
      </c>
      <c r="I141" s="13"/>
      <c r="J141" s="13" t="s">
        <v>132</v>
      </c>
      <c r="K141" s="14"/>
      <c r="L141" s="2"/>
      <c r="M141" s="6" t="s">
        <v>55</v>
      </c>
      <c r="N141" s="13" t="s">
        <v>56</v>
      </c>
      <c r="O141" s="13"/>
      <c r="P141" s="13" t="s">
        <v>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E15*0.000006</f>
        <v>1.011</v>
      </c>
      <c r="B142" s="112" t="n">
        <f aca="false">IF(A111="YES", E15*0.000002, 0)</f>
        <v>0.337</v>
      </c>
      <c r="C142" s="112"/>
      <c r="D142" s="112" t="n">
        <f aca="false">A142+B142</f>
        <v>1.348</v>
      </c>
      <c r="E142" s="110"/>
      <c r="F142" s="2"/>
      <c r="G142" s="113" t="n">
        <f aca="false">E15*0.000006</f>
        <v>1.011</v>
      </c>
      <c r="H142" s="112" t="n">
        <f aca="false">IF(G111="YES", E15*0.000002, 0)</f>
        <v>0.337</v>
      </c>
      <c r="I142" s="112"/>
      <c r="J142" s="112" t="n">
        <f aca="false">G142+H142</f>
        <v>1.348</v>
      </c>
      <c r="K142" s="110"/>
      <c r="L142" s="2"/>
      <c r="M142" s="113" t="n">
        <f aca="false">E15*0.000006</f>
        <v>1.011</v>
      </c>
      <c r="N142" s="112" t="n">
        <f aca="false">IF(M111="YES", E15*0.000002, 0)</f>
        <v>0.337</v>
      </c>
      <c r="O142" s="112"/>
      <c r="P142" s="112" t="n">
        <f aca="false">M142+N142</f>
        <v>1.348</v>
      </c>
      <c r="Q142" s="11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53</v>
      </c>
      <c r="B144" s="13" t="s">
        <v>134</v>
      </c>
      <c r="C144" s="13"/>
      <c r="D144" s="13" t="s">
        <v>135</v>
      </c>
      <c r="E144" s="14"/>
      <c r="F144" s="2"/>
      <c r="G144" s="6" t="s">
        <v>133</v>
      </c>
      <c r="H144" s="13" t="s">
        <v>134</v>
      </c>
      <c r="I144" s="13"/>
      <c r="J144" s="13" t="s">
        <v>135</v>
      </c>
      <c r="K144" s="14"/>
      <c r="L144" s="2"/>
      <c r="M144" s="6" t="s">
        <v>53</v>
      </c>
      <c r="N144" s="13" t="s">
        <v>134</v>
      </c>
      <c r="O144" s="13"/>
      <c r="P144" s="13" t="s">
        <v>135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A108</f>
        <v>199.99</v>
      </c>
      <c r="B145" s="112" t="n">
        <f aca="false">B73/1.2</f>
        <v>2596.875</v>
      </c>
      <c r="C145" s="112"/>
      <c r="D145" s="112" t="n">
        <f aca="false">B108*0.9</f>
        <v>0</v>
      </c>
      <c r="E145" s="110"/>
      <c r="F145" s="2"/>
      <c r="G145" s="113" t="n">
        <f aca="false">G108</f>
        <v>239.988</v>
      </c>
      <c r="H145" s="112" t="n">
        <f aca="false">H73/1.2</f>
        <v>1298.4375</v>
      </c>
      <c r="I145" s="112"/>
      <c r="J145" s="112" t="n">
        <f aca="false">H108*0.9</f>
        <v>1080</v>
      </c>
      <c r="K145" s="110"/>
      <c r="L145" s="2"/>
      <c r="M145" s="113" t="n">
        <f aca="false">M108</f>
        <v>199.99</v>
      </c>
      <c r="N145" s="112" t="n">
        <f aca="false">N73/1.2</f>
        <v>1298.4375</v>
      </c>
      <c r="O145" s="112"/>
      <c r="P145" s="112" t="n">
        <f aca="false">N108*0.9</f>
        <v>1080</v>
      </c>
      <c r="Q145" s="11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136</v>
      </c>
      <c r="B147" s="13" t="s">
        <v>137</v>
      </c>
      <c r="C147" s="13"/>
      <c r="D147" s="13" t="s">
        <v>138</v>
      </c>
      <c r="E147" s="14"/>
      <c r="F147" s="2"/>
      <c r="G147" s="6" t="s">
        <v>136</v>
      </c>
      <c r="H147" s="13" t="s">
        <v>137</v>
      </c>
      <c r="I147" s="13"/>
      <c r="J147" s="13" t="s">
        <v>138</v>
      </c>
      <c r="K147" s="14"/>
      <c r="L147" s="2"/>
      <c r="M147" s="6" t="s">
        <v>136</v>
      </c>
      <c r="N147" s="13" t="s">
        <v>137</v>
      </c>
      <c r="O147" s="13"/>
      <c r="P147" s="13" t="s">
        <v>138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3" t="n">
        <f aca="false">IF(A111="YES", ((A41*B111)*0.1)*(A133), 0)</f>
        <v>15.0018</v>
      </c>
      <c r="B148" s="112" t="n">
        <f aca="false">A108-100</f>
        <v>99.99</v>
      </c>
      <c r="C148" s="112"/>
      <c r="D148" s="112" t="n">
        <f aca="false">(B145+D145+A148+B148)-B151</f>
        <v>2711.8668</v>
      </c>
      <c r="E148" s="110"/>
      <c r="F148" s="2"/>
      <c r="G148" s="113" t="n">
        <f aca="false">IF(G111="YES", ((A41*H111)*0.1)*(G133), 0)</f>
        <v>15.0018</v>
      </c>
      <c r="H148" s="112" t="n">
        <f aca="false">G108-100</f>
        <v>139.988</v>
      </c>
      <c r="I148" s="112"/>
      <c r="J148" s="112" t="n">
        <f aca="false">(H145+J145+G148+H148)-H151</f>
        <v>2533.4273</v>
      </c>
      <c r="K148" s="110"/>
      <c r="L148" s="2"/>
      <c r="M148" s="113" t="n">
        <f aca="false">IF(M111="YES", ((A41*N111)*0.1)*(M133), 0)</f>
        <v>15.0018</v>
      </c>
      <c r="N148" s="112" t="n">
        <f aca="false">M108-100</f>
        <v>99.99</v>
      </c>
      <c r="O148" s="112"/>
      <c r="P148" s="112" t="n">
        <f aca="false">(N145+P145+M148+N148)-N151</f>
        <v>2493.4293</v>
      </c>
      <c r="Q148" s="11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139</v>
      </c>
      <c r="B150" s="13" t="s">
        <v>140</v>
      </c>
      <c r="C150" s="13"/>
      <c r="D150" s="13"/>
      <c r="E150" s="14"/>
      <c r="F150" s="2"/>
      <c r="G150" s="6" t="s">
        <v>139</v>
      </c>
      <c r="H150" s="13" t="s">
        <v>140</v>
      </c>
      <c r="I150" s="13"/>
      <c r="J150" s="13"/>
      <c r="K150" s="14"/>
      <c r="L150" s="2"/>
      <c r="M150" s="6" t="s">
        <v>139</v>
      </c>
      <c r="N150" s="13" t="s">
        <v>140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13" t="n">
        <v>0</v>
      </c>
      <c r="B151" s="112" t="n">
        <f aca="false">(B145+D145+A148+B148)*(A151/B70)</f>
        <v>0</v>
      </c>
      <c r="C151" s="13"/>
      <c r="D151" s="13"/>
      <c r="E151" s="14"/>
      <c r="F151" s="2"/>
      <c r="G151" s="113" t="n">
        <f aca="false">IF((1200-H108) &lt;= 0, 0, (1200-H108))</f>
        <v>0</v>
      </c>
      <c r="H151" s="112" t="n">
        <f aca="false">(H145+J145+G148+H148)*(G151/H70)</f>
        <v>0</v>
      </c>
      <c r="I151" s="13"/>
      <c r="J151" s="13"/>
      <c r="K151" s="14"/>
      <c r="L151" s="2"/>
      <c r="M151" s="113" t="n">
        <f aca="false">IF((1200-N108) &lt;= 0, 0, (1200-N108))</f>
        <v>0</v>
      </c>
      <c r="N151" s="11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13"/>
      <c r="N152" s="11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67" t="s">
        <v>243</v>
      </c>
      <c r="N153" s="100" t="s">
        <v>244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2" t="s">
        <v>141</v>
      </c>
      <c r="B154" s="13"/>
      <c r="C154" s="13"/>
      <c r="D154" s="63"/>
      <c r="E154" s="64"/>
      <c r="F154" s="2"/>
      <c r="G154" s="62" t="s">
        <v>141</v>
      </c>
      <c r="H154" s="13"/>
      <c r="I154" s="13"/>
      <c r="J154" s="63"/>
      <c r="K154" s="64"/>
      <c r="L154" s="2"/>
      <c r="M154" s="273" t="n">
        <f aca="false">H40</f>
        <v>0</v>
      </c>
      <c r="N154" s="274" t="n">
        <v>0.99</v>
      </c>
      <c r="O154" s="274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5"/>
      <c r="C155" s="65"/>
      <c r="D155" s="13"/>
      <c r="E155" s="14"/>
      <c r="F155" s="2"/>
      <c r="G155" s="6"/>
      <c r="H155" s="65"/>
      <c r="I155" s="6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7" t="s">
        <v>64</v>
      </c>
      <c r="B156" s="68" t="s">
        <v>65</v>
      </c>
      <c r="C156" s="68"/>
      <c r="D156" s="13"/>
      <c r="E156" s="14"/>
      <c r="F156" s="2"/>
      <c r="G156" s="67" t="s">
        <v>64</v>
      </c>
      <c r="H156" s="68" t="s">
        <v>65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7"/>
      <c r="B157" s="69" t="n">
        <f aca="false">B57</f>
        <v>11000</v>
      </c>
      <c r="C157" s="69"/>
      <c r="D157" s="13"/>
      <c r="E157" s="14"/>
      <c r="F157" s="2"/>
      <c r="G157" s="67"/>
      <c r="H157" s="69" t="n">
        <f aca="false">B57</f>
        <v>11000</v>
      </c>
      <c r="I157" s="69"/>
      <c r="J157" s="13"/>
      <c r="K157" s="14"/>
      <c r="L157" s="2"/>
      <c r="M157" s="62" t="s">
        <v>141</v>
      </c>
      <c r="N157" s="13"/>
      <c r="O157" s="13"/>
      <c r="P157" s="63"/>
      <c r="Q157" s="6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0" t="n">
        <f aca="false">A58</f>
        <v>33</v>
      </c>
      <c r="B158" s="71" t="n">
        <f aca="false">B97</f>
        <v>633.297133073372</v>
      </c>
      <c r="C158" s="71"/>
      <c r="D158" s="13"/>
      <c r="E158" s="14"/>
      <c r="F158" s="2"/>
      <c r="G158" s="70" t="n">
        <f aca="false">A58</f>
        <v>33</v>
      </c>
      <c r="H158" s="71" t="n">
        <f aca="false">H97</f>
        <v>917.412358397203</v>
      </c>
      <c r="I158" s="71"/>
      <c r="J158" s="13"/>
      <c r="K158" s="14"/>
      <c r="L158" s="2"/>
      <c r="M158" s="6"/>
      <c r="N158" s="65"/>
      <c r="O158" s="6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64</v>
      </c>
      <c r="N159" s="68" t="s">
        <v>65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11000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33</v>
      </c>
      <c r="N161" s="71" t="n">
        <f aca="false">N97</f>
        <v>561.721233195203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/>
      <c r="B163" s="73"/>
      <c r="C163" s="73"/>
      <c r="D163" s="73"/>
      <c r="E163" s="74"/>
      <c r="F163" s="2"/>
      <c r="G163" s="72"/>
      <c r="H163" s="73"/>
      <c r="I163" s="73"/>
      <c r="J163" s="73"/>
      <c r="K163" s="74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2"/>
      <c r="N168" s="73"/>
      <c r="O168" s="73"/>
      <c r="P168" s="73"/>
      <c r="Q168" s="74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5" colorId="64" zoomScale="75" zoomScaleNormal="75" zoomScalePageLayoutView="100" workbookViewId="0">
      <selection pane="topLeft" activeCell="H87" activeCellId="0" sqref="H87"/>
    </sheetView>
  </sheetViews>
  <sheetFormatPr defaultColWidth="11.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299" t="n">
        <v>0</v>
      </c>
      <c r="C4" s="299" t="n">
        <v>0</v>
      </c>
      <c r="D4" s="29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0</v>
      </c>
      <c r="E32" s="38"/>
      <c r="F32" s="2"/>
      <c r="G32" s="39" t="s">
        <v>43</v>
      </c>
      <c r="H32" s="37" t="n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53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0</v>
      </c>
      <c r="B41" s="55" t="n">
        <f aca="false">IF(B38="YES", D38+A41, D38)</f>
        <v>500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55</v>
      </c>
      <c r="B43" s="53" t="s">
        <v>56</v>
      </c>
      <c r="C43" s="42"/>
      <c r="D43" s="53" t="s">
        <v>57</v>
      </c>
      <c r="E43" s="57"/>
      <c r="F43" s="2"/>
      <c r="G43" s="2" t="s">
        <v>58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0</v>
      </c>
      <c r="C44" s="49"/>
      <c r="D44" s="59" t="n">
        <f aca="false">A44+B44</f>
        <v>1</v>
      </c>
      <c r="E44" s="59"/>
      <c r="F44" s="2"/>
      <c r="G44" s="2" t="s">
        <v>59</v>
      </c>
      <c r="H44" s="50" t="n">
        <f aca="false">((A41*(B35-1))+D32)/B35</f>
        <v>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501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61</v>
      </c>
      <c r="B46" s="42"/>
      <c r="C46" s="42"/>
      <c r="D46" s="42"/>
      <c r="E46" s="57"/>
      <c r="F46" s="2"/>
      <c r="G46" s="2" t="s">
        <v>62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/>
      <c r="H49" s="66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9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3</v>
      </c>
      <c r="C58" s="13" t="s">
        <v>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0.07</v>
      </c>
      <c r="C63" s="13"/>
      <c r="D63" s="13"/>
      <c r="E63" s="14"/>
      <c r="F63" s="2"/>
      <c r="G63" s="6" t="s">
        <v>68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4051.95</v>
      </c>
      <c r="C64" s="13"/>
      <c r="D64" s="12" t="n">
        <f aca="false">B64</f>
        <v>4051.95</v>
      </c>
      <c r="E64" s="14"/>
      <c r="F64" s="2"/>
      <c r="G64" s="72" t="s">
        <v>69</v>
      </c>
      <c r="H64" s="80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0.01</v>
      </c>
      <c r="C66" s="13"/>
      <c r="D66" s="13"/>
      <c r="E66" s="14"/>
      <c r="F66" s="2"/>
      <c r="G66" s="6" t="s">
        <v>71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B61*B66</f>
        <v>578.85</v>
      </c>
      <c r="C67" s="13"/>
      <c r="D67" s="12"/>
      <c r="E67" s="14"/>
      <c r="F67" s="2"/>
      <c r="G67" s="72" t="s">
        <v>72</v>
      </c>
      <c r="H67" s="80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60</v>
      </c>
      <c r="C73" s="13"/>
      <c r="D73" s="12" t="n">
        <f aca="false">B73+B71</f>
        <v>260</v>
      </c>
      <c r="E73" s="14"/>
      <c r="F73" s="2"/>
      <c r="G73" s="72" t="s">
        <v>78</v>
      </c>
      <c r="H73" s="80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</v>
      </c>
      <c r="C74" s="13"/>
      <c r="D74" s="13"/>
      <c r="E74" s="14"/>
      <c r="F74" s="2"/>
      <c r="G74" s="78" t="s">
        <v>79</v>
      </c>
      <c r="H74" s="83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f aca="false">IF(G18&gt;40000, 325, 0)</f>
        <v>325</v>
      </c>
      <c r="C75" s="13"/>
      <c r="D75" s="13"/>
      <c r="E75" s="14"/>
      <c r="F75" s="2"/>
      <c r="G75" s="3" t="s">
        <v>80</v>
      </c>
      <c r="H75" s="84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40.8333333333333</v>
      </c>
      <c r="C76" s="13"/>
      <c r="D76" s="12" t="n">
        <f aca="false">B76</f>
        <v>40.8333333333333</v>
      </c>
      <c r="E76" s="14"/>
      <c r="F76" s="2"/>
      <c r="G76" s="72" t="s">
        <v>81</v>
      </c>
      <c r="H76" s="80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83" t="n">
        <f aca="false">B102</f>
        <v>0</v>
      </c>
      <c r="C77" s="13"/>
      <c r="D77" s="12" t="n">
        <f aca="false">B77</f>
        <v>0</v>
      </c>
      <c r="E77" s="14"/>
      <c r="F77" s="2"/>
      <c r="G77" s="78" t="s">
        <v>82</v>
      </c>
      <c r="H77" s="83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13"/>
      <c r="D79" s="12" t="n">
        <f aca="false">B79</f>
        <v>200</v>
      </c>
      <c r="E79" s="14"/>
      <c r="F79" s="2"/>
      <c r="G79" s="3" t="s">
        <v>84</v>
      </c>
      <c r="H79" s="84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13"/>
      <c r="D80" s="12" t="n">
        <f aca="false">B80</f>
        <v>200</v>
      </c>
      <c r="E80" s="14"/>
      <c r="F80" s="2"/>
      <c r="G80" s="85" t="s">
        <v>85</v>
      </c>
      <c r="H80" s="8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4752.78333333333</v>
      </c>
      <c r="C81" s="13"/>
      <c r="D81" s="13"/>
      <c r="E81" s="14"/>
      <c r="F81" s="2"/>
      <c r="G81" s="87" t="s">
        <v>86</v>
      </c>
      <c r="H81" s="88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396.065277777778</v>
      </c>
      <c r="C82" s="13"/>
      <c r="D82" s="13"/>
      <c r="E82" s="14"/>
      <c r="F82" s="2"/>
      <c r="G82" s="6" t="s">
        <v>87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H46</f>
        <v>501</v>
      </c>
      <c r="C83" s="13"/>
      <c r="D83" s="13"/>
      <c r="E83" s="14"/>
      <c r="F83" s="2"/>
      <c r="G83" s="89" t="s">
        <v>88</v>
      </c>
      <c r="H83" s="90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((B83*(H29)+B81))</f>
        <v>10764.7833333333</v>
      </c>
      <c r="C85" s="13"/>
      <c r="D85" s="13"/>
      <c r="E85" s="14"/>
      <c r="F85" s="2"/>
      <c r="G85" s="75" t="s">
        <v>89</v>
      </c>
      <c r="H85" s="91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(B85/(1-B70))*B70</f>
        <v>91.1901774909238</v>
      </c>
      <c r="C86" s="13"/>
      <c r="D86" s="13"/>
      <c r="E86" s="14"/>
      <c r="F86" s="2"/>
      <c r="G86" s="6" t="s">
        <v>90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IF(B110="YES",((B85+B86)-A151-E114),((B85+B86)-A151))</f>
        <v>6855.97351082426</v>
      </c>
      <c r="C87" s="13"/>
      <c r="D87" s="13"/>
      <c r="E87" s="14"/>
      <c r="F87" s="2"/>
      <c r="G87" s="72" t="s">
        <v>91</v>
      </c>
      <c r="H87" s="80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(A41+(A41*B105))</f>
        <v>0</v>
      </c>
      <c r="C89" s="13"/>
      <c r="D89" s="13"/>
      <c r="E89" s="14"/>
      <c r="F89" s="2"/>
      <c r="G89" s="87" t="s">
        <v>92</v>
      </c>
      <c r="H89" s="88" t="n">
        <f aca="false">(A41+(A41*H105))*1.2</f>
        <v>0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IF(B99=Z102, (B87-D105)/(B58), B87/(B57+B58))</f>
        <v>571.331125902021</v>
      </c>
      <c r="C90" s="13"/>
      <c r="D90" s="13"/>
      <c r="E90" s="14"/>
      <c r="F90" s="2"/>
      <c r="G90" s="92" t="s">
        <v>93</v>
      </c>
      <c r="H90" s="9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571.331125902021</v>
      </c>
      <c r="C91" s="13"/>
      <c r="D91" s="13"/>
      <c r="E91" s="14"/>
      <c r="F91" s="2"/>
      <c r="G91" s="94" t="s">
        <v>52</v>
      </c>
      <c r="H91" s="95" t="n">
        <f aca="false">IF(G105="YES", H90+H89, H90)</f>
        <v>1180.02508941778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245</v>
      </c>
      <c r="B94" s="27"/>
      <c r="C94" s="27"/>
      <c r="D94" s="27"/>
      <c r="E94" s="27"/>
      <c r="F94" s="2"/>
      <c r="G94" s="27" t="s">
        <v>94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95</v>
      </c>
      <c r="B96" s="28"/>
      <c r="C96" s="28"/>
      <c r="D96" s="28"/>
      <c r="E96" s="28"/>
      <c r="F96" s="2"/>
      <c r="G96" s="28" t="s">
        <v>95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96</v>
      </c>
      <c r="B98" s="13" t="s">
        <v>38</v>
      </c>
      <c r="C98" s="13"/>
      <c r="D98" s="13" t="s">
        <v>97</v>
      </c>
      <c r="E98" s="14"/>
      <c r="F98" s="2"/>
      <c r="G98" s="6" t="s">
        <v>96</v>
      </c>
      <c r="H98" s="13" t="s">
        <v>38</v>
      </c>
      <c r="I98" s="13"/>
      <c r="J98" s="13" t="s">
        <v>97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98</v>
      </c>
      <c r="B99" s="96" t="s">
        <v>247</v>
      </c>
      <c r="C99" s="96"/>
      <c r="D99" s="97" t="n">
        <v>1000</v>
      </c>
      <c r="E99" s="97"/>
      <c r="F99" s="2"/>
      <c r="G99" s="31" t="s">
        <v>98</v>
      </c>
      <c r="H99" s="96" t="s">
        <v>42</v>
      </c>
      <c r="I99" s="96"/>
      <c r="J99" s="97" t="n">
        <v>0</v>
      </c>
      <c r="K99" s="9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99</v>
      </c>
      <c r="B101" s="13" t="s">
        <v>100</v>
      </c>
      <c r="C101" s="13"/>
      <c r="D101" s="13" t="s">
        <v>101</v>
      </c>
      <c r="E101" s="14"/>
      <c r="F101" s="2"/>
      <c r="G101" s="6" t="s">
        <v>99</v>
      </c>
      <c r="H101" s="13" t="s">
        <v>100</v>
      </c>
      <c r="I101" s="13"/>
      <c r="J101" s="13" t="s">
        <v>101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f aca="false">199.99*1.2</f>
        <v>239.988</v>
      </c>
      <c r="H102" s="97" t="n">
        <v>1200</v>
      </c>
      <c r="I102" s="97"/>
      <c r="J102" s="97" t="n">
        <v>0</v>
      </c>
      <c r="K102" s="9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102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103</v>
      </c>
      <c r="AA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107</v>
      </c>
      <c r="AA104" s="2"/>
    </row>
    <row r="105" customFormat="false" ht="18.75" hidden="false" customHeight="true" outlineLevel="0" collapsed="false">
      <c r="A105" s="33" t="s">
        <v>26</v>
      </c>
      <c r="B105" s="99" t="n">
        <v>0</v>
      </c>
      <c r="C105" s="99"/>
      <c r="D105" s="97" t="s">
        <v>239</v>
      </c>
      <c r="E105" s="97"/>
      <c r="F105" s="2"/>
      <c r="G105" s="33" t="s">
        <v>25</v>
      </c>
      <c r="H105" s="99" t="n">
        <v>0.2</v>
      </c>
      <c r="I105" s="99"/>
      <c r="J105" s="97" t="n">
        <v>0</v>
      </c>
      <c r="K105" s="9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108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109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110</v>
      </c>
      <c r="AA107" s="2"/>
    </row>
    <row r="108" customFormat="false" ht="18.75" hidden="false" customHeight="true" outlineLevel="0" collapsed="false">
      <c r="A108" s="28" t="s">
        <v>111</v>
      </c>
      <c r="B108" s="28"/>
      <c r="C108" s="28"/>
      <c r="D108" s="28"/>
      <c r="E108" s="28"/>
      <c r="F108" s="2"/>
      <c r="G108" s="28" t="s">
        <v>111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112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113</v>
      </c>
    </row>
    <row r="110" customFormat="false" ht="18.75" hidden="false" customHeight="true" outlineLevel="0" collapsed="false">
      <c r="A110" s="6" t="s">
        <v>114</v>
      </c>
      <c r="B110" s="33" t="s">
        <v>25</v>
      </c>
      <c r="C110" s="13"/>
      <c r="D110" s="13"/>
      <c r="E110" s="14"/>
      <c r="F110" s="2"/>
      <c r="G110" s="6" t="s">
        <v>114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115</v>
      </c>
      <c r="B112" s="13"/>
      <c r="C112" s="13"/>
      <c r="D112" s="98" t="n">
        <v>10000</v>
      </c>
      <c r="E112" s="97" t="n">
        <v>6000</v>
      </c>
      <c r="F112" s="2"/>
      <c r="G112" s="6" t="s">
        <v>115</v>
      </c>
      <c r="H112" s="13"/>
      <c r="I112" s="13"/>
      <c r="J112" s="98" t="n">
        <v>10000</v>
      </c>
      <c r="K112" s="97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116</v>
      </c>
      <c r="B113" s="13"/>
      <c r="C113" s="13"/>
      <c r="D113" s="100" t="n">
        <f aca="false">E113</f>
        <v>2000</v>
      </c>
      <c r="E113" s="97" t="n">
        <v>2000</v>
      </c>
      <c r="F113" s="2"/>
      <c r="G113" s="6" t="s">
        <v>116</v>
      </c>
      <c r="H113" s="13"/>
      <c r="I113" s="13"/>
      <c r="J113" s="100" t="n">
        <f aca="false">K113</f>
        <v>7000</v>
      </c>
      <c r="K113" s="97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117</v>
      </c>
      <c r="B114" s="13"/>
      <c r="C114" s="13"/>
      <c r="D114" s="100" t="n">
        <f aca="false">D112-D113</f>
        <v>8000</v>
      </c>
      <c r="E114" s="101" t="n">
        <f aca="false">E112-E113</f>
        <v>4000</v>
      </c>
      <c r="F114" s="2"/>
      <c r="G114" s="6" t="s">
        <v>117</v>
      </c>
      <c r="H114" s="13"/>
      <c r="I114" s="13"/>
      <c r="J114" s="100" t="n">
        <f aca="false">J112-J113</f>
        <v>3000</v>
      </c>
      <c r="K114" s="101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118</v>
      </c>
      <c r="B115" s="13"/>
      <c r="C115" s="13"/>
      <c r="D115" s="100" t="n">
        <f aca="false">D114-E114</f>
        <v>4000</v>
      </c>
      <c r="E115" s="14"/>
      <c r="F115" s="2"/>
      <c r="G115" s="6" t="s">
        <v>118</v>
      </c>
      <c r="H115" s="13"/>
      <c r="I115" s="13"/>
      <c r="J115" s="100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119</v>
      </c>
      <c r="B117" s="76"/>
      <c r="C117" s="76"/>
      <c r="D117" s="76"/>
      <c r="E117" s="91" t="n">
        <f aca="false">D99</f>
        <v>1000</v>
      </c>
      <c r="F117" s="2"/>
      <c r="G117" s="75" t="s">
        <v>119</v>
      </c>
      <c r="H117" s="76"/>
      <c r="I117" s="76"/>
      <c r="J117" s="76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120</v>
      </c>
      <c r="B118" s="13"/>
      <c r="C118" s="13"/>
      <c r="D118" s="13"/>
      <c r="E118" s="11" t="n">
        <f aca="false">A102</f>
        <v>199.99</v>
      </c>
      <c r="F118" s="2"/>
      <c r="G118" s="6" t="s">
        <v>120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121</v>
      </c>
      <c r="B119" s="73"/>
      <c r="C119" s="73"/>
      <c r="D119" s="73"/>
      <c r="E119" s="80" t="n">
        <f aca="false">(E118+E117)-D115</f>
        <v>-2800.01</v>
      </c>
      <c r="F119" s="2"/>
      <c r="G119" s="102" t="s">
        <v>121</v>
      </c>
      <c r="H119" s="73"/>
      <c r="I119" s="73"/>
      <c r="J119" s="73"/>
      <c r="K119" s="80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122</v>
      </c>
      <c r="B122" s="28"/>
      <c r="C122" s="28"/>
      <c r="D122" s="28"/>
      <c r="E122" s="28"/>
      <c r="F122" s="2"/>
      <c r="G122" s="28" t="s">
        <v>122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123</v>
      </c>
      <c r="B124" s="103" t="n">
        <v>0</v>
      </c>
      <c r="C124" s="103"/>
      <c r="D124" s="13"/>
      <c r="E124" s="14"/>
      <c r="F124" s="2"/>
      <c r="G124" s="6" t="s">
        <v>123</v>
      </c>
      <c r="H124" s="103" t="n">
        <v>0</v>
      </c>
      <c r="I124" s="103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64</v>
      </c>
      <c r="B126" s="13" t="s">
        <v>65</v>
      </c>
      <c r="C126" s="13"/>
      <c r="D126" s="13" t="s">
        <v>34</v>
      </c>
      <c r="E126" s="14"/>
      <c r="F126" s="2"/>
      <c r="G126" s="6" t="s">
        <v>64</v>
      </c>
      <c r="H126" s="13" t="s">
        <v>65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3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4" t="s">
        <v>241</v>
      </c>
      <c r="B129" s="105" t="s">
        <v>51</v>
      </c>
      <c r="C129" s="105"/>
      <c r="D129" s="105" t="s">
        <v>52</v>
      </c>
      <c r="E129" s="14"/>
      <c r="F129" s="2"/>
      <c r="G129" s="104" t="s">
        <v>124</v>
      </c>
      <c r="H129" s="105" t="s">
        <v>125</v>
      </c>
      <c r="I129" s="105"/>
      <c r="J129" s="105" t="s">
        <v>126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06"/>
    </row>
    <row r="130" customFormat="false" ht="18.75" hidden="false" customHeight="true" outlineLevel="0" collapsed="false">
      <c r="A130" s="107" t="n">
        <f aca="false">B90</f>
        <v>571.331125902021</v>
      </c>
      <c r="B130" s="108" t="n">
        <f aca="false">IF(A105="YES", B89*B57, 0)</f>
        <v>0</v>
      </c>
      <c r="C130" s="108"/>
      <c r="D130" s="108" t="n">
        <f aca="false">B91</f>
        <v>571.331125902021</v>
      </c>
      <c r="E130" s="110"/>
      <c r="F130" s="2"/>
      <c r="G130" s="107" t="n">
        <f aca="false">H90</f>
        <v>1180.02508941778</v>
      </c>
      <c r="H130" s="108" t="n">
        <f aca="false">IF(G105="YES", H89*H57, 0)</f>
        <v>0</v>
      </c>
      <c r="I130" s="108"/>
      <c r="J130" s="109" t="n">
        <f aca="false">H91</f>
        <v>1180.02508941778</v>
      </c>
      <c r="K130" s="1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06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06"/>
    </row>
    <row r="132" customFormat="false" ht="18.75" hidden="false" customHeight="true" outlineLevel="0" collapsed="false">
      <c r="A132" s="6" t="s">
        <v>242</v>
      </c>
      <c r="B132" s="13" t="s">
        <v>40</v>
      </c>
      <c r="C132" s="13"/>
      <c r="D132" s="13" t="s">
        <v>44</v>
      </c>
      <c r="E132" s="14"/>
      <c r="F132" s="2"/>
      <c r="G132" s="6" t="s">
        <v>127</v>
      </c>
      <c r="H132" s="13" t="s">
        <v>128</v>
      </c>
      <c r="I132" s="13"/>
      <c r="J132" s="13" t="s">
        <v>129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5141.98013311819</v>
      </c>
      <c r="B133" s="112" t="n">
        <f aca="false">IF(A105="YES", B89*B57, 0)</f>
        <v>0</v>
      </c>
      <c r="C133" s="32"/>
      <c r="D133" s="54" t="n">
        <f aca="false">B91*B57</f>
        <v>5141.98013311819</v>
      </c>
      <c r="E133" s="14"/>
      <c r="F133" s="2"/>
      <c r="G133" s="111" t="n">
        <f aca="false">H90*H57</f>
        <v>1180.02508941778</v>
      </c>
      <c r="H133" s="112" t="n">
        <f aca="false">IF(G105="YES", H89*H57, 0)</f>
        <v>0</v>
      </c>
      <c r="I133" s="32"/>
      <c r="J133" s="54" t="n">
        <f aca="false">H91*H57</f>
        <v>1180.02508941778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130</v>
      </c>
      <c r="H135" s="13" t="s">
        <v>131</v>
      </c>
      <c r="I135" s="13"/>
      <c r="J135" s="13" t="s">
        <v>132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0.35115</v>
      </c>
      <c r="B136" s="112" t="n">
        <f aca="false">IF(A105="YES", E15*0.000002, 0)</f>
        <v>0</v>
      </c>
      <c r="C136" s="112"/>
      <c r="D136" s="112" t="n">
        <f aca="false">A136+B136</f>
        <v>0.35115</v>
      </c>
      <c r="E136" s="110"/>
      <c r="F136" s="2"/>
      <c r="G136" s="113" t="n">
        <f aca="false">E15*0.000006</f>
        <v>0.35115</v>
      </c>
      <c r="H136" s="112" t="n">
        <f aca="false">IF(G105="YES", E15*0.000002, 0)</f>
        <v>0.11705</v>
      </c>
      <c r="I136" s="112"/>
      <c r="J136" s="112" t="n">
        <f aca="false">G136+H136</f>
        <v>0.4682</v>
      </c>
      <c r="K136" s="1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134</v>
      </c>
      <c r="C138" s="13"/>
      <c r="D138" s="13" t="s">
        <v>135</v>
      </c>
      <c r="E138" s="14"/>
      <c r="F138" s="2"/>
      <c r="G138" s="6" t="s">
        <v>133</v>
      </c>
      <c r="H138" s="13" t="s">
        <v>134</v>
      </c>
      <c r="I138" s="13"/>
      <c r="J138" s="13" t="s">
        <v>135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578.85</v>
      </c>
      <c r="C139" s="112"/>
      <c r="D139" s="112" t="n">
        <f aca="false">B102*0.9</f>
        <v>0</v>
      </c>
      <c r="E139" s="110"/>
      <c r="F139" s="2"/>
      <c r="G139" s="113" t="n">
        <f aca="false">G102</f>
        <v>239.988</v>
      </c>
      <c r="H139" s="112" t="n">
        <f aca="false">H67</f>
        <v>289.425</v>
      </c>
      <c r="I139" s="112"/>
      <c r="J139" s="112" t="n">
        <f aca="false">H102*0.9</f>
        <v>1080</v>
      </c>
      <c r="K139" s="11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136</v>
      </c>
      <c r="B141" s="13" t="s">
        <v>137</v>
      </c>
      <c r="C141" s="13"/>
      <c r="D141" s="13" t="s">
        <v>138</v>
      </c>
      <c r="E141" s="14"/>
      <c r="F141" s="2"/>
      <c r="G141" s="6" t="s">
        <v>136</v>
      </c>
      <c r="H141" s="13" t="s">
        <v>137</v>
      </c>
      <c r="I141" s="13"/>
      <c r="J141" s="13" t="s">
        <v>138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B89*0.1, 0)</f>
        <v>0</v>
      </c>
      <c r="B142" s="112" t="n">
        <f aca="false">A102-100</f>
        <v>99.99</v>
      </c>
      <c r="C142" s="112"/>
      <c r="D142" s="112" t="n">
        <f aca="false">(B139+D139+A142+B142)-B145</f>
        <v>477.799019731241</v>
      </c>
      <c r="E142" s="110"/>
      <c r="F142" s="2"/>
      <c r="G142" s="113" t="n">
        <f aca="false">IF(G105="YES", H89*0.1, 0)</f>
        <v>0</v>
      </c>
      <c r="H142" s="112" t="n">
        <f aca="false">G102-100</f>
        <v>139.988</v>
      </c>
      <c r="I142" s="112"/>
      <c r="J142" s="112" t="n">
        <f aca="false">(H139+J139+G142+H142)-H145</f>
        <v>1509.413</v>
      </c>
      <c r="K142" s="11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139</v>
      </c>
      <c r="B144" s="13" t="s">
        <v>140</v>
      </c>
      <c r="C144" s="13"/>
      <c r="D144" s="13"/>
      <c r="E144" s="14"/>
      <c r="F144" s="2"/>
      <c r="G144" s="6" t="s">
        <v>139</v>
      </c>
      <c r="H144" s="13" t="s">
        <v>140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IF((1200-B102) &lt;= 0, 0, (1200-B102))</f>
        <v>1200</v>
      </c>
      <c r="B145" s="112" t="n">
        <f aca="false">(B139+D139+A142+B142)*(A145/B64)</f>
        <v>201.040980268759</v>
      </c>
      <c r="C145" s="13"/>
      <c r="D145" s="13"/>
      <c r="E145" s="14"/>
      <c r="F145" s="2"/>
      <c r="G145" s="113" t="n">
        <f aca="false">IF((1200-H102) &lt;= 0, 0, (1200-H102))</f>
        <v>0</v>
      </c>
      <c r="H145" s="11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141</v>
      </c>
      <c r="B148" s="13"/>
      <c r="C148" s="13"/>
      <c r="D148" s="63"/>
      <c r="E148" s="64"/>
      <c r="F148" s="2"/>
      <c r="G148" s="62" t="s">
        <v>141</v>
      </c>
      <c r="H148" s="13"/>
      <c r="I148" s="13"/>
      <c r="J148" s="63"/>
      <c r="K148" s="6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5000</v>
      </c>
      <c r="C151" s="69"/>
      <c r="D151" s="13"/>
      <c r="E151" s="14"/>
      <c r="F151" s="2"/>
      <c r="G151" s="67"/>
      <c r="H151" s="69" t="n">
        <f aca="false">B51</f>
        <v>5000</v>
      </c>
      <c r="I151" s="69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12</v>
      </c>
      <c r="B152" s="71" t="n">
        <f aca="false">B91</f>
        <v>571.331125902021</v>
      </c>
      <c r="C152" s="71"/>
      <c r="D152" s="13"/>
      <c r="E152" s="14"/>
      <c r="F152" s="2"/>
      <c r="G152" s="70" t="n">
        <f aca="false">A52</f>
        <v>12</v>
      </c>
      <c r="H152" s="71" t="n">
        <f aca="false">H91</f>
        <v>1180.02508941778</v>
      </c>
      <c r="I152" s="71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2022-12-13T12:49:36Z</dcterms:modified>
  <cp:revision>173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