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3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<sst xmlns="http://schemas.openxmlformats.org/spreadsheetml/2006/main" count="32300" uniqueCount="394">
  <si>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</si>
  <si>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</si>
  <si>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</si>
  <si>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</si>
  <si>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</si>
  <si>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</si>
  <si>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</si>
  <si>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</si>
  <si>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</si>
  <si>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</si>
  <si>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</si>
  <si>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</si>
  <si>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</si>
  <si>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</si>
  <si>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</si>
  <si>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</si>
  <si>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</si>
  <si>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</si>
  <si>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</si>
  <si>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</si>
  <si>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</si>
  <si>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</si>
  <si>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</si>
  <si>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</si>
  <si>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</si>
  <si>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</si>
  <si>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</si>
  <si>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</si>
  <si>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</si>
  <si>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</si>
  <si>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</si>
  <si>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</si>
  <si>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</si>
  <si>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</si>
  <si>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</si>
  <si>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</si>
  <si>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</si>
  <si>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</si>
  <si>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</si>
  <si>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</si>
  <si>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</si>
  <si>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</si>
  <si>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</si>
  <si>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</si>
  <si>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</si>
  <si>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</si>
  <si>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</si>
  <si>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</si>
  <si>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</si>
  <si>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</si>
  <si>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</si>
  <si>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</si>
  <si>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</si>
  <si>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</si>
  <si>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</si>
  <si>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</si>
  <si>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</si>
  <si>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</si>
  <si>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</si>
  <si>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</si>
  <si>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</si>
  <si>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</si>
  <si>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</si>
  <si>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</si>
  <si>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</si>
  <si>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</si>
  <si>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</si>
  <si>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</si>
  <si>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</si>
  <si>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</si>
  <si>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</si>
  <si>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</si>
  <si>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</si>
  <si>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</si>
  <si>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</si>
  <si>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</si>
  <si>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</si>
  <si>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</si>
  <si>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</si>
  <si>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</si>
  <si>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</si>
  <si>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</si>
  <si>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</si>
  <si>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</si>
  <si>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</si>
  <si>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</si>
  <si>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</si>
  <si>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</si>
  <si>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</si>
  <si>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</si>
  <si>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</si>
  <si>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</si>
  <si>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</si>
  <si>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</si>
  <si>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</si>
  <si>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</si>
  <si>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</si>
  <si>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</si>
  <si>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</si>
  <si>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</si>
  <si>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</si>
  <si>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</si>
  <si>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</si>
  <si>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</si>
  <si>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</si>
  <si>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</si>
  <si>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</si>
  <si>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</si>
  <si>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</si>
  <si>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</si>
  <si>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</si>
  <si>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</si>
  <si>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</si>
  <si>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</si>
  <si>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</si>
  <si>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</si>
  <si>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</si>
  <si>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</si>
  <si>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</si>
  <si>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</si>
  <si>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</si>
  <si>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</si>
  <si>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</si>
  <si>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</si>
  <si>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</si>
  <si>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</si>
  <si>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</si>
  <si>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</si>
  <si>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</si>
  <si>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</si>
  <si>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</si>
  <si>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</si>
  <si>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</si>
  <si>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</si>
  <si>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</si>
  <si>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</si>
  <si>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</si>
  <si>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</si>
  <si>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</si>
  <si>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</si>
  <si>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</si>
  <si>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</si>
  <si>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</si>
  <si>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</si>
  <si>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</si>
  <si>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</si>
  <si>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</si>
  <si>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</si>
  <si>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</si>
  <si>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</si>
  <si>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</si>
  <si>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</si>
  <si>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</si>
  <si>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</si>
  <si>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</si>
  <si>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</si>
  <si>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</si>
  <si>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</si>
  <si>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</si>
  <si>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</si>
  <si>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</si>
  <si>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</si>
  <si>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</si>
  <si>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</si>
  <si>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</si>
  <si>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</si>
  <si>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</si>
  <si>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</si>
  <si>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</si>
  <si>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</si>
  <si>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</si>
  <si>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</si>
  <si>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</si>
  <si>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</si>
  <si>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</si>
  <si>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</si>
  <si>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</si>
  <si>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</si>
  <si>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</si>
  <si>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</si>
  <si>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</si>
  <si>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</si>
  <si>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</si>
  <si>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</si>
  <si>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</si>
  <si>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</si>
  <si>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</si>
  <si>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</si>
  <si>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</si>
  <si>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</si>
  <si>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</si>
  <si>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</si>
  <si>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</si>
  <si>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</si>
  <si>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</si>
  <si>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</si>
  <si>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</si>
  <si>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</si>
  <si>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</si>
  <si>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</si>
  <si>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</si>
  <si>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</si>
  <si>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</si>
  <si>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</si>
  <si>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</si>
  <si>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</si>
  <si>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</si>
  <si>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</si>
  <si>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</si>
  <si>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</si>
  <si>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</si>
  <si>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</si>
  <si>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</si>
  <si>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</si>
  <si>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</si>
  <si>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</si>
  <si>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</si>
  <si>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</si>
  <si>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</si>
  <si>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</si>
  <si>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</si>
  <si>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</si>
  <si>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</si>
  <si>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</si>
  <si>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</si>
  <si>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</si>
  <si>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</si>
  <si>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</si>
  <si>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</si>
  <si>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</si>
  <si>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</si>
  <si>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</si>
  <si>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</si>
  <si>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</si>
  <si>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</si>
  <si>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</si>
  <si>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</si>
  <si>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</si>
  <si>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</si>
  <si>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</si>
  <si>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</si>
  <si>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</si>
  <si>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</si>
  <si>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</si>
  <si>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</si>
  <si>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</si>
  <si>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</si>
  <si>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</si>
  <si>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</si>
  <si>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</si>
  <si>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</si>
  <si>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</si>
  <si>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</si>
  <si>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</si>
  <si>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</si>
  <si>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</si>
  <si>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</si>
  <si>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</si>
  <si>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</si>
  <si>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</si>
  <si>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</si>
  <si>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</si>
  <si>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</si>
  <si>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</si>
  <si>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</si>
  <si>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</si>
  <si>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</si>
  <si>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</si>
  <si>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</si>
  <si>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</si>
  <si>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</si>
  <si>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</si>
  <si>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</si>
  <si>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</si>
  <si>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</si>
  <si>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</si>
  <si>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</si>
  <si>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</si>
  <si>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</si>
  <si>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</si>
  <si>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</si>
  <si>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</si>
  <si>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</si>
  <si>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</si>
  <si>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</si>
  <si>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</si>
  <si>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</si>
  <si>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</si>
  <si>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</si>
  <si>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</si>
  <si>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</si>
  <si>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</si>
  <si>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</si>
  <si>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</si>
  <si>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</si>
  <si>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</si>
  <si>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</si>
  <si>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</si>
  <si>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</si>
  <si>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</si>
  <si>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</si>
  <si>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</si>
  <si>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</si>
  <si>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</si>
  <si>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</si>
  <si>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</si>
  <si>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</si>
  <si>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</si>
  <si>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</si>
  <si>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</si>
  <si>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</si>
  <si>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</si>
  <si>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</si>
  <si>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</si>
  <si>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</si>
  <si>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</si>
  <si>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</si>
  <si>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</si>
  <si>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</si>
  <si>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</si>
  <si>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</si>
  <si>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</si>
  <si>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</si>
  <si>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</si>
  <si>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</si>
  <si>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</si>
  <si>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</si>
  <si>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</si>
  <si>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</si>
  <si>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</si>
  <si>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</si>
  <si>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</si>
  <si>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</si>
  <si>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</si>
  <si>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</si>
  <si>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</si>
  <si>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</si>
  <si>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</si>
  <si>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</si>
  <si>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</si>
  <si>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</si>
  <si>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</si>
  <si>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</si>
  <si>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</si>
  <si>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</si>
  <si>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</si>
  <si>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</si>
  <si>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</si>
  <si>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</si>
  <si>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</si>
  <si>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</si>
  <si>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</si>
  <si>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</si>
  <si>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</si>
  <si>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</si>
  <si>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</si>
  <si>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</si>
  <si>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</si>
  <si>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</si>
  <si>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</si>
  <si>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</si>
  <si>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</si>
  <si>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</si>
  <si>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</si>
  <si>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</si>
  <si>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</si>
  <si>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</si>
  <si>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</si>
  <si>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</si>
  <si>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</si>
  <si>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</si>
  <si>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</si>
  <si>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</si>
  <si>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</si>
  <si>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</si>
  <si>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</si>
  <si>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</si>
  <si>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</si>
  <si>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</si>
  <si>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</si>
  <si>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21583.33</t>
  </si>
  <si>
    <t xml:space="preserve">OTR Calculation</t>
  </si>
  <si>
    <t xml:space="preserve">664.17</t>
  </si>
  <si>
    <t xml:space="preserve">48937.50</t>
  </si>
  <si>
    <t xml:space="preserve">17785.00</t>
  </si>
  <si>
    <t xml:space="preserve">341.00</t>
  </si>
  <si>
    <t xml:space="preserve">8.19</t>
  </si>
  <si>
    <t xml:space="preserve">RFL included?</t>
  </si>
  <si>
    <t>YES</t>
  </si>
  <si>
    <t>0</t>
  </si>
  <si>
    <t>239.99</t>
  </si>
  <si>
    <t>NO</t>
  </si>
  <si>
    <t>30</t>
  </si>
  <si>
    <t>Limited Credit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</si>
</sst>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45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18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317" t="n">
        <v>10000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17190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984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8595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50</v>
      </c>
      <c r="B45" s="93"/>
      <c r="C45" s="62" t="n">
        <v>50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19230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156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253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21583.33</v>
      </c>
      <c r="B37" s="32"/>
      <c r="C37" s="41" t="s">
        <v>45</v>
      </c>
      <c r="D37" s="41"/>
      <c r="E37" s="32"/>
      <c r="F37" s="43" t="n">
        <f aca="false">A37-C37</f>
        <v>20583.33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4316.666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276.388833333333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223.611166666667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226.277833333333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226.277833333333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226.277833333333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16109.9757937463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139.99998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226.277833333333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226.277833333333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226.277833333333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20583.33</v>
      </c>
      <c r="C90" s="32"/>
      <c r="D90" s="32"/>
      <c r="E90" s="23"/>
      <c r="F90" s="25" t="s">
        <v>105</v>
      </c>
      <c r="G90" s="27" t="n">
        <f aca="false">F37</f>
        <v>20583.33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15232.2039496476</v>
      </c>
      <c r="C97" s="32"/>
      <c r="D97" s="32"/>
      <c r="E97" s="23"/>
      <c r="F97" s="31" t="s">
        <v>112</v>
      </c>
      <c r="G97" s="33" t="n">
        <f aca="false">G90-G95</f>
        <v>14959.9389154658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1465.63416306784</v>
      </c>
      <c r="C98" s="32"/>
      <c r="D98" s="32"/>
      <c r="E98" s="23"/>
      <c r="F98" s="31" t="s">
        <v>113</v>
      </c>
      <c r="G98" s="33" t="n">
        <f aca="false">(G97/G96)</f>
        <v>1404.59219211175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16121.9757937463</v>
      </c>
      <c r="C99" s="32"/>
      <c r="D99" s="32"/>
      <c r="E99" s="23"/>
      <c r="F99" s="31" t="s">
        <v>114</v>
      </c>
      <c r="G99" s="33" t="n">
        <f aca="false">((G98*(G94))+G86)</f>
        <v>15450.5141132292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16121.9757937463</v>
      </c>
      <c r="C101" s="32"/>
      <c r="D101" s="32"/>
      <c r="E101" s="23"/>
      <c r="F101" s="56" t="s">
        <v>116</v>
      </c>
      <c r="G101" s="65" t="n">
        <f aca="false">(G99+G100)</f>
        <v>15450.5141132292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1465.63416306784</v>
      </c>
      <c r="C104" s="32"/>
      <c r="D104" s="32"/>
      <c r="E104" s="23"/>
      <c r="F104" s="95" t="s">
        <v>118</v>
      </c>
      <c r="G104" s="96" t="n">
        <f aca="false">G101/(G94)</f>
        <v>1404.59219211175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1465.63416306784</v>
      </c>
      <c r="C105" s="32"/>
      <c r="D105" s="32"/>
      <c r="E105" s="23" t="s">
        <v>18</v>
      </c>
      <c r="F105" s="97" t="s">
        <v>119</v>
      </c>
      <c r="G105" s="98" t="n">
        <f aca="false">G103+G104</f>
        <v>1404.59219211175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25899.996</v>
      </c>
      <c r="C130" s="121" t="n">
        <v>23333.33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25899.996</v>
      </c>
      <c r="C134" s="133" t="n">
        <f aca="false">C130-C133</f>
        <v>23333.33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21583.33</v>
      </c>
      <c r="H144" s="153" t="n">
        <f aca="false">C134+E134+G134+H137</f>
        <v>23333.33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4316.666</v>
      </c>
      <c r="H146" s="33" t="n">
        <f aca="false">(H144+H145)*20%</f>
        <v>4666.666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25899.996</v>
      </c>
      <c r="H150" s="157" t="n">
        <f aca="false">(H144+H145+H148+H149+H146)-H147</f>
        <v>27999.996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25899.996</v>
      </c>
      <c r="H156" s="164" t="n">
        <f aca="false">H150-((H153*1.2)+(H154*1.2)+(H155*1.2)+(H151*1.2))</f>
        <v>27999.996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-15694.4416666667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27999.996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1465.63416306784</v>
      </c>
      <c r="B176" s="177" t="n">
        <f aca="false">B103</f>
        <v>0</v>
      </c>
      <c r="C176" s="174"/>
      <c r="D176" s="174"/>
      <c r="E176" s="177" t="n">
        <f aca="false">B105</f>
        <v>1465.63416306784</v>
      </c>
      <c r="F176" s="23"/>
      <c r="G176" s="23" t="n">
        <f aca="false">ROUND(G104, 2)</f>
        <v>1404.59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23333.33</v>
      </c>
      <c r="B182" s="103" t="n">
        <f aca="false">H146</f>
        <v>4666.666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27999.996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27999.996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-5878.02020625374</v>
      </c>
      <c r="B191" s="103" t="str">
        <f aca="false">B123</f>
        <v>239.99</v>
      </c>
      <c r="C191" s="103"/>
      <c r="D191" s="23"/>
      <c r="E191" s="103" t="n">
        <f aca="false">E188+A191+B191+A194</f>
        <v>22371.9657937463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116.66665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216.658316666667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1465.63416306784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-6549.506</v>
      </c>
      <c r="B210" s="186" t="n">
        <f aca="false">E188+A210+B191+A194</f>
        <v>21700.48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1465.63416306784</v>
      </c>
      <c r="B221" s="177" t="n">
        <f aca="false">B176</f>
        <v>0</v>
      </c>
      <c r="C221" s="174"/>
      <c r="D221" s="174"/>
      <c r="E221" s="177" t="n">
        <f aca="false">E176</f>
        <v>1465.63416306784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23333.33</v>
      </c>
      <c r="B224" s="103" t="n">
        <f aca="false">B182</f>
        <v>4666.666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27999.996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27999.996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-5878.02020625374</v>
      </c>
      <c r="B233" s="103" t="str">
        <f aca="false">B191</f>
        <v>239.99</v>
      </c>
      <c r="C233" s="103"/>
      <c r="D233" s="113"/>
      <c r="E233" s="103" t="n">
        <f aca="false">E191</f>
        <v>22371.9657937463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1465.63416306784</v>
      </c>
      <c r="B239" s="103" t="n">
        <f aca="false">B176</f>
        <v>0</v>
      </c>
      <c r="C239" s="186"/>
      <c r="D239" s="186"/>
      <c r="E239" s="103" t="n">
        <f aca="false">E176</f>
        <v>1465.63416306784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116.66665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1966.65831666667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681.485793746266</v>
      </c>
      <c r="C263" s="197"/>
      <c r="D263" s="198" t="s">
        <v>216</v>
      </c>
      <c r="E263" s="198"/>
      <c r="F263" s="200" t="n">
        <f aca="false">F270+F276+F278+B279+B280</f>
        <v>139.99998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641.477480412932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681.485793746266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139.99998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641.477480412932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21583.33</v>
      </c>
      <c r="B37" s="32"/>
      <c r="C37" s="41" t="s">
        <v>45</v>
      </c>
      <c r="D37" s="41"/>
      <c r="E37" s="32"/>
      <c r="F37" s="43" t="n">
        <f aca="false">A37-C37</f>
        <v>20583.33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4316.666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276.388833333333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273.611166666667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276.277833333333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226.277833333333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276.277833333333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16109.9757937463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139.99998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276.277833333333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276.277833333333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276.277833333333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20583.33</v>
      </c>
      <c r="C90" s="32"/>
      <c r="D90" s="32"/>
      <c r="E90" s="23"/>
      <c r="F90" s="25" t="s">
        <v>105</v>
      </c>
      <c r="G90" s="27" t="n">
        <f aca="false">F37</f>
        <v>20583.33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15232.2039496476</v>
      </c>
      <c r="C97" s="32"/>
      <c r="D97" s="32"/>
      <c r="E97" s="23"/>
      <c r="F97" s="31" t="s">
        <v>112</v>
      </c>
      <c r="G97" s="33" t="n">
        <f aca="false">G90-G95</f>
        <v>14959.9389154658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1465.63416306784</v>
      </c>
      <c r="C98" s="32"/>
      <c r="D98" s="32"/>
      <c r="E98" s="23"/>
      <c r="F98" s="31" t="s">
        <v>113</v>
      </c>
      <c r="G98" s="33" t="n">
        <f aca="false">(G97/G96)</f>
        <v>1404.59219211175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16121.9757937463</v>
      </c>
      <c r="C99" s="32"/>
      <c r="D99" s="32"/>
      <c r="E99" s="23"/>
      <c r="F99" s="31" t="s">
        <v>114</v>
      </c>
      <c r="G99" s="33" t="n">
        <f aca="false">((G98*(G94))+G86)</f>
        <v>15450.5141132292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16121.9757937463</v>
      </c>
      <c r="C101" s="32"/>
      <c r="D101" s="32"/>
      <c r="E101" s="23"/>
      <c r="F101" s="56" t="s">
        <v>116</v>
      </c>
      <c r="G101" s="65" t="n">
        <f aca="false">(G99+G100)</f>
        <v>15450.5141132292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1465.63416306784</v>
      </c>
      <c r="C104" s="32"/>
      <c r="D104" s="32"/>
      <c r="E104" s="23"/>
      <c r="F104" s="95" t="s">
        <v>118</v>
      </c>
      <c r="G104" s="96" t="n">
        <f aca="false">G101/(G94)</f>
        <v>1404.59219211175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1536.54325397693</v>
      </c>
      <c r="C105" s="32"/>
      <c r="D105" s="32"/>
      <c r="E105" s="23" t="s">
        <v>18</v>
      </c>
      <c r="F105" s="97" t="s">
        <v>119</v>
      </c>
      <c r="G105" s="98" t="n">
        <f aca="false">G103+G104</f>
        <v>1404.59219211175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25899.996</v>
      </c>
      <c r="C130" s="121" t="n">
        <v>23333.33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25899.996</v>
      </c>
      <c r="C134" s="133" t="n">
        <f aca="false">C130-C133</f>
        <v>23333.33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21583.33</v>
      </c>
      <c r="H144" s="153" t="n">
        <f aca="false">C134+E134+G134+H137</f>
        <v>23333.33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4316.666</v>
      </c>
      <c r="H146" s="33" t="n">
        <f aca="false">(H144+H145)*20%</f>
        <v>4666.666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25899.996</v>
      </c>
      <c r="H150" s="157" t="n">
        <f aca="false">(H144+H145+H148+H149+H146)-H147</f>
        <v>27999.996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25899.996</v>
      </c>
      <c r="H156" s="164" t="n">
        <f aca="false">H150-((H153*1.2)+(H154*1.2)+(H155*1.2)+(H151*1.2))</f>
        <v>27999.996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-15694.4416666667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27999.996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1465.63416306784</v>
      </c>
      <c r="B176" s="177" t="n">
        <f aca="false">B103</f>
        <v>70.9090909090909</v>
      </c>
      <c r="C176" s="174"/>
      <c r="D176" s="174"/>
      <c r="E176" s="177" t="n">
        <f aca="false">B105</f>
        <v>1536.54325397693</v>
      </c>
      <c r="F176" s="23"/>
      <c r="G176" s="23" t="n">
        <f aca="false">ROUND(G104, 2)</f>
        <v>1404.59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23333.33</v>
      </c>
      <c r="B182" s="103" t="n">
        <f aca="false">H146</f>
        <v>4666.666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27999.996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27999.996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-5878.02020625374</v>
      </c>
      <c r="B191" s="103" t="str">
        <f aca="false">B123</f>
        <v>199.99</v>
      </c>
      <c r="C191" s="103"/>
      <c r="D191" s="23"/>
      <c r="E191" s="103" t="n">
        <f aca="false">E188+A191+(B191*1.2)+A194</f>
        <v>22371.9637937463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116.66665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234.65665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1536.54325397693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-6549.506</v>
      </c>
      <c r="B210" s="186" t="n">
        <f aca="false">E188+A210+(B191*1.2)+A194</f>
        <v>21700.478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1465.63416306784</v>
      </c>
      <c r="B221" s="177" t="n">
        <f aca="false">B176</f>
        <v>70.9090909090909</v>
      </c>
      <c r="C221" s="174"/>
      <c r="D221" s="174"/>
      <c r="E221" s="177" t="n">
        <f aca="false">E176</f>
        <v>1536.54325397693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23333.33</v>
      </c>
      <c r="B224" s="103" t="n">
        <f aca="false">B182</f>
        <v>4666.666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27999.996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27999.996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-5878.02020625374</v>
      </c>
      <c r="B233" s="103" t="str">
        <f aca="false">B191</f>
        <v>199.99</v>
      </c>
      <c r="C233" s="103"/>
      <c r="D233" s="113"/>
      <c r="E233" s="103" t="n">
        <f aca="false">E191</f>
        <v>22371.9637937463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1465.63416306784</v>
      </c>
      <c r="B239" s="103" t="n">
        <f aca="false">B176</f>
        <v>70.9090909090909</v>
      </c>
      <c r="C239" s="186"/>
      <c r="D239" s="186"/>
      <c r="E239" s="103" t="n">
        <f aca="false">E176</f>
        <v>1536.54325397693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116.66665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1984.65665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681.485793746266</v>
      </c>
      <c r="C263" s="197"/>
      <c r="D263" s="198" t="s">
        <v>216</v>
      </c>
      <c r="E263" s="198"/>
      <c r="F263" s="200" t="n">
        <f aca="false">F270+F276+F278+B279+B280</f>
        <v>139.99998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821.475813746266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681.485793746266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139.99998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821.475813746266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19997.3421906546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262.4999625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16670.8685258558</v>
      </c>
      <c r="C88" s="93" t="n">
        <f aca="false">B81-B86</f>
        <v>16670.8685258558</v>
      </c>
      <c r="D88" s="93"/>
      <c r="E88" s="113"/>
      <c r="F88" s="31" t="s">
        <v>112</v>
      </c>
      <c r="G88" s="33" t="n">
        <f aca="false">G81-G86</f>
        <v>16100.8500059278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640.55330709432</v>
      </c>
      <c r="C89" s="93" t="n">
        <f aca="false">(B88/B87)</f>
        <v>640.55330709432</v>
      </c>
      <c r="D89" s="93"/>
      <c r="E89" s="113"/>
      <c r="F89" s="31" t="s">
        <v>113</v>
      </c>
      <c r="G89" s="33" t="n">
        <f aca="false">(G88/G87)</f>
        <v>580.190984564086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20497.7058270182</v>
      </c>
      <c r="C90" s="93"/>
      <c r="D90" s="93"/>
      <c r="E90" s="113"/>
      <c r="F90" s="31" t="s">
        <v>114</v>
      </c>
      <c r="G90" s="33" t="n">
        <f aca="false">((G89*(G85))+G77)</f>
        <v>18566.1115060508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20497.7058270182</v>
      </c>
      <c r="C92" s="93"/>
      <c r="D92" s="93"/>
      <c r="E92" s="113"/>
      <c r="F92" s="56" t="s">
        <v>116</v>
      </c>
      <c r="G92" s="65" t="n">
        <f aca="false">(G90+G91)</f>
        <v>18566.1115060508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640.55330709432</v>
      </c>
      <c r="C95" s="93"/>
      <c r="D95" s="93"/>
      <c r="E95" s="113"/>
      <c r="F95" s="95" t="s">
        <v>118</v>
      </c>
      <c r="G95" s="96" t="n">
        <f aca="false">G92/(G85)</f>
        <v>580.190984564086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640.55330709432</v>
      </c>
      <c r="C96" s="93"/>
      <c r="D96" s="93"/>
      <c r="E96" s="113"/>
      <c r="F96" s="97" t="s">
        <v>119</v>
      </c>
      <c r="G96" s="98" t="n">
        <f aca="false">G94+G95</f>
        <v>580.190984564086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640.55330709432</v>
      </c>
      <c r="B167" s="177" t="str">
        <f aca="false">B94</f>
        <v>0</v>
      </c>
      <c r="C167" s="174"/>
      <c r="D167" s="174"/>
      <c r="E167" s="177" t="n">
        <f aca="false">B96</f>
        <v>640.55330709432</v>
      </c>
      <c r="F167" s="23"/>
      <c r="G167" s="23" t="n">
        <f aca="false">ROUND(G95, 2)</f>
        <v>580.19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-1502.29017298176</v>
      </c>
      <c r="B182" s="103" t="str">
        <f aca="false">B114</f>
        <v>239.99</v>
      </c>
      <c r="C182" s="103"/>
      <c r="D182" s="23"/>
      <c r="E182" s="103" t="n">
        <f aca="false">E179+A182+B182+A185</f>
        <v>26747.6958270182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218.74996875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318.741635416667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640.55330709432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-3433.916</v>
      </c>
      <c r="B201" s="186" t="n">
        <f aca="false">E179+A201+B182+A185</f>
        <v>24816.07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640.55330709432</v>
      </c>
      <c r="B212" s="177" t="str">
        <f aca="false">B167</f>
        <v>0</v>
      </c>
      <c r="C212" s="174"/>
      <c r="D212" s="174"/>
      <c r="E212" s="177" t="n">
        <f aca="false">E167</f>
        <v>640.55330709432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-1502.29017298176</v>
      </c>
      <c r="B224" s="103" t="str">
        <f aca="false">B182</f>
        <v>239.99</v>
      </c>
      <c r="C224" s="103"/>
      <c r="D224" s="113"/>
      <c r="E224" s="103" t="n">
        <f aca="false">E182</f>
        <v>26747.6958270182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640.55330709432</v>
      </c>
      <c r="B230" s="103" t="str">
        <f aca="false">B167</f>
        <v>0</v>
      </c>
      <c r="C230" s="186"/>
      <c r="D230" s="186"/>
      <c r="E230" s="103" t="n">
        <f aca="false">E167</f>
        <v>640.55330709432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218.74996875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2068.74163541667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1941.62582701824</v>
      </c>
      <c r="C254" s="197"/>
      <c r="D254" s="198" t="s">
        <v>216</v>
      </c>
      <c r="E254" s="198"/>
      <c r="F254" s="200" t="n">
        <f aca="false">F261+F267+F269+B270+B271</f>
        <v>262.4999625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1779.1175311849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262.4999625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1779.1175311849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15620.9757937463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15232.2039496476</v>
      </c>
      <c r="C88" s="93" t="n">
        <f aca="false">B81-B86</f>
        <v>15232.2039496476</v>
      </c>
      <c r="D88" s="93"/>
      <c r="E88" s="113"/>
      <c r="F88" s="31" t="s">
        <v>112</v>
      </c>
      <c r="G88" s="33" t="n">
        <f aca="false">G81-G86</f>
        <v>14959.9389154658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1465.63416306784</v>
      </c>
      <c r="C89" s="93" t="n">
        <f aca="false">(B88/B87)</f>
        <v>1465.63416306784</v>
      </c>
      <c r="D89" s="93"/>
      <c r="E89" s="113"/>
      <c r="F89" s="31" t="s">
        <v>113</v>
      </c>
      <c r="G89" s="33" t="n">
        <f aca="false">(G88/G87)</f>
        <v>1404.59219211175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16121.9757937463</v>
      </c>
      <c r="C90" s="93"/>
      <c r="D90" s="93"/>
      <c r="E90" s="113"/>
      <c r="F90" s="31" t="s">
        <v>114</v>
      </c>
      <c r="G90" s="33" t="n">
        <f aca="false">((G89*(G85))+G77)</f>
        <v>15450.5141132292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16121.9757937463</v>
      </c>
      <c r="C92" s="93"/>
      <c r="D92" s="93"/>
      <c r="E92" s="113"/>
      <c r="F92" s="56" t="s">
        <v>116</v>
      </c>
      <c r="G92" s="65" t="n">
        <f aca="false">(G90+G91)</f>
        <v>15450.5141132292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1465.63416306784</v>
      </c>
      <c r="C95" s="93"/>
      <c r="D95" s="93"/>
      <c r="E95" s="113"/>
      <c r="F95" s="95" t="s">
        <v>118</v>
      </c>
      <c r="G95" s="96" t="n">
        <f aca="false">G92/(G85)</f>
        <v>1404.59219211175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1465.63416306784</v>
      </c>
      <c r="C96" s="93"/>
      <c r="D96" s="93"/>
      <c r="E96" s="113"/>
      <c r="F96" s="97" t="s">
        <v>119</v>
      </c>
      <c r="G96" s="98" t="n">
        <f aca="false">G94+G95</f>
        <v>1404.59219211175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1465.63416306784</v>
      </c>
      <c r="B167" s="177" t="n">
        <f aca="false">B94</f>
        <v>0</v>
      </c>
      <c r="C167" s="174"/>
      <c r="D167" s="174"/>
      <c r="E167" s="177" t="n">
        <f aca="false">B96</f>
        <v>1465.63416306784</v>
      </c>
      <c r="F167" s="23"/>
      <c r="G167" s="23" t="n">
        <f aca="false">ROUND(G95, 2)</f>
        <v>1404.59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-5878.02020625374</v>
      </c>
      <c r="B182" s="103" t="str">
        <f aca="false">B114</f>
        <v>199.99</v>
      </c>
      <c r="C182" s="103"/>
      <c r="D182" s="23"/>
      <c r="E182" s="103" t="n">
        <f aca="false">E179+A182+(B182*1.2)+A185</f>
        <v>22371.9637937463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116.66665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216.65665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1465.63416306784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-6549.506</v>
      </c>
      <c r="B201" s="186" t="n">
        <f aca="false">E179+A201+(B182*1.2)+A185</f>
        <v>21700.478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1465.63416306784</v>
      </c>
      <c r="B212" s="177" t="n">
        <f aca="false">B167</f>
        <v>0</v>
      </c>
      <c r="C212" s="174"/>
      <c r="D212" s="174"/>
      <c r="E212" s="177" t="n">
        <f aca="false">E167</f>
        <v>1465.63416306784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-5878.02020625374</v>
      </c>
      <c r="B224" s="103" t="str">
        <f aca="false">B182</f>
        <v>199.99</v>
      </c>
      <c r="C224" s="103"/>
      <c r="D224" s="113"/>
      <c r="E224" s="103" t="n">
        <f aca="false">E182</f>
        <v>22371.9637937463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1465.63416306784</v>
      </c>
      <c r="B230" s="103" t="n">
        <f aca="false">B167</f>
        <v>0</v>
      </c>
      <c r="C230" s="186"/>
      <c r="D230" s="186"/>
      <c r="E230" s="103" t="n">
        <f aca="false">E167</f>
        <v>1465.63416306784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1966.65665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681.485793746266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641.475813746266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641.475813746266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16181.1971287815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15447.3473268986</v>
      </c>
      <c r="C88" s="93" t="n">
        <f aca="false">B81-B86</f>
        <v>15447.3473268986</v>
      </c>
      <c r="D88" s="93"/>
      <c r="E88" s="113"/>
      <c r="F88" s="31" t="s">
        <v>112</v>
      </c>
      <c r="G88" s="33" t="n">
        <f aca="false">G81-G86</f>
        <v>15186.9449982113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1516.56337534377</v>
      </c>
      <c r="C89" s="93" t="n">
        <f aca="false">(B88/B87)</f>
        <v>1516.56337534377</v>
      </c>
      <c r="D89" s="93"/>
      <c r="E89" s="113"/>
      <c r="F89" s="31" t="s">
        <v>113</v>
      </c>
      <c r="G89" s="33" t="n">
        <f aca="false">(G88/G87)</f>
        <v>1455.23247741615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16682.1971287815</v>
      </c>
      <c r="C90" s="93"/>
      <c r="D90" s="93"/>
      <c r="E90" s="113"/>
      <c r="F90" s="31" t="s">
        <v>114</v>
      </c>
      <c r="G90" s="33" t="n">
        <f aca="false">((G89*(G85))+G77)</f>
        <v>16007.5572515776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16682.1971287815</v>
      </c>
      <c r="C92" s="93"/>
      <c r="D92" s="93"/>
      <c r="E92" s="113"/>
      <c r="F92" s="56" t="s">
        <v>116</v>
      </c>
      <c r="G92" s="65" t="n">
        <f aca="false">(G90+G91)</f>
        <v>16007.5572515776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1516.56337534377</v>
      </c>
      <c r="C95" s="93"/>
      <c r="D95" s="93"/>
      <c r="E95" s="113"/>
      <c r="F95" s="95" t="s">
        <v>118</v>
      </c>
      <c r="G95" s="96" t="n">
        <f aca="false">G92/(G85)</f>
        <v>1455.23247741615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1516.56337534377</v>
      </c>
      <c r="C96" s="93"/>
      <c r="D96" s="93"/>
      <c r="E96" s="113"/>
      <c r="F96" s="97" t="s">
        <v>119</v>
      </c>
      <c r="G96" s="98" t="n">
        <f aca="false">G94+G95</f>
        <v>1455.23247741615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1516.56337534377</v>
      </c>
      <c r="B167" s="177" t="str">
        <f aca="false">B94</f>
        <v>0</v>
      </c>
      <c r="C167" s="174"/>
      <c r="D167" s="174"/>
      <c r="E167" s="177" t="n">
        <f aca="false">B96</f>
        <v>1516.56337534377</v>
      </c>
      <c r="F167" s="23"/>
      <c r="G167" s="23" t="n">
        <f aca="false">ROUND(G95, 2)</f>
        <v>1455.23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-5317.79887121853</v>
      </c>
      <c r="B182" s="103" t="str">
        <f aca="false">B114</f>
        <v>239.99</v>
      </c>
      <c r="C182" s="103"/>
      <c r="D182" s="23"/>
      <c r="E182" s="103" t="n">
        <f aca="false">E179+A182+B182+A185</f>
        <v>22932.1871287815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116.66665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216.658316666667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1516.56337534377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-5992.466</v>
      </c>
      <c r="B201" s="186" t="n">
        <f aca="false">E179+A201+B182+A185</f>
        <v>22257.52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1516.56337534377</v>
      </c>
      <c r="B212" s="177" t="str">
        <f aca="false">B167</f>
        <v>0</v>
      </c>
      <c r="C212" s="174"/>
      <c r="D212" s="174"/>
      <c r="E212" s="177" t="n">
        <f aca="false">E167</f>
        <v>1516.56337534377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-5317.79887121853</v>
      </c>
      <c r="B224" s="103" t="str">
        <f aca="false">B182</f>
        <v>239.99</v>
      </c>
      <c r="C224" s="103"/>
      <c r="D224" s="113"/>
      <c r="E224" s="103" t="n">
        <f aca="false">E182</f>
        <v>22932.1871287815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1516.56337534377</v>
      </c>
      <c r="B230" s="103" t="str">
        <f aca="false">B167</f>
        <v>0</v>
      </c>
      <c r="C230" s="186"/>
      <c r="D230" s="186"/>
      <c r="E230" s="103" t="n">
        <f aca="false">E167</f>
        <v>1516.56337534377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1966.65831666667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684.667128781472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644.658815448138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644.658815448138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20583.33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16181.1971287815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139.99998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20583.33</v>
      </c>
      <c r="C81" s="93"/>
      <c r="D81" s="93"/>
      <c r="E81" s="113"/>
      <c r="F81" s="25" t="s">
        <v>105</v>
      </c>
      <c r="G81" s="27" t="n">
        <f aca="false">B81</f>
        <v>20583.33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15447.3473268986</v>
      </c>
      <c r="C88" s="93" t="n">
        <f aca="false">B81-B86</f>
        <v>15447.3473268986</v>
      </c>
      <c r="D88" s="93"/>
      <c r="E88" s="113"/>
      <c r="F88" s="31" t="s">
        <v>112</v>
      </c>
      <c r="G88" s="33" t="n">
        <f aca="false">G81-G86</f>
        <v>15186.9449982113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1516.56337534377</v>
      </c>
      <c r="C89" s="93" t="n">
        <f aca="false">(B88/B87)</f>
        <v>1516.56337534377</v>
      </c>
      <c r="D89" s="93"/>
      <c r="E89" s="113"/>
      <c r="F89" s="31" t="s">
        <v>113</v>
      </c>
      <c r="G89" s="33" t="n">
        <f aca="false">(G88/G87)</f>
        <v>1455.23247741615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16682.1971287815</v>
      </c>
      <c r="C90" s="93"/>
      <c r="D90" s="93"/>
      <c r="E90" s="113"/>
      <c r="F90" s="31" t="s">
        <v>114</v>
      </c>
      <c r="G90" s="33" t="n">
        <f aca="false">((G89*(G85))+G77)</f>
        <v>16007.5572515776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16682.1971287815</v>
      </c>
      <c r="C92" s="93"/>
      <c r="D92" s="93"/>
      <c r="E92" s="113"/>
      <c r="F92" s="56" t="s">
        <v>116</v>
      </c>
      <c r="G92" s="65" t="n">
        <f aca="false">(G90+G91)</f>
        <v>16007.5572515776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1516.56337534377</v>
      </c>
      <c r="C95" s="93"/>
      <c r="D95" s="93"/>
      <c r="E95" s="113"/>
      <c r="F95" s="95" t="s">
        <v>118</v>
      </c>
      <c r="G95" s="96" t="n">
        <f aca="false">G92/(G85)</f>
        <v>1455.23247741615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1516.56337534377</v>
      </c>
      <c r="C96" s="93"/>
      <c r="D96" s="93"/>
      <c r="E96" s="113"/>
      <c r="F96" s="97" t="s">
        <v>119</v>
      </c>
      <c r="G96" s="98" t="n">
        <f aca="false">G94+G95</f>
        <v>1455.23247741615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25899.996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25899.996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21583.33</v>
      </c>
      <c r="H135" s="153" t="n">
        <f aca="false">C125+E125+G125+H128</f>
        <v>23333.33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-15694.4416666667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1516.56337534377</v>
      </c>
      <c r="B167" s="177" t="str">
        <f aca="false">B94</f>
        <v>0</v>
      </c>
      <c r="C167" s="174"/>
      <c r="D167" s="174"/>
      <c r="E167" s="177" t="n">
        <f aca="false">B96</f>
        <v>1516.56337534377</v>
      </c>
      <c r="F167" s="23"/>
      <c r="G167" s="23" t="n">
        <f aca="false">ROUND(G95, 2)</f>
        <v>1455.23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-5317.79887121853</v>
      </c>
      <c r="B182" s="103" t="str">
        <f aca="false">B114</f>
        <v>199.99</v>
      </c>
      <c r="C182" s="103"/>
      <c r="D182" s="23"/>
      <c r="E182" s="103" t="n">
        <f aca="false">E179+A182+(B182*1.2)+A185</f>
        <v>22932.1851287815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116.66665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216.65665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1516.56337534377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-5992.466</v>
      </c>
      <c r="B201" s="186" t="n">
        <f aca="false">E179+A201+(B182*1.2)+A185</f>
        <v>22257.518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1516.56337534377</v>
      </c>
      <c r="B212" s="177" t="str">
        <f aca="false">B167</f>
        <v>0</v>
      </c>
      <c r="C212" s="174"/>
      <c r="D212" s="174"/>
      <c r="E212" s="177" t="n">
        <f aca="false">E167</f>
        <v>1516.56337534377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-5317.79887121853</v>
      </c>
      <c r="B224" s="103" t="str">
        <f aca="false">B182</f>
        <v>199.99</v>
      </c>
      <c r="C224" s="103"/>
      <c r="D224" s="113"/>
      <c r="E224" s="103" t="n">
        <f aca="false">E182</f>
        <v>22932.1851287815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1516.56337534377</v>
      </c>
      <c r="B230" s="103" t="str">
        <f aca="false">B167</f>
        <v>0</v>
      </c>
      <c r="C230" s="186"/>
      <c r="D230" s="186"/>
      <c r="E230" s="103" t="n">
        <f aca="false">E167</f>
        <v>1516.56337534377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116.66665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1966.65665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684.667128781472</v>
      </c>
      <c r="C254" s="197"/>
      <c r="D254" s="198" t="s">
        <v>216</v>
      </c>
      <c r="E254" s="198"/>
      <c r="F254" s="200" t="n">
        <f aca="false">F261+F267+F269+B270+B271</f>
        <v>139.99998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644.657148781472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139.99998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644.657148781472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4316.666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276.388833333333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273.611166666667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276.277833333333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226.277833333333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276.277833333333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276.277833333333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226.277833333333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8171.1368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57.6824905203711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8228.81929052037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685.734940876698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763.734940876698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685.734940876698</v>
      </c>
      <c r="B134" s="321" t="n">
        <f aca="false">IF(A111="YES", B95, 0)</f>
        <v>78</v>
      </c>
      <c r="C134" s="325"/>
      <c r="D134" s="321" t="n">
        <f aca="false">B97</f>
        <v>763.734940876698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685.734940876698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763.734940876698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685.734940876698</v>
      </c>
      <c r="B143" s="38" t="n">
        <f aca="false">IF(A111="YES", B95, 0)</f>
        <v>78</v>
      </c>
      <c r="C143" s="317"/>
      <c r="D143" s="38" t="n">
        <f aca="false">B97</f>
        <v>763.734940876698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129.49998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4316.666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647.491646666667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763.734940876698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685.734940876698</v>
      </c>
      <c r="B177" s="355" t="n">
        <f aca="false">IF(A111="YES", B95, 0)</f>
        <v>78</v>
      </c>
      <c r="C177" s="357"/>
      <c r="D177" s="355" t="n">
        <f aca="false">A177+B177</f>
        <v>763.734940876698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685.734940876698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763.734940876698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685.734940876698</v>
      </c>
      <c r="B186" s="103" t="n">
        <f aca="false">IF(A111="YES", B95, 0)</f>
        <v>78</v>
      </c>
      <c r="C186" s="353"/>
      <c r="D186" s="103" t="n">
        <f aca="false">B97</f>
        <v>763.734940876698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647.491646666667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3008.77168666667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3008.77168666667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57.6824905203711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4316.666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276.388833333333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223.611166666667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226.277833333333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226.277833333333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226.277833333333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4093.94666666667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341.162222222222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226.277833333333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6809.28066666667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57.6824905203711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6866.96315718704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572.246929765586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572.246929765586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572.246929765586</v>
      </c>
      <c r="B134" s="321" t="n">
        <f aca="false">IF(A111="YES", B95, 0)</f>
        <v>0</v>
      </c>
      <c r="C134" s="326"/>
      <c r="D134" s="321" t="n">
        <f aca="false">B97</f>
        <v>572.246929765586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5150.22236789028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5150.22236789028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572.246929765586</v>
      </c>
      <c r="B143" s="38" t="n">
        <f aca="false">IF(A111="YES", B95, 0)</f>
        <v>0</v>
      </c>
      <c r="C143" s="317"/>
      <c r="D143" s="38" t="n">
        <f aca="false">B97</f>
        <v>572.246929765586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129.49998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4316.666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629.48998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572.246929765586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572.246929765586</v>
      </c>
      <c r="B177" s="355" t="n">
        <f aca="false">IF(A111="YES", B95, 0)</f>
        <v>0</v>
      </c>
      <c r="C177" s="358"/>
      <c r="D177" s="355" t="n">
        <f aca="false">B91</f>
        <v>6809.28066666667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5150.22236789028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5150.22236789028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572.246929765586</v>
      </c>
      <c r="B186" s="103" t="n">
        <f aca="false">IF(A111="YES", B95, 0)</f>
        <v>0</v>
      </c>
      <c r="C186" s="353"/>
      <c r="D186" s="103" t="n">
        <f aca="false">B97</f>
        <v>572.246929765586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629.48998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2828.77002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2828.77002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57.6824905203711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3093.66638666667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257.805532222222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9105.66638666667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77.1355361516741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9182.80192281834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765.233493568195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765.233493568195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765.233493568195</v>
      </c>
      <c r="B134" s="321" t="n">
        <f aca="false">IF(A111="YES", B95, 0)</f>
        <v>0</v>
      </c>
      <c r="C134" s="326"/>
      <c r="D134" s="321" t="n">
        <f aca="false">B97</f>
        <v>765.233493568195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765.233493568195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765.233493568195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765.233493568195</v>
      </c>
      <c r="B143" s="38" t="n">
        <f aca="false">IF(A111="YES", B95, 0)</f>
        <v>0</v>
      </c>
      <c r="C143" s="317"/>
      <c r="D143" s="38" t="n">
        <f aca="false">B97</f>
        <v>765.233493568195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1390.238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1350.24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765.233493568195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765.233493568195</v>
      </c>
      <c r="B177" s="355" t="n">
        <f aca="false">IF(A111="YES", B95, 0)</f>
        <v>0</v>
      </c>
      <c r="C177" s="358"/>
      <c r="D177" s="355" t="n">
        <f aca="false">B91</f>
        <v>9105.66638666667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765.233493568195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765.233493568195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765.233493568195</v>
      </c>
      <c r="B186" s="103" t="n">
        <f aca="false">IF(A111="YES", B95, 0)</f>
        <v>0</v>
      </c>
      <c r="C186" s="353"/>
      <c r="D186" s="103" t="n">
        <f aca="false">B97</f>
        <v>765.233493568195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1965.96972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1965.96972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77.1355361516741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3288.66638666667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274.055532222222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11160.799664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78.7874119080275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11239.587075908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936.632256325669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936.632256325669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936.632256325669</v>
      </c>
      <c r="B134" s="321" t="n">
        <f aca="false">IF(A111="YES", B95, 0)</f>
        <v>0</v>
      </c>
      <c r="C134" s="326"/>
      <c r="D134" s="321" t="n">
        <f aca="false">B97</f>
        <v>936.632256325669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936.632256325669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936.632256325669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936.632256325669</v>
      </c>
      <c r="B143" s="38" t="n">
        <f aca="false">IF(A111="YES", B95, 0)</f>
        <v>0</v>
      </c>
      <c r="C143" s="317"/>
      <c r="D143" s="38" t="n">
        <f aca="false">B97</f>
        <v>936.632256325669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129.49998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629.491646666667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936.632256325669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936.632256325669</v>
      </c>
      <c r="B177" s="355" t="n">
        <f aca="false">IF(A111="YES", B95, 0)</f>
        <v>0</v>
      </c>
      <c r="C177" s="358"/>
      <c r="D177" s="355" t="n">
        <f aca="false">B97</f>
        <v>936.632256325669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936.632256325669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936.632256325669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936.632256325669</v>
      </c>
      <c r="B186" s="103" t="n">
        <f aca="false">IF(A111="YES", B95, 0)</f>
        <v>0</v>
      </c>
      <c r="C186" s="353"/>
      <c r="D186" s="103" t="n">
        <f aca="false">B97</f>
        <v>936.632256325669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629.491646666667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2023.49140666667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2023.49140666667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78.7874119080275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3288.66638666667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274.055532222222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9300.66638666667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78.7874119080275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9379.4537985747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781.621149881225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781.621149881225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781.621149881225</v>
      </c>
      <c r="B134" s="321" t="n">
        <f aca="false">IF(A111="YES", B95, 0)</f>
        <v>0</v>
      </c>
      <c r="C134" s="326"/>
      <c r="D134" s="321" t="n">
        <f aca="false">B97</f>
        <v>781.621149881225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781.621149881225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781.621149881225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781.621149881225</v>
      </c>
      <c r="B143" s="38" t="n">
        <f aca="false">IF(A111="YES", B95, 0)</f>
        <v>0</v>
      </c>
      <c r="C143" s="317"/>
      <c r="D143" s="38" t="n">
        <f aca="false">B97</f>
        <v>781.621149881225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129.49998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629.48998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781.621149881225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781.621149881225</v>
      </c>
      <c r="B177" s="355" t="n">
        <f aca="false">IF(A111="YES", B95, 0)</f>
        <v>0</v>
      </c>
      <c r="C177" s="358"/>
      <c r="D177" s="355" t="n">
        <f aca="false">B91</f>
        <v>9300.66638666667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781.621149881225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781.621149881225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781.621149881225</v>
      </c>
      <c r="B186" s="103" t="n">
        <f aca="false">IF(A111="YES", B95, 0)</f>
        <v>0</v>
      </c>
      <c r="C186" s="353"/>
      <c r="D186" s="103" t="n">
        <f aca="false">B97</f>
        <v>781.621149881225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629.48998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2023.48974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2023.48974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78.7874119080275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3093.66638666667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257.805532222222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9105.66638666667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77.1355361516741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9182.80192281834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765.233493568195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765.233493568195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765.233493568195</v>
      </c>
      <c r="B134" s="321" t="n">
        <f aca="false">IF(A111="YES", B95, 0)</f>
        <v>0</v>
      </c>
      <c r="C134" s="326"/>
      <c r="D134" s="321" t="n">
        <f aca="false">B97</f>
        <v>765.233493568195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765.233493568195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765.233493568195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765.233493568195</v>
      </c>
      <c r="B143" s="38" t="n">
        <f aca="false">IF(A111="YES", B95, 0)</f>
        <v>0</v>
      </c>
      <c r="C143" s="317"/>
      <c r="D143" s="38" t="n">
        <f aca="false">B97</f>
        <v>765.233493568195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765.233493568195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765.233493568195</v>
      </c>
      <c r="B177" s="355" t="n">
        <f aca="false">IF(A111="YES", B95, 0)</f>
        <v>0</v>
      </c>
      <c r="C177" s="358"/>
      <c r="D177" s="355" t="n">
        <f aca="false">B91</f>
        <v>9105.66638666667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765.233493568195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765.233493568195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765.233493568195</v>
      </c>
      <c r="B186" s="103" t="n">
        <f aca="false">IF(A111="YES", B95, 0)</f>
        <v>0</v>
      </c>
      <c r="C186" s="353"/>
      <c r="D186" s="103" t="n">
        <f aca="false">B97</f>
        <v>765.233493568195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1965.96972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1965.96972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77.1355361516741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25899.996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1812.99972</v>
      </c>
      <c r="C70" s="215" t="n">
        <v>10000</v>
      </c>
      <c r="D70" s="291" t="n">
        <f aca="false">B70-A149</f>
        <v>1812.99972</v>
      </c>
      <c r="E70" s="216" t="n">
        <f aca="false">D70/12</f>
        <v>151.08331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129.49998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2621.99972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218.499976666667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10360.799664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73.1399734247681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10433.9396374248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869.494969785397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869.494969785397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869.494969785397</v>
      </c>
      <c r="B134" s="321" t="n">
        <f aca="false">IF(A111="YES", B95, 0)</f>
        <v>0</v>
      </c>
      <c r="C134" s="326"/>
      <c r="D134" s="321" t="n">
        <f aca="false">B97</f>
        <v>869.494969785397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869.494969785397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869.494969785397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869.494969785397</v>
      </c>
      <c r="B143" s="38" t="n">
        <f aca="false">IF(A111="YES", B95, 0)</f>
        <v>0</v>
      </c>
      <c r="C143" s="317"/>
      <c r="D143" s="38" t="n">
        <f aca="false">B97</f>
        <v>869.494969785397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129.49998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229.491646666667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869.494969785397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869.494969785397</v>
      </c>
      <c r="B177" s="355" t="n">
        <f aca="false">IF(A111="YES", B95, 0)</f>
        <v>0</v>
      </c>
      <c r="C177" s="358"/>
      <c r="D177" s="355" t="n">
        <f aca="false">B91</f>
        <v>10360.799664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869.494969785397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869.494969785397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869.494969785397</v>
      </c>
      <c r="B186" s="103" t="n">
        <f aca="false">IF(A111="YES", B95, 0)</f>
        <v>0</v>
      </c>
      <c r="C186" s="353"/>
      <c r="D186" s="103" t="n">
        <f aca="false">B97</f>
        <v>869.494969785397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129.49998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229.491646666667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1812.99972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129.49998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1783.49140666667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1812.99972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129.49998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1783.49140666667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73.1399734247681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360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360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859.99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360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859.99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360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5019.99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360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5019.99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389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18400.0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342.862405645283</v>
      </c>
      <c r="F33" s="232"/>
      <c r="G33" s="232"/>
      <c r="H33" s="47"/>
      <c r="I33" s="2"/>
      <c r="J33" s="34" t="s">
        <v>356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342.862405645283</v>
      </c>
      <c r="B36" s="232" t="str">
        <f aca="false">IF(B26="YES", K42, "0.00")</f>
        <v>0.00</v>
      </c>
      <c r="C36" s="232"/>
      <c r="D36" s="232"/>
      <c r="E36" s="232" t="n">
        <f aca="false">K31</f>
        <v>18400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35617.4847622053</v>
      </c>
      <c r="N39" s="1" t="n">
        <f aca="false">K39-L39</f>
        <v>-14034.1547622053</v>
      </c>
      <c r="P39" s="212"/>
    </row>
    <row r="40" customFormat="false" ht="17.35" hidden="false" customHeight="false" outlineLevel="0" collapsed="false">
      <c r="A40" s="107" t="n">
        <f aca="false">E36*A45/100</f>
        <v>18400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15333.3333333333</v>
      </c>
      <c r="L40" s="2" t="n">
        <f aca="false">K39-L39</f>
        <v>-14034.1547622053</v>
      </c>
      <c r="N40" s="1" t="n">
        <f aca="false">N38-N39</f>
        <v>16945.8347622053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11057.4311844364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10525.8988155636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342.862405645283</v>
      </c>
      <c r="L47" s="2" t="n">
        <f aca="false">L49-K42</f>
        <v>800</v>
      </c>
      <c r="M47" s="1" t="n">
        <f aca="false">K47-L47</f>
        <v>-457.137594354717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342.862405645283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342.862405645283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5132.89695003775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342.862405645283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342.862405645283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342.862405645283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342.862405645283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93"/>
      <c r="D82" s="93"/>
      <c r="E82" s="113"/>
      <c r="F82" s="31" t="s">
        <v>106</v>
      </c>
      <c r="G82" s="33" t="n">
        <f aca="false">IF(A111 = "Yes", A40, 0)</f>
        <v>18400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18400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18400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11540.7682912045</v>
      </c>
      <c r="C86" s="93"/>
      <c r="D86" s="93"/>
      <c r="E86" s="113"/>
      <c r="F86" s="31" t="s">
        <v>110</v>
      </c>
      <c r="G86" s="33" t="n">
        <f aca="false">(G82/((1+G84)^(G85+1)))</f>
        <v>13386.6790634379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12447.0083963501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12447.0083963501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13959.2277087955</v>
      </c>
      <c r="C88" s="93"/>
      <c r="D88" s="93"/>
      <c r="E88" s="113"/>
      <c r="F88" s="31" t="s">
        <v>112</v>
      </c>
      <c r="G88" s="33" t="n">
        <f aca="false">G81-G86</f>
        <v>12113.3169365621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499.312672950512</v>
      </c>
      <c r="C89" s="93"/>
      <c r="D89" s="93"/>
      <c r="E89" s="113"/>
      <c r="F89" s="31" t="s">
        <v>113</v>
      </c>
      <c r="G89" s="33" t="n">
        <f aca="false">(G88/G87)</f>
        <v>404.147294527693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17475.9435532679</v>
      </c>
      <c r="C90" s="93"/>
      <c r="D90" s="93"/>
      <c r="E90" s="113"/>
      <c r="F90" s="31" t="s">
        <v>114</v>
      </c>
      <c r="G90" s="33" t="n">
        <f aca="false">((G89*(G85))+G77)</f>
        <v>14145.1553084692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17475.9435532679</v>
      </c>
      <c r="C92" s="93"/>
      <c r="D92" s="93"/>
      <c r="E92" s="113"/>
      <c r="F92" s="56" t="s">
        <v>116</v>
      </c>
      <c r="G92" s="65" t="n">
        <f aca="false">(G90+G91)</f>
        <v>14145.1553084692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499.312672950512</v>
      </c>
      <c r="C95" s="93"/>
      <c r="D95" s="93"/>
      <c r="E95" s="113"/>
      <c r="F95" s="95" t="s">
        <v>118</v>
      </c>
      <c r="G95" s="96" t="n">
        <f aca="false">G92/(G85)</f>
        <v>404.147294527693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499.312672950512</v>
      </c>
      <c r="C96" s="93"/>
      <c r="D96" s="93"/>
      <c r="E96" s="113"/>
      <c r="F96" s="97" t="s">
        <v>119</v>
      </c>
      <c r="G96" s="98" t="n">
        <f aca="false">G94+G95</f>
        <v>404.147294527693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0.0</v>
      </c>
      <c r="C108" s="107"/>
      <c r="D108" s="107" t="n">
        <v>0.0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-19791.6633333333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499.312672950512</v>
      </c>
      <c r="B167" s="177" t="str">
        <f aca="false">B94</f>
        <v>0</v>
      </c>
      <c r="C167" s="174"/>
      <c r="D167" s="174"/>
      <c r="E167" s="177" t="n">
        <f aca="false">B96</f>
        <v>499.312672950512</v>
      </c>
      <c r="F167" s="23"/>
      <c r="G167" s="23" t="n">
        <f aca="false">ROUND(G95, 2)</f>
        <v>404.15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18400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18400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18400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10375.9475532679</v>
      </c>
      <c r="B182" s="103" t="str">
        <f aca="false">B114</f>
        <v>239.99</v>
      </c>
      <c r="C182" s="103"/>
      <c r="D182" s="23"/>
      <c r="E182" s="103" t="n">
        <f aca="false">E179+A182+B182+A185</f>
        <v>36125.9335532679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18410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18420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18410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18410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312.491633333333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499.312672950512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7045.254</v>
      </c>
      <c r="B201" s="186" t="n">
        <f aca="false">E179+A201+B182+A185</f>
        <v>32795.24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499.312672950512</v>
      </c>
      <c r="B212" s="177" t="str">
        <f aca="false">B167</f>
        <v>0</v>
      </c>
      <c r="C212" s="174"/>
      <c r="D212" s="174"/>
      <c r="E212" s="177" t="n">
        <f aca="false">E167</f>
        <v>499.312672950512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10375.9475532679</v>
      </c>
      <c r="B224" s="103" t="str">
        <f aca="false">B182</f>
        <v>239.99</v>
      </c>
      <c r="C224" s="103"/>
      <c r="D224" s="113"/>
      <c r="E224" s="103" t="n">
        <f aca="false">E182</f>
        <v>36125.9335532679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499.312672950512</v>
      </c>
      <c r="B230" s="103" t="str">
        <f aca="false">B167</f>
        <v>0</v>
      </c>
      <c r="C230" s="186"/>
      <c r="D230" s="186"/>
      <c r="E230" s="103" t="n">
        <f aca="false">E167</f>
        <v>499.312672950512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18400</v>
      </c>
      <c r="B233" s="103" t="n">
        <f aca="false">E185</f>
        <v>18410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212.499966666667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2062.49163333333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3340.69355326792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3185.68525993459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3340.69355326792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3185.68525993459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2160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341.542742530583</v>
      </c>
      <c r="F33" s="232"/>
      <c r="G33" s="232"/>
      <c r="H33" s="47"/>
      <c r="I33" s="2"/>
      <c r="J33" s="34" t="s">
        <v>356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311.542742530583</v>
      </c>
      <c r="B36" s="232" t="n">
        <f aca="false">IF(B26="YES", K42, "0.00")</f>
        <v>30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35657.9985082074</v>
      </c>
      <c r="N39" s="1" t="n">
        <f aca="false">K39-L39</f>
        <v>-14074.6685082074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30</v>
      </c>
      <c r="C40" s="107"/>
      <c r="D40" s="107"/>
      <c r="E40" s="182" t="n">
        <f aca="false">K32</f>
        <v>2160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-14074.6685082074</v>
      </c>
      <c r="N40" s="1" t="n">
        <f aca="false">N38-N39</f>
        <v>16986.3485082074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30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12018.9469396048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50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9564.38306039523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311.542742530583</v>
      </c>
      <c r="L47" s="2" t="n">
        <f aca="false">L49-K42</f>
        <v>770</v>
      </c>
      <c r="M47" s="1" t="n">
        <f aca="false">K47-L47</f>
        <v>-458.457257469417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341.542742530583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341.542742530583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5004.03897289682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311.542742530583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311.542742530583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341.542742530583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341.542742530583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12544.3133600049</v>
      </c>
      <c r="C86" s="93"/>
      <c r="D86" s="93"/>
      <c r="E86" s="113"/>
      <c r="F86" s="31" t="s">
        <v>110</v>
      </c>
      <c r="G86" s="33" t="n">
        <f aca="false">(G82/((1+G84)^(G85+1)))</f>
        <v>14550.7381124325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12955.6826399951</v>
      </c>
      <c r="C88" s="93"/>
      <c r="D88" s="93"/>
      <c r="E88" s="113"/>
      <c r="F88" s="31" t="s">
        <v>112</v>
      </c>
      <c r="G88" s="33" t="n">
        <f aca="false">G81-G86</f>
        <v>10949.2578875675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463.416505828508</v>
      </c>
      <c r="C89" s="93"/>
      <c r="D89" s="93"/>
      <c r="E89" s="113"/>
      <c r="F89" s="31" t="s">
        <v>113</v>
      </c>
      <c r="G89" s="33" t="n">
        <f aca="false">(G88/G87)</f>
        <v>365.309764082034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16219.5777039978</v>
      </c>
      <c r="C90" s="93"/>
      <c r="D90" s="93"/>
      <c r="E90" s="113"/>
      <c r="F90" s="31" t="s">
        <v>114</v>
      </c>
      <c r="G90" s="33" t="n">
        <f aca="false">((G89*(G85))+G77)</f>
        <v>12785.8417428712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16219.5777039978</v>
      </c>
      <c r="C92" s="93"/>
      <c r="D92" s="93"/>
      <c r="E92" s="113"/>
      <c r="F92" s="56" t="s">
        <v>116</v>
      </c>
      <c r="G92" s="65" t="n">
        <f aca="false">(G90+G91)</f>
        <v>12785.8417428712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37.0285714285714</v>
      </c>
      <c r="C94" s="93"/>
      <c r="D94" s="93"/>
      <c r="E94" s="113"/>
      <c r="F94" s="88" t="s">
        <v>117</v>
      </c>
      <c r="G94" s="94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93.6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74.0571428571429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88.8685714285714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463.416505828508</v>
      </c>
      <c r="C95" s="93"/>
      <c r="D95" s="93"/>
      <c r="E95" s="113"/>
      <c r="F95" s="95" t="s">
        <v>118</v>
      </c>
      <c r="G95" s="96" t="n">
        <f aca="false">G92/(G85)</f>
        <v>365.309764082034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500.44507725708</v>
      </c>
      <c r="C96" s="93"/>
      <c r="D96" s="93"/>
      <c r="E96" s="113"/>
      <c r="F96" s="97" t="s">
        <v>119</v>
      </c>
      <c r="G96" s="98" t="n">
        <f aca="false">G94+G95</f>
        <v>402.338335510605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-19791.6633333333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463.416505828508</v>
      </c>
      <c r="B167" s="177" t="n">
        <f aca="false">B94</f>
        <v>37.0285714285714</v>
      </c>
      <c r="C167" s="174"/>
      <c r="D167" s="174"/>
      <c r="E167" s="177" t="n">
        <f aca="false">B96</f>
        <v>500.44507725708</v>
      </c>
      <c r="F167" s="23"/>
      <c r="G167" s="23" t="n">
        <f aca="false">ROUND(G95, 2)</f>
        <v>365.31</v>
      </c>
      <c r="H167" s="33"/>
      <c r="J167" s="176" t="e">
        <f aca="false">K95</f>
        <v>#VALUE!</v>
      </c>
      <c r="K167" s="177" t="n">
        <f aca="false">K94</f>
        <v>93.6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74.0571428571429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88.8685714285714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10719.5817039978</v>
      </c>
      <c r="B182" s="103" t="str">
        <f aca="false">B114</f>
        <v>199.99</v>
      </c>
      <c r="C182" s="103"/>
      <c r="D182" s="23"/>
      <c r="E182" s="103" t="n">
        <f aca="false">E179+A182+(B182*1.2)+A185</f>
        <v>36469.5657039978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64.8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43.2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43.2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334.089966666667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500.44507725708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7285.854</v>
      </c>
      <c r="B201" s="186" t="n">
        <f aca="false">E179+A201+(B182*1.2)+A185</f>
        <v>33035.838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463.416505828508</v>
      </c>
      <c r="B212" s="177" t="n">
        <f aca="false">B167</f>
        <v>37.0285714285714</v>
      </c>
      <c r="C212" s="174"/>
      <c r="D212" s="174"/>
      <c r="E212" s="177" t="n">
        <f aca="false">E167</f>
        <v>500.44507725708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10719.5817039978</v>
      </c>
      <c r="B224" s="103" t="str">
        <f aca="false">B182</f>
        <v>199.99</v>
      </c>
      <c r="C224" s="103"/>
      <c r="D224" s="113"/>
      <c r="E224" s="103" t="n">
        <f aca="false">E182</f>
        <v>36469.5657039978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463.416505828508</v>
      </c>
      <c r="B230" s="103" t="n">
        <f aca="false">B167</f>
        <v>37.0285714285714</v>
      </c>
      <c r="C230" s="186"/>
      <c r="D230" s="186"/>
      <c r="E230" s="103" t="n">
        <f aca="false">E167</f>
        <v>500.44507725708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7.481</v>
      </c>
      <c r="B236" s="103" t="n">
        <f aca="false">E233+A236</f>
        <v>29.924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212.499966666667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2084.08996666667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3443.72770399779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</v>
      </c>
      <c r="C255" s="197"/>
      <c r="D255" s="198" t="s">
        <v>218</v>
      </c>
      <c r="E255" s="198"/>
      <c r="F255" s="200" t="n">
        <f aca="false">(B254-F254)+B255</f>
        <v>3504.71774399779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3443.72770399779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3504.71774399779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4500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361.542742530583</v>
      </c>
      <c r="F33" s="232"/>
      <c r="G33" s="232"/>
      <c r="H33" s="47"/>
      <c r="I33" s="2"/>
      <c r="J33" s="34" t="s">
        <v>356</v>
      </c>
      <c r="K33" s="48" t="n">
        <f aca="false">E21</f>
        <v>21583.33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311.542742530583</v>
      </c>
      <c r="B36" s="232" t="n">
        <f aca="false">IF(B26="YES", K42, "0.00")</f>
        <v>50</v>
      </c>
      <c r="C36" s="232"/>
      <c r="D36" s="232"/>
      <c r="E36" s="232" t="n">
        <f aca="false">K31</f>
        <v>50000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21583.33</v>
      </c>
      <c r="L39" s="2" t="n">
        <f aca="false">(L47*K46)+K44</f>
        <v>35043.9971687632</v>
      </c>
      <c r="N39" s="1" t="n">
        <f aca="false">K39-L39</f>
        <v>-13460.6671687632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50</v>
      </c>
      <c r="C40" s="107"/>
      <c r="D40" s="107"/>
      <c r="E40" s="182" t="n">
        <f aca="false">K32</f>
        <v>4500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-13460.6671687632</v>
      </c>
      <c r="N40" s="1" t="n">
        <f aca="false">N38-N39</f>
        <v>16372.3471687632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50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12018.9469396048</v>
      </c>
      <c r="L44" s="2"/>
      <c r="P44" s="212"/>
    </row>
    <row r="45" customFormat="false" ht="17.35" hidden="false" customHeight="false" outlineLevel="0" collapsed="false">
      <c r="A45" s="450" t="n">
        <v>40</v>
      </c>
      <c r="B45" s="93"/>
      <c r="C45" s="62" t="n">
        <v>40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9564.38306039523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311.542742530583</v>
      </c>
      <c r="L47" s="2" t="n">
        <f aca="false">L49-K42</f>
        <v>750</v>
      </c>
      <c r="M47" s="1" t="n">
        <f aca="false">K47-L47</f>
        <v>-438.457257469417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361.542742530583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361.542742530583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7586.09991366618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233.3333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311.542742530583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311.542742530583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361.542742530583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361.542742530583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27999.996</v>
      </c>
      <c r="C81" s="93"/>
      <c r="D81" s="93"/>
      <c r="E81" s="113"/>
      <c r="F81" s="25" t="s">
        <v>105</v>
      </c>
      <c r="G81" s="27" t="n">
        <f aca="false">G158</f>
        <v>27999.996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12826.1318235035</v>
      </c>
      <c r="C86" s="93"/>
      <c r="D86" s="93"/>
      <c r="E86" s="113"/>
      <c r="F86" s="31" t="s">
        <v>110</v>
      </c>
      <c r="G86" s="33" t="n">
        <f aca="false">(G82/((1+G84)^(G85+1)))</f>
        <v>14550.7381124325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15173.8641764965</v>
      </c>
      <c r="C88" s="93"/>
      <c r="D88" s="93"/>
      <c r="E88" s="113"/>
      <c r="F88" s="31" t="s">
        <v>112</v>
      </c>
      <c r="G88" s="33" t="n">
        <f aca="false">G81-G86</f>
        <v>13449.2578875675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537.189675564776</v>
      </c>
      <c r="C89" s="93"/>
      <c r="D89" s="93"/>
      <c r="E89" s="113"/>
      <c r="F89" s="31" t="s">
        <v>113</v>
      </c>
      <c r="G89" s="33" t="n">
        <f aca="false">(G88/G87)</f>
        <v>448.719472720103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18801.6386447672</v>
      </c>
      <c r="C90" s="93"/>
      <c r="D90" s="93"/>
      <c r="E90" s="113"/>
      <c r="F90" s="31" t="s">
        <v>114</v>
      </c>
      <c r="G90" s="33" t="n">
        <f aca="false">((G89*(G85))+G77)</f>
        <v>15705.1815452036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18801.6386447672</v>
      </c>
      <c r="C92" s="93"/>
      <c r="D92" s="93"/>
      <c r="E92" s="113"/>
      <c r="F92" s="56" t="s">
        <v>116</v>
      </c>
      <c r="G92" s="65" t="n">
        <f aca="false">(G90+G91)</f>
        <v>15705.1815452036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74.0571428571429</v>
      </c>
      <c r="C94" s="93"/>
      <c r="D94" s="93"/>
      <c r="E94" s="113"/>
      <c r="F94" s="88" t="s">
        <v>117</v>
      </c>
      <c r="G94" s="94" t="n">
        <f aca="false">IF(B26="YES",((E40/B85)*(1+A108)*(C45/100)),"0")</f>
        <v>61.7142857142857</v>
      </c>
      <c r="H94" s="33"/>
      <c r="J94" s="88" t="s">
        <v>117</v>
      </c>
      <c r="K94" s="89" t="n">
        <f aca="false">((E40/K85)*(1+J108))*1.2</f>
        <v>195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154.285714285714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185.142857142857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537.189675564776</v>
      </c>
      <c r="C95" s="93"/>
      <c r="D95" s="93"/>
      <c r="E95" s="113"/>
      <c r="F95" s="95" t="s">
        <v>118</v>
      </c>
      <c r="G95" s="96" t="n">
        <f aca="false">G92/(G85)</f>
        <v>448.719472720103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611.246818421919</v>
      </c>
      <c r="C96" s="93"/>
      <c r="D96" s="93"/>
      <c r="E96" s="113"/>
      <c r="F96" s="97" t="s">
        <v>119</v>
      </c>
      <c r="G96" s="98" t="n">
        <f aca="false">G94+G95</f>
        <v>510.433758434388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21583.33</v>
      </c>
      <c r="C121" s="121" t="n">
        <v>23333.33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21583.33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21583.33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4316.666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25899.996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25899.996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-21874.9966666667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27999.996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537.189675564776</v>
      </c>
      <c r="B167" s="177" t="n">
        <f aca="false">B94</f>
        <v>74.0571428571429</v>
      </c>
      <c r="C167" s="174"/>
      <c r="D167" s="174"/>
      <c r="E167" s="177" t="n">
        <f aca="false">B96</f>
        <v>611.246818421919</v>
      </c>
      <c r="F167" s="23"/>
      <c r="G167" s="23" t="n">
        <f aca="false">ROUND(G95, 2)</f>
        <v>448.72</v>
      </c>
      <c r="H167" s="33"/>
      <c r="J167" s="176" t="e">
        <f aca="false">K95</f>
        <v>#VALUE!</v>
      </c>
      <c r="K167" s="177" t="n">
        <f aca="false">K94</f>
        <v>195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154.285714285714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185.142857142857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10801.6426447672</v>
      </c>
      <c r="B182" s="103" t="str">
        <f aca="false">B114</f>
        <v>239.99</v>
      </c>
      <c r="C182" s="103"/>
      <c r="D182" s="23"/>
      <c r="E182" s="103" t="n">
        <f aca="false">E179+A182+B182+A185</f>
        <v>39051.6286447672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IF(A40=0,(E167+A185),(E170+A185))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8.9772</v>
      </c>
      <c r="B188" s="103" t="n">
        <f aca="false">(G158*B67)/1.2</f>
        <v>233.3333</v>
      </c>
      <c r="C188" s="93"/>
      <c r="D188" s="93"/>
      <c r="E188" s="103" t="n">
        <f aca="false">(E40*A108)*0.1*(C45/100)</f>
        <v>36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135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90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90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369.324966666667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611.246818421919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7705.20399999999</v>
      </c>
      <c r="B201" s="186" t="n">
        <f aca="false">E179+A201+B182+A185</f>
        <v>35955.19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537.189675564776</v>
      </c>
      <c r="B212" s="177" t="n">
        <f aca="false">B167</f>
        <v>74.0571428571429</v>
      </c>
      <c r="C212" s="174"/>
      <c r="D212" s="174"/>
      <c r="E212" s="177" t="n">
        <f aca="false">E167</f>
        <v>611.246818421919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10801.6426447672</v>
      </c>
      <c r="B224" s="103" t="str">
        <f aca="false">B182</f>
        <v>239.99</v>
      </c>
      <c r="C224" s="103"/>
      <c r="D224" s="113"/>
      <c r="E224" s="103" t="n">
        <f aca="false">E182</f>
        <v>39051.6286447672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537.189675564776</v>
      </c>
      <c r="B230" s="103" t="n">
        <f aca="false">B167</f>
        <v>74.0571428571429</v>
      </c>
      <c r="C230" s="186"/>
      <c r="D230" s="186"/>
      <c r="E230" s="103" t="n">
        <f aca="false">E167</f>
        <v>611.246818421919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A188</f>
        <v>8.9772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233.3333</v>
      </c>
      <c r="C240" s="93"/>
      <c r="D240" s="93"/>
      <c r="E240" s="103" t="n">
        <f aca="false">E188</f>
        <v>36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2119.32496666667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3106.43864476716</v>
      </c>
      <c r="C254" s="197"/>
      <c r="D254" s="198" t="s">
        <v>216</v>
      </c>
      <c r="E254" s="198"/>
      <c r="F254" s="200" t="n">
        <f aca="false">F261+F267+F269+B270+B271</f>
        <v>279.99996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459.991666666667</v>
      </c>
      <c r="C255" s="197"/>
      <c r="D255" s="198" t="s">
        <v>218</v>
      </c>
      <c r="E255" s="198"/>
      <c r="F255" s="200" t="n">
        <f aca="false">(B254-F254)+B255</f>
        <v>3286.43035143382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3106.43864476716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279.99996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360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3286.43035143382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18400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297.518791361703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297.518791361703</v>
      </c>
      <c r="B36" s="232" t="str">
        <f aca="false">IF(B26="YES", K42, "0.00")</f>
        <v>0.00</v>
      </c>
      <c r="C36" s="232"/>
      <c r="D36" s="232"/>
      <c r="E36" s="232" t="n">
        <f aca="false">K31</f>
        <v>18400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38273.5898011779</v>
      </c>
      <c r="N39" s="1" t="n">
        <f aca="false">K39-L39</f>
        <v>-16273.5898011779</v>
      </c>
      <c r="P39" s="212"/>
    </row>
    <row r="40" customFormat="false" ht="17.35" hidden="false" customHeight="false" outlineLevel="0" collapsed="false">
      <c r="A40" s="107" t="n">
        <f aca="false">E36*A45/100</f>
        <v>18400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15333.3333333333</v>
      </c>
      <c r="L40" s="2" t="n">
        <f aca="false">K39-L39</f>
        <v>-16273.5898011779</v>
      </c>
      <c r="N40" s="1" t="n">
        <f aca="false">N38-N39</f>
        <v>19185.2698011779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12364.4182398713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9635.58176012866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297.518791361703</v>
      </c>
      <c r="L47" s="2" t="n">
        <f aca="false">L49-K42</f>
        <v>800</v>
      </c>
      <c r="M47" s="1" t="n">
        <f aca="false">K47-L47</f>
        <v>-502.481208638297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297.518791361703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297.518791361703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4332.28686118387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212.499966666667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297.518791361703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297.518791361703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297.518791361703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297.518791361703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25499.996</v>
      </c>
      <c r="C81" s="93"/>
      <c r="D81" s="93"/>
      <c r="E81" s="113"/>
      <c r="F81" s="25" t="s">
        <v>105</v>
      </c>
      <c r="G81" s="27" t="n">
        <f aca="false">G158</f>
        <v>25499.996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18400</v>
      </c>
      <c r="C82" s="93"/>
      <c r="D82" s="93"/>
      <c r="E82" s="113"/>
      <c r="F82" s="31" t="s">
        <v>106</v>
      </c>
      <c r="G82" s="33" t="n">
        <f aca="false">IF(A111 = "Yes", A40, 0)</f>
        <v>18400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18400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18400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12860.2190731416</v>
      </c>
      <c r="C86" s="93"/>
      <c r="D86" s="93"/>
      <c r="E86" s="113"/>
      <c r="F86" s="31" t="s">
        <v>110</v>
      </c>
      <c r="G86" s="33" t="n">
        <f aca="false">(G82/((1+G84)^(G85+1)))</f>
        <v>14923.8528155247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12447.0083963501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12447.0083963501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12639.7769268584</v>
      </c>
      <c r="C88" s="93"/>
      <c r="D88" s="93"/>
      <c r="E88" s="113"/>
      <c r="F88" s="31" t="s">
        <v>112</v>
      </c>
      <c r="G88" s="33" t="n">
        <f aca="false">G81-G86</f>
        <v>10576.1431844753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429.798952863005</v>
      </c>
      <c r="C89" s="93"/>
      <c r="D89" s="93"/>
      <c r="E89" s="113"/>
      <c r="F89" s="31" t="s">
        <v>113</v>
      </c>
      <c r="G89" s="33" t="n">
        <f aca="false">(G88/G87)</f>
        <v>334.948980635417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15042.9633502052</v>
      </c>
      <c r="C90" s="93"/>
      <c r="D90" s="93"/>
      <c r="E90" s="113"/>
      <c r="F90" s="31" t="s">
        <v>114</v>
      </c>
      <c r="G90" s="33" t="n">
        <f aca="false">((G89*(G85))+G77)</f>
        <v>11723.2143222396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15042.9633502052</v>
      </c>
      <c r="C92" s="93"/>
      <c r="D92" s="93"/>
      <c r="E92" s="113"/>
      <c r="F92" s="56" t="s">
        <v>116</v>
      </c>
      <c r="G92" s="65" t="n">
        <f aca="false">(G90+G91)</f>
        <v>11723.2143222396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429.798952863005</v>
      </c>
      <c r="C95" s="93"/>
      <c r="D95" s="93"/>
      <c r="E95" s="113"/>
      <c r="F95" s="95" t="s">
        <v>118</v>
      </c>
      <c r="G95" s="96" t="n">
        <f aca="false">G92/(G85)</f>
        <v>334.948980635417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429.798952863005</v>
      </c>
      <c r="C96" s="93"/>
      <c r="D96" s="93"/>
      <c r="E96" s="113"/>
      <c r="F96" s="97" t="s">
        <v>119</v>
      </c>
      <c r="G96" s="98" t="n">
        <f aca="false">G94+G95</f>
        <v>334.948980635417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23333.33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23333.33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23333.33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4666.666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27999.996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27999.996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1333.33</v>
      </c>
      <c r="I148" s="1" t="n">
        <f aca="false">(H148-G81)/1.2</f>
        <v>-20138.8883333333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25499.996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429.798952863005</v>
      </c>
      <c r="B167" s="177" t="str">
        <f aca="false">B94</f>
        <v>0</v>
      </c>
      <c r="C167" s="174"/>
      <c r="D167" s="174"/>
      <c r="E167" s="177" t="n">
        <f aca="false">B96</f>
        <v>429.798952863005</v>
      </c>
      <c r="F167" s="23"/>
      <c r="G167" s="23" t="n">
        <f aca="false">ROUND(G95, 2)</f>
        <v>334.95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18400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18400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18400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18400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23333.33</v>
      </c>
      <c r="B173" s="103" t="n">
        <f aca="false">H137</f>
        <v>4666.666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27999.996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25499.996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7942.96735020517</v>
      </c>
      <c r="B182" s="103" t="str">
        <f aca="false">B114</f>
        <v>199.99</v>
      </c>
      <c r="C182" s="103"/>
      <c r="D182" s="23"/>
      <c r="E182" s="103" t="n">
        <f aca="false">E179+A182+(B182*1.2)+A185</f>
        <v>33692.9513502052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18410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18420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18410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18410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212.499966666667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312.489966666667</v>
      </c>
      <c r="C191" s="93"/>
      <c r="D191" s="93"/>
      <c r="E191" s="103" t="n">
        <f aca="false">H148</f>
        <v>1333.33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429.798952863005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4623.254</v>
      </c>
      <c r="B201" s="186" t="n">
        <f aca="false">E179+A201+(B182*1.2)+A185</f>
        <v>30373.238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429.798952863005</v>
      </c>
      <c r="B212" s="177" t="str">
        <f aca="false">B167</f>
        <v>0</v>
      </c>
      <c r="C212" s="174"/>
      <c r="D212" s="174"/>
      <c r="E212" s="177" t="n">
        <f aca="false">E167</f>
        <v>429.798952863005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23333.33</v>
      </c>
      <c r="B215" s="103" t="n">
        <f aca="false">B173</f>
        <v>4666.666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27999.996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25499.996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7942.96735020517</v>
      </c>
      <c r="B224" s="103" t="str">
        <f aca="false">B182</f>
        <v>199.99</v>
      </c>
      <c r="C224" s="103"/>
      <c r="D224" s="113"/>
      <c r="E224" s="103" t="n">
        <f aca="false">E182</f>
        <v>33692.9513502052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429.798952863005</v>
      </c>
      <c r="B230" s="103" t="str">
        <f aca="false">B167</f>
        <v>0</v>
      </c>
      <c r="C230" s="186"/>
      <c r="D230" s="186"/>
      <c r="E230" s="103" t="n">
        <f aca="false">E167</f>
        <v>429.798952863005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18400</v>
      </c>
      <c r="B233" s="103" t="n">
        <f aca="false">E185</f>
        <v>18410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1333.33</v>
      </c>
      <c r="B240" s="103" t="n">
        <f aca="false">B68</f>
        <v>212.499966666667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1645.81996666667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3329.71335020517</v>
      </c>
      <c r="C254" s="197"/>
      <c r="D254" s="198" t="s">
        <v>216</v>
      </c>
      <c r="E254" s="198"/>
      <c r="F254" s="200" t="n">
        <f aca="false">F261+F267+F269+B270+B271</f>
        <v>254.99996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3174.70339020517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3329.71335020517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254.99996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3174.70339020517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1812.99972</v>
      </c>
      <c r="C64" s="215" t="n">
        <v>10000</v>
      </c>
      <c r="D64" s="291" t="n">
        <f aca="false">B64</f>
        <v>1812.99972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129.49998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3093.66638666667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257.805532222222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10926.799664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77.1355361516741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11003.9352001517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916.99460001264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916.99460001264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916.99460001264</v>
      </c>
      <c r="B128" s="321" t="n">
        <f aca="false">IF(A105="YES", B89, 0)</f>
        <v>0</v>
      </c>
      <c r="C128" s="326"/>
      <c r="D128" s="321" t="n">
        <f aca="false">B91</f>
        <v>916.99460001264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8252.95140011376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8252.95140011376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916.99460001264</v>
      </c>
      <c r="B137" s="38" t="n">
        <f aca="false">IF(A105="YES", B89, 0)</f>
        <v>0</v>
      </c>
      <c r="C137" s="317"/>
      <c r="D137" s="38" t="n">
        <f aca="false">B91</f>
        <v>916.99460001264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129.49998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629.48998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916.99460001264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916.99460001264</v>
      </c>
      <c r="B171" s="355" t="n">
        <f aca="false">IF(A105="YES", B89, 0)</f>
        <v>0</v>
      </c>
      <c r="C171" s="358"/>
      <c r="D171" s="355" t="n">
        <f aca="false">B91</f>
        <v>916.99460001264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8252.95140011376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8252.95140011376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916.99460001264</v>
      </c>
      <c r="B180" s="103" t="n">
        <f aca="false">IF(A105="YES", B89, 0)</f>
        <v>0</v>
      </c>
      <c r="C180" s="353"/>
      <c r="D180" s="103" t="n">
        <f aca="false">B91</f>
        <v>916.99460001264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129.49998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629.48998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1812.99972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129.49998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2023.48974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1812.99972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129.49998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2023.48974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77.1355361516741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1812.99972</v>
      </c>
      <c r="C64" s="215" t="n">
        <v>10000</v>
      </c>
      <c r="D64" s="291" t="n">
        <f aca="false">B64</f>
        <v>1812.99972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129.49998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3093.66638666667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257.805532222222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9105.66638666667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77.1355361516741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9182.80192281834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765.233493568195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825.233493568195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765.233493568195</v>
      </c>
      <c r="B128" s="321" t="n">
        <f aca="false">IF(A105="YES", B89, 0)</f>
        <v>60</v>
      </c>
      <c r="C128" s="326"/>
      <c r="D128" s="321" t="n">
        <f aca="false">B91</f>
        <v>825.233493568195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6887.10144211376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7427.10144211376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765.233493568195</v>
      </c>
      <c r="B137" s="38" t="n">
        <f aca="false">IF(A105="YES", B89, 0)</f>
        <v>60</v>
      </c>
      <c r="C137" s="317"/>
      <c r="D137" s="38" t="n">
        <f aca="false">B91</f>
        <v>825.233493568195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129.49998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641.48998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825.233493568195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765.233493568195</v>
      </c>
      <c r="B171" s="355" t="n">
        <f aca="false">IF(A105="YES", B89, 0)</f>
        <v>60</v>
      </c>
      <c r="C171" s="358"/>
      <c r="D171" s="355" t="n">
        <f aca="false">B91</f>
        <v>825.233493568195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6887.10144211376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7427.10144211376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765.233493568195</v>
      </c>
      <c r="B180" s="103" t="n">
        <f aca="false">IF(A105="YES", B89, 0)</f>
        <v>60</v>
      </c>
      <c r="C180" s="353"/>
      <c r="D180" s="103" t="n">
        <f aca="false">B91</f>
        <v>825.233493568195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129.49998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641.48998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1812.99972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129.49998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2143.48974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1812.99972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129.49998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2143.48974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77.1355361516741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301.455201873723</v>
      </c>
      <c r="E33" s="216"/>
      <c r="F33" s="63"/>
      <c r="G33" s="219" t="s">
        <v>356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251.455201873723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-35577.9820530432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8143.74495666159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251.455201873723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301.455201873723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301.455201873723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251.455201873723</v>
      </c>
      <c r="C83" s="473"/>
      <c r="D83" s="215"/>
      <c r="E83" s="466" t="n">
        <f aca="false">B83+E80+E77+E64</f>
        <v>549.288535207057</v>
      </c>
      <c r="F83" s="63"/>
      <c r="G83" s="305" t="s">
        <v>104</v>
      </c>
      <c r="H83" s="306" t="n">
        <f aca="false">H47</f>
        <v>251.455201873723</v>
      </c>
      <c r="I83" s="215"/>
      <c r="J83" s="215"/>
      <c r="K83" s="216"/>
      <c r="L83" s="63"/>
      <c r="M83" s="305" t="s">
        <v>104</v>
      </c>
      <c r="N83" s="306" t="n">
        <f aca="false">H47</f>
        <v>251.455201873723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19774.387267454</v>
      </c>
      <c r="C85" s="473"/>
      <c r="D85" s="473"/>
      <c r="E85" s="466" t="n">
        <f aca="false">B85/(B58+B57)</f>
        <v>549.288535207057</v>
      </c>
      <c r="F85" s="63"/>
      <c r="G85" s="288" t="s">
        <v>114</v>
      </c>
      <c r="H85" s="131" t="n">
        <f aca="false">((H83*H29)+H81)*1.2</f>
        <v>12141.7647209448</v>
      </c>
      <c r="I85" s="215"/>
      <c r="J85" s="215"/>
      <c r="K85" s="216"/>
      <c r="L85" s="63"/>
      <c r="M85" s="288" t="s">
        <v>114</v>
      </c>
      <c r="N85" s="131" t="n">
        <f aca="false">((N83*H29)+N81)</f>
        <v>9774.38726745404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167.511953455641</v>
      </c>
      <c r="C86" s="473" t="s">
        <v>230</v>
      </c>
      <c r="D86" s="215"/>
      <c r="E86" s="466" t="n">
        <f aca="false">B86/(B58+B57)</f>
        <v>4.65310981821226</v>
      </c>
      <c r="F86" s="63"/>
      <c r="G86" s="214" t="s">
        <v>115</v>
      </c>
      <c r="H86" s="300" t="n">
        <f aca="false">((((H83*H29)+H81))/(1-H70))*H70</f>
        <v>85.7123366746812</v>
      </c>
      <c r="I86" s="215"/>
      <c r="J86" s="215"/>
      <c r="K86" s="216"/>
      <c r="L86" s="63"/>
      <c r="M86" s="214" t="s">
        <v>115</v>
      </c>
      <c r="N86" s="300" t="n">
        <f aca="false">(N85/(1-N70))*N70</f>
        <v>82.8003762067506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19941.8992209097</v>
      </c>
      <c r="C87" s="473"/>
      <c r="D87" s="475"/>
      <c r="E87" s="466" t="n">
        <f aca="false">E86+E85</f>
        <v>553.941645025269</v>
      </c>
      <c r="F87" s="63"/>
      <c r="G87" s="285" t="s">
        <v>116</v>
      </c>
      <c r="H87" s="133" t="n">
        <f aca="false">IF(H110="YES",((H85+H86)-K114),(H85+H86))</f>
        <v>12227.4770576195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9857.18764366079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553.941645025269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298.231147746818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240.419210820995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618.941645025269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508.962855063891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416.028966918556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298.231147746818</v>
      </c>
      <c r="H127" s="177" t="n">
        <f aca="false">IF(G105="YES", H89*H57, 0)</f>
        <v>1264.39024390244</v>
      </c>
      <c r="I127" s="177"/>
      <c r="J127" s="334" t="n">
        <f aca="false">H91</f>
        <v>508.962855063891</v>
      </c>
      <c r="K127" s="216"/>
      <c r="L127" s="63"/>
      <c r="M127" s="333" t="n">
        <f aca="false">N90</f>
        <v>240.419210820995</v>
      </c>
      <c r="N127" s="177" t="n">
        <f aca="false">IF(M105="YES", N89*N57, 0)</f>
        <v>1053.65853658537</v>
      </c>
      <c r="O127" s="177"/>
      <c r="P127" s="177" t="n">
        <f aca="false">N91</f>
        <v>416.028966918556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553.941645025269</v>
      </c>
      <c r="B128" s="321" t="n">
        <f aca="false">IF(A105="YES", B89, 0)</f>
        <v>65</v>
      </c>
      <c r="C128" s="325"/>
      <c r="D128" s="321" t="n">
        <f aca="false">B91</f>
        <v>618.941645025269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553.941645025269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1789.38688648091</v>
      </c>
      <c r="H133" s="103" t="n">
        <f aca="false">IF(G105="YES", H89*H57, 0)</f>
        <v>1264.39024390244</v>
      </c>
      <c r="I133" s="221"/>
      <c r="J133" s="184" t="n">
        <f aca="false">H91*H57</f>
        <v>3053.77713038335</v>
      </c>
      <c r="K133" s="216"/>
      <c r="L133" s="63"/>
      <c r="M133" s="185" t="n">
        <f aca="false">N90*N57</f>
        <v>1442.51526492597</v>
      </c>
      <c r="N133" s="103" t="n">
        <f aca="false">IF(M105="YES", N89*N57, 0)</f>
        <v>1053.65853658537</v>
      </c>
      <c r="O133" s="221"/>
      <c r="P133" s="184" t="n">
        <f aca="false">N91*N57</f>
        <v>2496.17380151134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618.941645025269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553.941645025269</v>
      </c>
      <c r="B137" s="38" t="n">
        <f aca="false">IF(A105="YES", B89, 0)</f>
        <v>65</v>
      </c>
      <c r="C137" s="317"/>
      <c r="D137" s="38" t="n">
        <f aca="false">B91</f>
        <v>618.941645025269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258.99996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412.98996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508.962855063891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416.028966918556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618.941645025269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553.941645025269</v>
      </c>
      <c r="B177" s="355" t="n">
        <f aca="false">IF(A105="YES", B89, 0)</f>
        <v>65</v>
      </c>
      <c r="C177" s="357"/>
      <c r="D177" s="355" t="n">
        <f aca="false">B91</f>
        <v>618.941645025269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553.941645025269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618.941645025269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553.941645025269</v>
      </c>
      <c r="B186" s="103" t="n">
        <f aca="false">IF(A105="YES", B89, 0)</f>
        <v>65</v>
      </c>
      <c r="C186" s="353"/>
      <c r="D186" s="103" t="n">
        <f aca="false">B91</f>
        <v>618.941645025269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258.99996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412.98996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10380.99004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10380.99004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167.511953455641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361.542742530583</v>
      </c>
      <c r="E33" s="216"/>
      <c r="F33" s="63"/>
      <c r="G33" s="219" t="s">
        <v>356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311.542742530583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53464.0373520899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-31880.7073520899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12018.9469396048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9564.38306039522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30.7000669722112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311.542742530583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361.542742530583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361.542742530583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2719.49958</v>
      </c>
      <c r="C64" s="465" t="n">
        <v>10000</v>
      </c>
      <c r="D64" s="291" t="n">
        <f aca="false">B64</f>
        <v>2719.49958</v>
      </c>
      <c r="E64" s="466" t="n">
        <f aca="false">D64/(B58+B57)</f>
        <v>75.541655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3996.49958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111.013877222222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311.542742530583</v>
      </c>
      <c r="C83" s="473"/>
      <c r="D83" s="215"/>
      <c r="E83" s="466" t="n">
        <f aca="false">B83+E80+E77+E64</f>
        <v>422.556619752805</v>
      </c>
      <c r="F83" s="63"/>
      <c r="G83" s="305" t="s">
        <v>104</v>
      </c>
      <c r="H83" s="306" t="n">
        <f aca="false">H47</f>
        <v>311.542742530583</v>
      </c>
      <c r="I83" s="215"/>
      <c r="J83" s="215"/>
      <c r="K83" s="216"/>
      <c r="L83" s="63"/>
      <c r="M83" s="305" t="s">
        <v>104</v>
      </c>
      <c r="N83" s="306" t="n">
        <f aca="false">H47</f>
        <v>311.542742530583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18254.4459733212</v>
      </c>
      <c r="C85" s="473"/>
      <c r="D85" s="473"/>
      <c r="E85" s="466" t="n">
        <f aca="false">B85/(B58+B57)</f>
        <v>507.067943703366</v>
      </c>
      <c r="F85" s="63"/>
      <c r="G85" s="288" t="s">
        <v>114</v>
      </c>
      <c r="H85" s="131" t="n">
        <f aca="false">((H83*H29)+H81)*1.2</f>
        <v>14737.5464773212</v>
      </c>
      <c r="I85" s="215"/>
      <c r="J85" s="215"/>
      <c r="K85" s="216"/>
      <c r="L85" s="63"/>
      <c r="M85" s="288" t="s">
        <v>114</v>
      </c>
      <c r="N85" s="131" t="n">
        <f aca="false">((N83*H29)+N81)</f>
        <v>11937.538731101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128.863575850391</v>
      </c>
      <c r="C86" s="473" t="s">
        <v>230</v>
      </c>
      <c r="D86" s="215"/>
      <c r="E86" s="466" t="n">
        <f aca="false">B86/(B58+B57)</f>
        <v>3.57954377362199</v>
      </c>
      <c r="F86" s="63"/>
      <c r="G86" s="214" t="s">
        <v>115</v>
      </c>
      <c r="H86" s="300" t="n">
        <f aca="false">((((H83*H29)+H81))/(1-H70))*H70</f>
        <v>104.036733906059</v>
      </c>
      <c r="I86" s="215"/>
      <c r="J86" s="215"/>
      <c r="K86" s="216"/>
      <c r="L86" s="63"/>
      <c r="M86" s="214" t="s">
        <v>115</v>
      </c>
      <c r="N86" s="300" t="n">
        <f aca="false">(N85/(1-N70))*N70</f>
        <v>101.124773438128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18383.3095491716</v>
      </c>
      <c r="C87" s="473"/>
      <c r="D87" s="475"/>
      <c r="E87" s="466" t="n">
        <f aca="false">E86+E85</f>
        <v>510.647487476988</v>
      </c>
      <c r="F87" s="63"/>
      <c r="G87" s="285" t="s">
        <v>116</v>
      </c>
      <c r="H87" s="133" t="n">
        <f aca="false">IF(H110="YES",((H85+H86)-K114),(H85+H86))</f>
        <v>14841.5832112272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12038.6635045391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72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510.647487476988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361.989834420176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293.6259391351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582.647487476988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572.721541737249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469.235695232661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1239.99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361.989834420176</v>
      </c>
      <c r="H127" s="177" t="n">
        <f aca="false">IF(G105="YES", H89*H57, 0)</f>
        <v>1264.39024390244</v>
      </c>
      <c r="I127" s="177"/>
      <c r="J127" s="334" t="n">
        <f aca="false">H91</f>
        <v>572.721541737249</v>
      </c>
      <c r="K127" s="216"/>
      <c r="L127" s="63"/>
      <c r="M127" s="333" t="n">
        <f aca="false">N90</f>
        <v>293.6259391351</v>
      </c>
      <c r="N127" s="177" t="n">
        <f aca="false">IF(M105="YES", N89*N57, 0)</f>
        <v>1053.65853658537</v>
      </c>
      <c r="O127" s="177"/>
      <c r="P127" s="177" t="n">
        <f aca="false">N91</f>
        <v>469.235695232661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510.647487476988</v>
      </c>
      <c r="B128" s="321" t="n">
        <f aca="false">IF(A105="YES", B89, 0)</f>
        <v>72</v>
      </c>
      <c r="C128" s="325"/>
      <c r="D128" s="321" t="n">
        <f aca="false">B91</f>
        <v>582.647487476988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510.647487476988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2171.93900652106</v>
      </c>
      <c r="H133" s="103" t="n">
        <f aca="false">IF(G105="YES", H89*H57, 0)</f>
        <v>1264.39024390244</v>
      </c>
      <c r="I133" s="221"/>
      <c r="J133" s="184" t="n">
        <f aca="false">H91*H57</f>
        <v>3436.3292504235</v>
      </c>
      <c r="K133" s="216"/>
      <c r="L133" s="63"/>
      <c r="M133" s="185" t="n">
        <f aca="false">N90*N57</f>
        <v>1761.7556348106</v>
      </c>
      <c r="N133" s="103" t="n">
        <f aca="false">IF(M105="YES", N89*N57, 0)</f>
        <v>1053.65853658537</v>
      </c>
      <c r="O133" s="221"/>
      <c r="P133" s="184" t="n">
        <f aca="false">N91*N57</f>
        <v>2815.41417139597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582.647487476988</v>
      </c>
      <c r="B134" s="38" t="n">
        <f aca="false">E114</f>
        <v>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510.647487476988</v>
      </c>
      <c r="B137" s="38" t="n">
        <f aca="false">IF(A105="YES", B89, 0)</f>
        <v>72</v>
      </c>
      <c r="C137" s="317"/>
      <c r="D137" s="38" t="n">
        <f aca="false">B91</f>
        <v>582.647487476988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258.99996</v>
      </c>
      <c r="B148" s="103" t="n">
        <f aca="false">B102</f>
        <v>0</v>
      </c>
      <c r="C148" s="38"/>
      <c r="D148" s="38" t="n">
        <f aca="false">IF(A105="YES", (B40*B105)*B125, 0)*0.1</f>
        <v>36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434.98996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572.721541737249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469.235695232661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582.647487476988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510.647487476988</v>
      </c>
      <c r="B177" s="355" t="n">
        <f aca="false">IF(A105="YES", B89, 0)</f>
        <v>72</v>
      </c>
      <c r="C177" s="357"/>
      <c r="D177" s="355" t="n">
        <f aca="false">B91</f>
        <v>582.647487476988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510.647487476988</v>
      </c>
      <c r="C180" s="353"/>
      <c r="D180" s="103" t="n">
        <f aca="false">IF(A105="YES", B89*B57,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582.647487476988</v>
      </c>
      <c r="B183" s="103" t="n">
        <f aca="false">E114</f>
        <v>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510.647487476988</v>
      </c>
      <c r="B186" s="103" t="n">
        <f aca="false">IF(A105="YES", B89, 0)</f>
        <v>72</v>
      </c>
      <c r="C186" s="353"/>
      <c r="D186" s="103" t="n">
        <f aca="false">B91</f>
        <v>582.647487476988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258.99996</v>
      </c>
      <c r="B197" s="103" t="n">
        <f aca="false">B102</f>
        <v>0</v>
      </c>
      <c r="C197" s="103"/>
      <c r="D197" s="103" t="n">
        <f aca="false">IF(A105="YES", (B40*B105)*B125, 0)*0.1</f>
        <v>36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434.98996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2719.49958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459.991666666667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2920.49128666667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2719.49958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2920.49128666667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360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128.863575850391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290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45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E15*B72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2078.96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173.246666666667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6747.552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47.6329810407422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6795.18498104074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566.265415086729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566.265415086729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566.265415086729</v>
      </c>
      <c r="B134" s="321" t="n">
        <f aca="false">IF(A111="YES", B95, 0)</f>
        <v>0</v>
      </c>
      <c r="C134" s="325"/>
      <c r="D134" s="321" t="n">
        <f aca="false">B97</f>
        <v>566.265415086729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566.265415086729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566.265415086729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566.265415086729</v>
      </c>
      <c r="B143" s="38" t="n">
        <f aca="false">IF(A111="YES", B95, 0)</f>
        <v>0</v>
      </c>
      <c r="C143" s="317"/>
      <c r="D143" s="38" t="n">
        <f aca="false">B97</f>
        <v>566.265415086729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206.356666666667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566.265415086729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566.265415086729</v>
      </c>
      <c r="B177" s="355" t="n">
        <f aca="false">IF(A111="YES", B95, 0)</f>
        <v>0</v>
      </c>
      <c r="C177" s="357"/>
      <c r="D177" s="355" t="n">
        <f aca="false">A177+B177</f>
        <v>566.265415086729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566.265415086729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566.265415086729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566.265415086729</v>
      </c>
      <c r="B186" s="103" t="n">
        <f aca="false">IF(A111="YES", B95, 0)</f>
        <v>0</v>
      </c>
      <c r="C186" s="353"/>
      <c r="D186" s="103" t="n">
        <f aca="false">B97</f>
        <v>566.265415086729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206.356666666667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99.9916666666667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1458.58666666667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1458.58666666667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47.6329810407422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700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645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58585</v>
      </c>
      <c r="F15" s="388"/>
      <c r="G15" s="17" t="n">
        <f aca="false">E15</f>
        <v>58585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58585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45174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48937.5</v>
      </c>
      <c r="B35" s="223" t="s">
        <v>45</v>
      </c>
      <c r="C35" s="223"/>
      <c r="D35" s="279" t="n">
        <f aca="false">A35-B35</f>
        <v>47937.5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289.425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659.833333333333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370</v>
      </c>
      <c r="C81" s="317"/>
      <c r="D81" s="317"/>
      <c r="E81" s="318" t="n">
        <f aca="false">E80/12</f>
        <v>54.9861111111111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45.8333333333333</v>
      </c>
      <c r="C82" s="317"/>
      <c r="D82" s="32" t="n">
        <f aca="false">IF(A50="YES", 0, B82)</f>
        <v>45.8333333333333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5378.45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448.204166666667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2762.95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23.4053852359823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2786.35538523598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232.196282102999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297.196282102999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232.196282102999</v>
      </c>
      <c r="B134" s="321" t="n">
        <f aca="false">IF(A111="YES", B95, 0)</f>
        <v>65</v>
      </c>
      <c r="C134" s="326"/>
      <c r="D134" s="321" t="n">
        <f aca="false">B97</f>
        <v>297.196282102999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2089.76653892699</v>
      </c>
      <c r="C137" s="317"/>
      <c r="D137" s="38" t="n">
        <f aca="false">IF(A111="YES", B95*B63, 0)</f>
        <v>585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2674.76653892699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0.35151</v>
      </c>
      <c r="H142" s="38" t="n">
        <f aca="false">IF(G111="YES", E15*0.000002, 0)</f>
        <v>0.11717</v>
      </c>
      <c r="I142" s="38"/>
      <c r="J142" s="38" t="n">
        <f aca="false">G142+H142</f>
        <v>0.46868</v>
      </c>
      <c r="K142" s="105"/>
      <c r="L142" s="388"/>
      <c r="M142" s="111" t="n">
        <f aca="false">E15*0.000006</f>
        <v>0.35151</v>
      </c>
      <c r="N142" s="38" t="n">
        <f aca="false">IF(M111="YES", E15*0.000002, 0)</f>
        <v>0.11717</v>
      </c>
      <c r="O142" s="38"/>
      <c r="P142" s="38" t="n">
        <f aca="false">M142+N142</f>
        <v>0.46868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232.196282102999</v>
      </c>
      <c r="B143" s="38" t="n">
        <f aca="false">IF(A111="YES", B95, 0)</f>
        <v>65</v>
      </c>
      <c r="C143" s="317"/>
      <c r="D143" s="38" t="n">
        <f aca="false">B97</f>
        <v>297.196282102999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297.196282102999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232.196282102999</v>
      </c>
      <c r="B177" s="355" t="n">
        <f aca="false">IF(A111="YES", B95, 0)</f>
        <v>65</v>
      </c>
      <c r="C177" s="358"/>
      <c r="D177" s="355" t="n">
        <f aca="false">B91</f>
        <v>2762.95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2089.76653892699</v>
      </c>
      <c r="C180" s="353"/>
      <c r="D180" s="103" t="n">
        <f aca="false">IF(A111="YES", B95*B63, 0)</f>
        <v>585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2674.76653892699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232.196282102999</v>
      </c>
      <c r="B186" s="103" t="n">
        <f aca="false">IF(A111="YES", B95, 0)</f>
        <v>65</v>
      </c>
      <c r="C186" s="353"/>
      <c r="D186" s="103" t="n">
        <f aca="false">B97</f>
        <v>297.196282102999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807.415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4282.515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4282.515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23.4053852359823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60" colorId="64" zoomScale="85" zoomScaleNormal="85" zoomScalePageLayoutView="100" workbookViewId="0">
      <selection pane="topLeft" activeCell="F271" activeCellId="0" sqref="F27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290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248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45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18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199.99</v>
      </c>
      <c r="C191" s="103"/>
      <c r="D191" s="23"/>
      <c r="E191" s="103" t="n">
        <f aca="false">E188+A191+(B191*1.2)+A194</f>
        <v>20891.912318412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266.1853125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E188+A210+(B191*1.2)+A194</f>
        <v>20295.428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199.99</v>
      </c>
      <c r="C233" s="103"/>
      <c r="D233" s="113"/>
      <c r="E233" s="103" t="n">
        <f aca="false">E191</f>
        <v>20891.912318412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266.1853125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507.039943412018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606.484318412018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507.039943412018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248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45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19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239.99</v>
      </c>
      <c r="C191" s="103"/>
      <c r="D191" s="23"/>
      <c r="E191" s="103" t="n">
        <f aca="false">E188+A191+B191+A194</f>
        <v>57034.0691451533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13.8924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557.686979166667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E188+A210+B191+A194</f>
        <v>53109.83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239.99</v>
      </c>
      <c r="C233" s="103"/>
      <c r="D233" s="113"/>
      <c r="E233" s="103" t="n">
        <f aca="false">E191</f>
        <v>57034.0691451533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41.6772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13.8924</v>
      </c>
      <c r="B245" s="103" t="n">
        <f aca="false">E242+A245</f>
        <v>55.5696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557.686979166667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3484.99643681999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3934.23914515333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3484.99643681999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21583.33</v>
      </c>
      <c r="C2" s="4" t="s">
        <v>2</v>
      </c>
      <c r="D2" s="5" t="n">
        <f aca="false">C9</f>
        <v>4316.666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21583.33</v>
      </c>
      <c r="C9" s="14" t="n">
        <f aca="false">B9*0.2</f>
        <v>4316.666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21583.33</v>
      </c>
      <c r="C15" s="14" t="n">
        <f aca="false">SUM(C9:C13)</f>
        <v>4316.666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301.455201873723</v>
      </c>
      <c r="E33" s="216"/>
      <c r="F33" s="63"/>
      <c r="G33" s="219" t="s">
        <v>356</v>
      </c>
      <c r="H33" s="460" t="n">
        <f aca="false">E21-E11</f>
        <v>21583.33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251.455201873723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21583.33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-35577.9820530432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8143.74495666159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251.455201873723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301.455201873723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301.455201873723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11943.6666666667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331.768518518518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251.455201873723</v>
      </c>
      <c r="C83" s="473"/>
      <c r="D83" s="215"/>
      <c r="E83" s="466" t="n">
        <f aca="false">B83+E80+E77+E64</f>
        <v>577.050880886069</v>
      </c>
      <c r="F83" s="63"/>
      <c r="G83" s="305" t="s">
        <v>104</v>
      </c>
      <c r="H83" s="306" t="n">
        <f aca="false">H47</f>
        <v>251.455201873723</v>
      </c>
      <c r="I83" s="215"/>
      <c r="J83" s="215"/>
      <c r="K83" s="216"/>
      <c r="L83" s="63"/>
      <c r="M83" s="305" t="s">
        <v>104</v>
      </c>
      <c r="N83" s="306" t="n">
        <f aca="false">H47</f>
        <v>251.455201873723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20996.0539341207</v>
      </c>
      <c r="C85" s="473"/>
      <c r="D85" s="473"/>
      <c r="E85" s="466" t="n">
        <f aca="false">B85/(B58+B57)</f>
        <v>583.223720392242</v>
      </c>
      <c r="F85" s="63"/>
      <c r="G85" s="288" t="s">
        <v>114</v>
      </c>
      <c r="H85" s="131" t="n">
        <f aca="false">((H83*H29)+H81)*1.2</f>
        <v>12141.7647209448</v>
      </c>
      <c r="I85" s="215"/>
      <c r="J85" s="215"/>
      <c r="K85" s="216"/>
      <c r="L85" s="63"/>
      <c r="M85" s="288" t="s">
        <v>114</v>
      </c>
      <c r="N85" s="131" t="n">
        <f aca="false">((N83*H29)+N81)</f>
        <v>9774.38726745404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177.860884476214</v>
      </c>
      <c r="C86" s="473" t="s">
        <v>230</v>
      </c>
      <c r="D86" s="215"/>
      <c r="E86" s="466" t="n">
        <f aca="false">B86/(B58+B57)</f>
        <v>4.94058012433928</v>
      </c>
      <c r="F86" s="63"/>
      <c r="G86" s="214" t="s">
        <v>115</v>
      </c>
      <c r="H86" s="300" t="n">
        <f aca="false">((((H83*H29)+H81))/(1-H70))*H70</f>
        <v>85.7123366746812</v>
      </c>
      <c r="I86" s="215"/>
      <c r="J86" s="215"/>
      <c r="K86" s="216"/>
      <c r="L86" s="63"/>
      <c r="M86" s="214" t="s">
        <v>115</v>
      </c>
      <c r="N86" s="300" t="n">
        <f aca="false">(N85/(1-N70))*N70</f>
        <v>82.8003762067506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21173.9148185969</v>
      </c>
      <c r="C87" s="473"/>
      <c r="D87" s="475"/>
      <c r="E87" s="466" t="n">
        <f aca="false">E86+E85</f>
        <v>588.164300516581</v>
      </c>
      <c r="F87" s="63"/>
      <c r="G87" s="285" t="s">
        <v>116</v>
      </c>
      <c r="H87" s="133" t="n">
        <f aca="false">IF(H110="YES",((H85+H86)-K114),(H85+H86))</f>
        <v>12227.4770576195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9857.18764366079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588.164300516581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298.231147746818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240.419210820995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653.164300516581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508.962855063891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416.028966918556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298.231147746818</v>
      </c>
      <c r="H127" s="177" t="n">
        <f aca="false">IF(G105="YES", H89*H57, 0)</f>
        <v>1264.39024390244</v>
      </c>
      <c r="I127" s="177"/>
      <c r="J127" s="334" t="n">
        <f aca="false">H91</f>
        <v>508.962855063891</v>
      </c>
      <c r="K127" s="216"/>
      <c r="L127" s="63"/>
      <c r="M127" s="333" t="n">
        <f aca="false">N90</f>
        <v>240.419210820995</v>
      </c>
      <c r="N127" s="177" t="n">
        <f aca="false">IF(M105="YES", N89*N57, 0)</f>
        <v>1053.65853658537</v>
      </c>
      <c r="O127" s="177"/>
      <c r="P127" s="177" t="n">
        <f aca="false">N91</f>
        <v>416.028966918556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588.164300516581</v>
      </c>
      <c r="B128" s="321" t="n">
        <f aca="false">IF(A105="YES", B89, 0)</f>
        <v>65</v>
      </c>
      <c r="C128" s="325"/>
      <c r="D128" s="321" t="n">
        <f aca="false">B91</f>
        <v>653.164300516581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588.164300516581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1789.38688648091</v>
      </c>
      <c r="H133" s="103" t="n">
        <f aca="false">IF(G105="YES", H89*H57, 0)</f>
        <v>1264.39024390244</v>
      </c>
      <c r="I133" s="221"/>
      <c r="J133" s="184" t="n">
        <f aca="false">H91*H57</f>
        <v>3053.77713038335</v>
      </c>
      <c r="K133" s="216"/>
      <c r="L133" s="63"/>
      <c r="M133" s="185" t="n">
        <f aca="false">N90*N57</f>
        <v>1442.51526492597</v>
      </c>
      <c r="N133" s="103" t="n">
        <f aca="false">IF(M105="YES", N89*N57, 0)</f>
        <v>1053.65853658537</v>
      </c>
      <c r="O133" s="221"/>
      <c r="P133" s="184" t="n">
        <f aca="false">N91*N57</f>
        <v>2496.17380151134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653.164300516581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588.164300516581</v>
      </c>
      <c r="B137" s="38" t="n">
        <f aca="false">IF(A105="YES", B89, 0)</f>
        <v>65</v>
      </c>
      <c r="C137" s="317"/>
      <c r="D137" s="38" t="n">
        <f aca="false">B91</f>
        <v>653.164300516581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258.99996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812.98996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508.962855063891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416.028966918556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653.164300516581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588.164300516581</v>
      </c>
      <c r="B177" s="355" t="n">
        <f aca="false">IF(A105="YES", B89, 0)</f>
        <v>65</v>
      </c>
      <c r="C177" s="357"/>
      <c r="D177" s="355" t="n">
        <f aca="false">B91</f>
        <v>653.164300516581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588.164300516581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653.164300516581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588.164300516581</v>
      </c>
      <c r="B186" s="103" t="n">
        <f aca="false">IF(A105="YES", B89, 0)</f>
        <v>65</v>
      </c>
      <c r="C186" s="353"/>
      <c r="D186" s="103" t="n">
        <f aca="false">B91</f>
        <v>653.164300516581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258.99996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812.98996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258.99996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10620.99004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258.99996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10620.99004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177.860884476214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290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10.3333333333333</v>
      </c>
      <c r="E32" s="226"/>
      <c r="F32" s="63"/>
      <c r="G32" s="227" t="s">
        <v>243</v>
      </c>
      <c r="H32" s="225" t="n">
        <f aca="false">A41</f>
        <v>10.3333333333333</v>
      </c>
      <c r="I32" s="0"/>
      <c r="J32" s="44" t="s">
        <v>37</v>
      </c>
      <c r="K32" s="45" t="s">
        <v>384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510.333333333333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385</v>
      </c>
      <c r="I36" s="0"/>
      <c r="J36" s="44" t="s">
        <v>51</v>
      </c>
      <c r="K36" s="52" t="n">
        <f aca="false">K32-K34</f>
        <v>16785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10.3333333333333</v>
      </c>
      <c r="B41" s="241" t="n">
        <f aca="false">IF(B38="YES", D38+A41, D38)</f>
        <v>510.333333333333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10.3333333333333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510.69696969697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510.69696969697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15133.3510244565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199.434375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16785</v>
      </c>
      <c r="C81" s="93"/>
      <c r="D81" s="93"/>
      <c r="E81" s="113"/>
      <c r="F81" s="25" t="s">
        <v>105</v>
      </c>
      <c r="G81" s="27" t="n">
        <f aca="false">B81</f>
        <v>16785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4417.02452302021</v>
      </c>
      <c r="C86" s="93" t="n">
        <f aca="false">(B82/((1+B84)^(B85+1)))</f>
        <v>4417.02452302021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25.2987727608138</v>
      </c>
      <c r="C87" s="93" t="n">
        <f aca="false">((1-(1/((1+B84)^B85)))/B84)</f>
        <v>25.2987727608138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12367.9754769798</v>
      </c>
      <c r="C88" s="93" t="n">
        <f aca="false">B81-B86</f>
        <v>12367.9754769798</v>
      </c>
      <c r="D88" s="93"/>
      <c r="E88" s="113"/>
      <c r="F88" s="31" t="s">
        <v>112</v>
      </c>
      <c r="G88" s="33" t="n">
        <f aca="false">G81-G86</f>
        <v>12302.5200059278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488.876499817295</v>
      </c>
      <c r="C89" s="93" t="n">
        <f aca="false">(B88/B87)</f>
        <v>488.876499817295</v>
      </c>
      <c r="D89" s="93"/>
      <c r="E89" s="113"/>
      <c r="F89" s="31" t="s">
        <v>113</v>
      </c>
      <c r="G89" s="33" t="n">
        <f aca="false">(G88/G87)</f>
        <v>443.318905041083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15644.0479941534</v>
      </c>
      <c r="C90" s="93"/>
      <c r="D90" s="93"/>
      <c r="E90" s="113"/>
      <c r="F90" s="31" t="s">
        <v>114</v>
      </c>
      <c r="G90" s="33" t="n">
        <f aca="false">((G89*(G85))+G77)</f>
        <v>14186.2049613147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15644.0479941534</v>
      </c>
      <c r="C92" s="93"/>
      <c r="D92" s="93"/>
      <c r="E92" s="113"/>
      <c r="F92" s="56" t="s">
        <v>116</v>
      </c>
      <c r="G92" s="65" t="n">
        <f aca="false">(G90+G91)</f>
        <v>14186.2049613147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12.7875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488.876499817295</v>
      </c>
      <c r="C95" s="93"/>
      <c r="D95" s="93"/>
      <c r="E95" s="113"/>
      <c r="F95" s="95" t="s">
        <v>118</v>
      </c>
      <c r="G95" s="96" t="n">
        <f aca="false">G92/(G85)</f>
        <v>443.318905041083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501.663999817295</v>
      </c>
      <c r="C96" s="93"/>
      <c r="D96" s="93"/>
      <c r="E96" s="113"/>
      <c r="F96" s="97" t="s">
        <v>119</v>
      </c>
      <c r="G96" s="98" t="n">
        <f aca="false">G94+G95</f>
        <v>443.318905041083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/>
      <c r="E108" s="108" t="n">
        <f aca="false">B83</f>
        <v>0.179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21273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21273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-13987.5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21273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488.876499817295</v>
      </c>
      <c r="B167" s="177" t="n">
        <f aca="false">B94</f>
        <v>12.7875</v>
      </c>
      <c r="C167" s="174"/>
      <c r="D167" s="174"/>
      <c r="E167" s="177" t="n">
        <f aca="false">B96</f>
        <v>501.663999817295</v>
      </c>
      <c r="F167" s="23"/>
      <c r="G167" s="23" t="n">
        <f aca="false">ROUND(G95, 2)</f>
        <v>443.32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345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21273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21273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371.047994153436</v>
      </c>
      <c r="B182" s="103" t="str">
        <f aca="false">B114</f>
        <v>199.99</v>
      </c>
      <c r="C182" s="103"/>
      <c r="D182" s="23"/>
      <c r="E182" s="103" t="n">
        <f aca="false">E179+A182+(B182*1.2)+A185</f>
        <v>21894.0359941534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166.1953125</v>
      </c>
      <c r="C188" s="93"/>
      <c r="D188" s="93"/>
      <c r="E188" s="103" t="n">
        <f aca="false">IF(E105 = "YES" , (H36*A108)*0.1 , 0)</f>
        <v>6.82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273.0053125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501.663999817295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-1086.76</v>
      </c>
      <c r="B201" s="186" t="n">
        <f aca="false">E179+A201+(B182*1.2)+A185</f>
        <v>20436.228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488.876499817295</v>
      </c>
      <c r="B212" s="177" t="n">
        <f aca="false">B167</f>
        <v>12.7875</v>
      </c>
      <c r="C212" s="174"/>
      <c r="D212" s="174"/>
      <c r="E212" s="177" t="n">
        <f aca="false">E167</f>
        <v>501.663999817295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21273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21273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371.047994153436</v>
      </c>
      <c r="B224" s="103" t="str">
        <f aca="false">B182</f>
        <v>199.99</v>
      </c>
      <c r="C224" s="103"/>
      <c r="D224" s="113"/>
      <c r="E224" s="103" t="n">
        <f aca="false">E182</f>
        <v>21894.0359941534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488.876499817295</v>
      </c>
      <c r="B230" s="103" t="n">
        <f aca="false">B167</f>
        <v>12.7875</v>
      </c>
      <c r="C230" s="186"/>
      <c r="D230" s="186"/>
      <c r="E230" s="103" t="n">
        <f aca="false">E167</f>
        <v>501.663999817295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166.1953125</v>
      </c>
      <c r="C240" s="93"/>
      <c r="D240" s="93"/>
      <c r="E240" s="103" t="n">
        <f aca="false">IF(E105 = "YES" , (H36*A108)*0.1 , 0)</f>
        <v>6.82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273.0053125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1467.80799415344</v>
      </c>
      <c r="C254" s="197"/>
      <c r="D254" s="198" t="s">
        <v>216</v>
      </c>
      <c r="E254" s="198"/>
      <c r="F254" s="200" t="n">
        <f aca="false">F261+F267+F269+B270+B271</f>
        <v>199.434375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168.19</v>
      </c>
      <c r="C255" s="197"/>
      <c r="D255" s="198" t="s">
        <v>218</v>
      </c>
      <c r="E255" s="198"/>
      <c r="F255" s="200" t="n">
        <f aca="false">(B254-F254)+B255</f>
        <v>1436.56361915344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1467.80799415344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199.434375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68.2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1436.56361915344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243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386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10.647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964.040225314867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10.647</v>
      </c>
      <c r="C134" s="326"/>
      <c r="D134" s="321" t="n">
        <f aca="false">B97</f>
        <v>964.040225314867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95.823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8676.36202783381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10.647</v>
      </c>
      <c r="C143" s="317"/>
      <c r="D143" s="38" t="n">
        <f aca="false">B97</f>
        <v>964.040225314867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792.3634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964.040225314867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10.647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95.823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8676.36202783381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10.647</v>
      </c>
      <c r="C186" s="353"/>
      <c r="D186" s="103" t="n">
        <f aca="false">B97</f>
        <v>964.040225314867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792.3634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369.474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4131.999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4131.999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8.19</v>
      </c>
      <c r="E32" s="226"/>
      <c r="F32" s="63"/>
      <c r="G32" s="227" t="s">
        <v>243</v>
      </c>
      <c r="H32" s="225" t="str">
        <f aca="false">A41</f>
        <v>8.19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508.19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386</v>
      </c>
      <c r="B41" s="241" t="n">
        <f aca="false">IF(B38="YES", D38+A41, D38)</f>
        <v>508.19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8.19</v>
      </c>
      <c r="I44" s="394" t="n">
        <f aca="false">((A41*(B35-1))+D32)/B35</f>
        <v>8.19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509.19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509.19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370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12.7764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1159.86225820896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12.7764</v>
      </c>
      <c r="C134" s="326"/>
      <c r="D134" s="321" t="n">
        <f aca="false">B97</f>
        <v>1159.86225820896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10323.7727238806</v>
      </c>
      <c r="C137" s="317"/>
      <c r="D137" s="38" t="n">
        <f aca="false">IF(A111="YES", B95*B63, 0)</f>
        <v>114.9876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10438.7603238806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12.7764</v>
      </c>
      <c r="C143" s="317"/>
      <c r="D143" s="38" t="n">
        <f aca="false">B97</f>
        <v>1159.86225820896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1.9656</v>
      </c>
      <c r="H148" s="103" t="n">
        <f aca="false">G108-100</f>
        <v>139.988</v>
      </c>
      <c r="I148" s="103"/>
      <c r="J148" s="103" t="n">
        <f aca="false">(H145+J145+G148+H148)-H151</f>
        <v>1463.1411</v>
      </c>
      <c r="K148" s="105"/>
      <c r="L148" s="63"/>
      <c r="M148" s="111" t="n">
        <f aca="false">IF(M111="YES", ((A41*N111)*0.1)*(M133), 0)</f>
        <v>1.9656</v>
      </c>
      <c r="N148" s="103" t="n">
        <f aca="false">M108-100</f>
        <v>99.99</v>
      </c>
      <c r="O148" s="103"/>
      <c r="P148" s="103" t="n">
        <f aca="false">(N145+P145+M148+N148)-N151</f>
        <v>1423.1431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2.9484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792.365066666667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1159.86225820896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12.7764</v>
      </c>
      <c r="C177" s="358"/>
      <c r="D177" s="355" t="n">
        <f aca="false">B91</f>
        <v>13668.54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10323.7727238806</v>
      </c>
      <c r="C180" s="353"/>
      <c r="D180" s="103" t="n">
        <f aca="false">IF(A111="YES", B95*B63, 0)</f>
        <v>114.9876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10438.7603238806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12.7764</v>
      </c>
      <c r="C186" s="353"/>
      <c r="D186" s="103" t="n">
        <f aca="false">B97</f>
        <v>1159.86225820896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2.9484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792.365066666667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369.475666666667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4132.00066666667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4132.00066666667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29.484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370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11390.45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11486.9402985075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957.245024875622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957.245024875622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957.245024875622</v>
      </c>
      <c r="B134" s="321" t="n">
        <f aca="false">IF(A111="YES", B95, 0)</f>
        <v>0</v>
      </c>
      <c r="C134" s="326"/>
      <c r="D134" s="321" t="n">
        <f aca="false">B97</f>
        <v>957.245024875622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8615.2052238806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8615.2052238806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957.245024875622</v>
      </c>
      <c r="B143" s="38" t="n">
        <f aca="false">IF(A111="YES", B95, 0)</f>
        <v>0</v>
      </c>
      <c r="C143" s="317"/>
      <c r="D143" s="38" t="n">
        <f aca="false">B97</f>
        <v>957.245024875622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789.415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957.245024875622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957.245024875622</v>
      </c>
      <c r="B177" s="355" t="n">
        <f aca="false">IF(A111="YES", B95, 0)</f>
        <v>0</v>
      </c>
      <c r="C177" s="358"/>
      <c r="D177" s="355" t="n">
        <f aca="false">B91</f>
        <v>11390.45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8615.2052238806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8615.2052238806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957.245024875622</v>
      </c>
      <c r="B186" s="103" t="n">
        <f aca="false">IF(A111="YES", B95, 0)</f>
        <v>0</v>
      </c>
      <c r="C186" s="353"/>
      <c r="D186" s="103" t="n">
        <f aca="false">B97</f>
        <v>957.245024875622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789.415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370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370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11390.45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11486.9402985075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957.245024875622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1022.24502487562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957.245024875622</v>
      </c>
      <c r="B134" s="321" t="n">
        <f aca="false">IF(A111="YES", B95, 0)</f>
        <v>65</v>
      </c>
      <c r="C134" s="326"/>
      <c r="D134" s="321" t="n">
        <f aca="false">B97</f>
        <v>1022.24502487562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8615.2052238806</v>
      </c>
      <c r="C137" s="317"/>
      <c r="D137" s="38" t="n">
        <f aca="false">IF(A111="YES", B95*B63, 0)</f>
        <v>585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9200.2052238806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957.245024875622</v>
      </c>
      <c r="B143" s="38" t="n">
        <f aca="false">IF(A111="YES", B95, 0)</f>
        <v>65</v>
      </c>
      <c r="C143" s="317"/>
      <c r="D143" s="38" t="n">
        <f aca="false">B97</f>
        <v>1022.24502487562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807.415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1022.24502487562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957.245024875622</v>
      </c>
      <c r="B177" s="355" t="n">
        <f aca="false">IF(A111="YES", B95, 0)</f>
        <v>65</v>
      </c>
      <c r="C177" s="358"/>
      <c r="D177" s="355" t="n">
        <f aca="false">B91</f>
        <v>11390.45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8615.2052238806</v>
      </c>
      <c r="C180" s="353"/>
      <c r="D180" s="103" t="n">
        <f aca="false">IF(A111="YES", B95*B63, 0)</f>
        <v>585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9200.2052238806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957.245024875622</v>
      </c>
      <c r="B186" s="103" t="n">
        <f aca="false">IF(A111="YES", B95, 0)</f>
        <v>65</v>
      </c>
      <c r="C186" s="353"/>
      <c r="D186" s="103" t="n">
        <f aca="false">B97</f>
        <v>1022.24502487562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B154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807.415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519.99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4282.515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4282.515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199.99</v>
      </c>
      <c r="C182" s="103"/>
      <c r="D182" s="23"/>
      <c r="E182" s="103" t="n">
        <f aca="false">E179+A182+(B182*1.2)+A185</f>
        <v>60381.078250429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E179+A201+(B182*1.2)+A185</f>
        <v>56358.468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199.99</v>
      </c>
      <c r="C224" s="103"/>
      <c r="D224" s="113"/>
      <c r="E224" s="103" t="n">
        <f aca="false">E182</f>
        <v>60381.078250429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3583.36587542901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3583.36587542901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290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2505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1897.35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596.915826747903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542.705826747903</v>
      </c>
      <c r="B36" s="232" t="n">
        <f aca="false">IF(B26="YES", K42, "0.00")</f>
        <v>54.21</v>
      </c>
      <c r="C36" s="232"/>
      <c r="D36" s="232"/>
      <c r="E36" s="232" t="n">
        <f aca="false">K31</f>
        <v>2505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23871.946488847</v>
      </c>
      <c r="N39" s="1" t="n">
        <f aca="false">K39-L39</f>
        <v>-6086.94648884696</v>
      </c>
      <c r="P39" s="212"/>
    </row>
    <row r="40" customFormat="false" ht="17.35" hidden="false" customHeight="false" outlineLevel="0" collapsed="false">
      <c r="A40" s="107" t="n">
        <f aca="false">E36*A45/100</f>
        <v>2505</v>
      </c>
      <c r="B40" s="107" t="n">
        <f aca="false">IF(B26="YES", K42, "0.00")</f>
        <v>54.21</v>
      </c>
      <c r="C40" s="107"/>
      <c r="D40" s="107"/>
      <c r="E40" s="182" t="n">
        <f aca="false">K32</f>
        <v>1897.35</v>
      </c>
      <c r="F40" s="186"/>
      <c r="G40" s="186"/>
      <c r="H40" s="47"/>
      <c r="J40" s="2" t="s">
        <v>106</v>
      </c>
      <c r="K40" s="2" t="n">
        <f aca="false">(A40)/1.2</f>
        <v>2087.5</v>
      </c>
      <c r="L40" s="2" t="n">
        <f aca="false">K39-L39</f>
        <v>-6086.94648884696</v>
      </c>
      <c r="N40" s="1" t="n">
        <f aca="false">N38-N39</f>
        <v>8998.62648884696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54.21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1518.73329048514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16266.2667095149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542.705826747903</v>
      </c>
      <c r="L47" s="2" t="n">
        <f aca="false">L49-K42</f>
        <v>745.79</v>
      </c>
      <c r="M47" s="1" t="n">
        <f aca="false">K47-L47</f>
        <v>-203.084173252097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596.915826747903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596.915826747903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5209.81143082893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30694.2856636692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-313.302710262062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-313.302710262062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173.581770833333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542.705826747903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542.705826747903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596.915826747903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596.915826747903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21273</v>
      </c>
      <c r="C81" s="93"/>
      <c r="D81" s="93"/>
      <c r="E81" s="113"/>
      <c r="F81" s="25" t="s">
        <v>105</v>
      </c>
      <c r="G81" s="27" t="n">
        <f aca="false">G158</f>
        <v>21273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17249.5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2505</v>
      </c>
      <c r="C82" s="93"/>
      <c r="D82" s="93"/>
      <c r="E82" s="113"/>
      <c r="F82" s="31" t="s">
        <v>106</v>
      </c>
      <c r="G82" s="33" t="n">
        <f aca="false">IF(A111 = "Yes", A40, 0)</f>
        <v>2505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2505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2505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1626.42005077908</v>
      </c>
      <c r="C86" s="93"/>
      <c r="D86" s="93"/>
      <c r="E86" s="113"/>
      <c r="F86" s="31" t="s">
        <v>110</v>
      </c>
      <c r="G86" s="33" t="n">
        <f aca="false">(G82/((1+G84)^(G85+1)))</f>
        <v>1838.65445812584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1713.05081718563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1713.05081718563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27.5974836986026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19646.5799492209</v>
      </c>
      <c r="C88" s="93"/>
      <c r="D88" s="93"/>
      <c r="E88" s="113"/>
      <c r="F88" s="31" t="s">
        <v>112</v>
      </c>
      <c r="G88" s="33" t="n">
        <f aca="false">G81-G86</f>
        <v>19434.3455418742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15536.4491828144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15536.4491828144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711.89751079428</v>
      </c>
      <c r="C89" s="93"/>
      <c r="D89" s="93"/>
      <c r="E89" s="113"/>
      <c r="F89" s="31" t="s">
        <v>113</v>
      </c>
      <c r="G89" s="33" t="n">
        <f aca="false">(G88/G87)</f>
        <v>664.682573771524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549.452977232781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549.452977232781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24204.5153670055</v>
      </c>
      <c r="C90" s="93"/>
      <c r="D90" s="93"/>
      <c r="E90" s="113"/>
      <c r="F90" s="31" t="s">
        <v>114</v>
      </c>
      <c r="G90" s="33" t="n">
        <f aca="false">((G89*(G85))+G77)</f>
        <v>22599.2075082318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18681.4012259145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18681.4012259145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24204.5153670055</v>
      </c>
      <c r="C92" s="93"/>
      <c r="D92" s="93"/>
      <c r="E92" s="113"/>
      <c r="F92" s="56" t="s">
        <v>116</v>
      </c>
      <c r="G92" s="65" t="n">
        <f aca="false">(G90+G91)</f>
        <v>22599.2075082318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18681.4012259145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18681.4012259145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66.9652941176471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66.9652941176471</v>
      </c>
      <c r="H94" s="33"/>
      <c r="J94" s="88" t="s">
        <v>117</v>
      </c>
      <c r="K94" s="89" t="n">
        <f aca="false">((E40/K85)*(1+J108))*1.2</f>
        <v>84.5676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66.9652941176471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80.3583529411765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711.89751079428</v>
      </c>
      <c r="C95" s="93"/>
      <c r="D95" s="93"/>
      <c r="E95" s="113"/>
      <c r="F95" s="95" t="s">
        <v>118</v>
      </c>
      <c r="G95" s="96" t="n">
        <f aca="false">G92/(G85)</f>
        <v>664.682573771524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549.452977232781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549.452977232781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778.862804911927</v>
      </c>
      <c r="C96" s="93"/>
      <c r="D96" s="93"/>
      <c r="E96" s="113"/>
      <c r="F96" s="97" t="s">
        <v>119</v>
      </c>
      <c r="G96" s="98" t="n">
        <f aca="false">G94+G95</f>
        <v>731.647867889171</v>
      </c>
      <c r="H96" s="33"/>
      <c r="J96" s="97" t="s">
        <v>119</v>
      </c>
      <c r="K96" s="98" t="n">
        <f aca="false">(K94+K95)</f>
        <v>1546.0084705837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616.418271350428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629.811330173957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272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4186.25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12558.75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12558.75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2650.75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21273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16249.5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21273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16249.5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-17727.5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-5023.5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21273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17249.5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711.89751079428</v>
      </c>
      <c r="B167" s="177" t="n">
        <f aca="false">B94</f>
        <v>66.9652941176471</v>
      </c>
      <c r="C167" s="174"/>
      <c r="D167" s="174"/>
      <c r="E167" s="177" t="n">
        <f aca="false">B96</f>
        <v>778.862804911927</v>
      </c>
      <c r="F167" s="23"/>
      <c r="G167" s="23" t="n">
        <f aca="false">ROUND(G95, 2)</f>
        <v>664.68</v>
      </c>
      <c r="H167" s="33"/>
      <c r="J167" s="176" t="n">
        <f aca="false">K95</f>
        <v>1461.4408705837</v>
      </c>
      <c r="K167" s="177" t="n">
        <f aca="false">K94</f>
        <v>84.5676</v>
      </c>
      <c r="L167" s="174"/>
      <c r="M167" s="174"/>
      <c r="N167" s="177" t="n">
        <f aca="false">K96</f>
        <v>1546.0084705837</v>
      </c>
      <c r="O167" s="23"/>
      <c r="P167" s="23"/>
      <c r="Q167" s="33"/>
      <c r="S167" s="176" t="n">
        <f aca="false">T95</f>
        <v>549.452977232781</v>
      </c>
      <c r="T167" s="177" t="n">
        <f aca="false">T94</f>
        <v>66.9652941176471</v>
      </c>
      <c r="U167" s="174"/>
      <c r="V167" s="174"/>
      <c r="W167" s="177" t="n">
        <f aca="false">T96</f>
        <v>616.418271350428</v>
      </c>
      <c r="X167" s="23"/>
      <c r="Y167" s="23"/>
      <c r="Z167" s="33"/>
      <c r="AB167" s="176" t="n">
        <f aca="false">AC95</f>
        <v>549.452977232781</v>
      </c>
      <c r="AC167" s="177" t="n">
        <f aca="false">AC94</f>
        <v>80.3583529411765</v>
      </c>
      <c r="AD167" s="174"/>
      <c r="AE167" s="174"/>
      <c r="AF167" s="177" t="n">
        <f aca="false">AC96</f>
        <v>629.811330173957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2505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2505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2505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2505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13253.75</v>
      </c>
      <c r="T173" s="103" t="n">
        <f aca="false">Z137</f>
        <v>2650.75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21273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16249.5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21273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17249.5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5436.51536700553</v>
      </c>
      <c r="B182" s="103" t="str">
        <f aca="false">B114</f>
        <v>199.99</v>
      </c>
      <c r="C182" s="103"/>
      <c r="D182" s="23"/>
      <c r="E182" s="103" t="n">
        <f aca="false">E179+A182+(B182*1.2)+A185</f>
        <v>26959.5033670055</v>
      </c>
      <c r="F182" s="23"/>
      <c r="G182" s="23"/>
      <c r="H182" s="105"/>
      <c r="J182" s="111" t="n">
        <f aca="false">(J167*K59)+N185-N179-J185</f>
        <v>15659.9855998458</v>
      </c>
      <c r="K182" s="103" t="n">
        <f aca="false">K114</f>
        <v>239.99</v>
      </c>
      <c r="L182" s="103"/>
      <c r="M182" s="23"/>
      <c r="N182" s="103" t="n">
        <f aca="false">N179+J182+K182+J185</f>
        <v>52453.9795998458</v>
      </c>
      <c r="O182" s="23"/>
      <c r="P182" s="23"/>
      <c r="Q182" s="105"/>
      <c r="S182" s="111" t="n">
        <f aca="false">(S167*T59)+W185-W179-S185</f>
        <v>3936.90122591454</v>
      </c>
      <c r="T182" s="103" t="n">
        <f aca="false">T114</f>
        <v>199.99</v>
      </c>
      <c r="U182" s="103"/>
      <c r="V182" s="23"/>
      <c r="W182" s="103" t="n">
        <f aca="false">W179+S182+T182+S185</f>
        <v>21396.3912259145</v>
      </c>
      <c r="X182" s="23"/>
      <c r="Y182" s="23"/>
      <c r="Z182" s="105"/>
      <c r="AB182" s="111" t="n">
        <f aca="false">(AB167*AC59)+AF185-AF179-AB185</f>
        <v>3936.90122591454</v>
      </c>
      <c r="AC182" s="103" t="n">
        <f aca="false">AC114</f>
        <v>239.99</v>
      </c>
      <c r="AD182" s="103"/>
      <c r="AE182" s="23"/>
      <c r="AF182" s="103" t="n">
        <f aca="false">AF179+AB182+AC182+AB185</f>
        <v>21436.3912259145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2515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2525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2515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2515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173.581770833333</v>
      </c>
      <c r="C188" s="93"/>
      <c r="D188" s="93"/>
      <c r="E188" s="103" t="n">
        <f aca="false">(E40*A108)*0.1*(C45/100)</f>
        <v>37.947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56.9205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140.751128472222</v>
      </c>
      <c r="U188" s="93"/>
      <c r="V188" s="93"/>
      <c r="W188" s="103" t="n">
        <f aca="false">(E40*S108)*0.1</f>
        <v>37.947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37.947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311.518770833333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3448.57220486111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1278.68812847222</v>
      </c>
      <c r="U191" s="93"/>
      <c r="V191" s="93"/>
      <c r="W191" s="103" t="n">
        <f aca="false">Z148</f>
        <v>-5023.5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1318.68812847222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778.862804911927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1546.0084705837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616.418271350428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629.811330173957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3831.12</v>
      </c>
      <c r="B201" s="186" t="n">
        <f aca="false">E179+A201+(B182*1.2)+A185</f>
        <v>25354.108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711.89751079428</v>
      </c>
      <c r="B212" s="177" t="n">
        <f aca="false">B167</f>
        <v>66.9652941176471</v>
      </c>
      <c r="C212" s="174"/>
      <c r="D212" s="174"/>
      <c r="E212" s="177" t="n">
        <f aca="false">E167</f>
        <v>778.862804911927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21273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21273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5436.51536700553</v>
      </c>
      <c r="B224" s="103" t="str">
        <f aca="false">B182</f>
        <v>199.99</v>
      </c>
      <c r="C224" s="103"/>
      <c r="D224" s="113"/>
      <c r="E224" s="103" t="n">
        <f aca="false">E182</f>
        <v>26959.5033670055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711.89751079428</v>
      </c>
      <c r="B230" s="103" t="n">
        <f aca="false">B167</f>
        <v>66.9652941176471</v>
      </c>
      <c r="C230" s="186"/>
      <c r="D230" s="186"/>
      <c r="E230" s="103" t="n">
        <f aca="false">E167</f>
        <v>778.862804911927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2505</v>
      </c>
      <c r="B233" s="103" t="n">
        <f aca="false">E185</f>
        <v>2515</v>
      </c>
      <c r="C233" s="93"/>
      <c r="D233" s="93"/>
      <c r="E233" s="103" t="n">
        <f aca="false">A188</f>
        <v>4.1856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173.581770833333</v>
      </c>
      <c r="C240" s="93"/>
      <c r="D240" s="93"/>
      <c r="E240" s="103" t="n">
        <f aca="false">E188</f>
        <v>37.947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311.518770833333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1615.39536700553</v>
      </c>
      <c r="C254" s="197"/>
      <c r="D254" s="198" t="s">
        <v>216</v>
      </c>
      <c r="E254" s="198"/>
      <c r="F254" s="200" t="n">
        <f aca="false">F261+F267+F269+B270+B271</f>
        <v>208.298125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479.46</v>
      </c>
      <c r="C255" s="197"/>
      <c r="D255" s="198" t="s">
        <v>218</v>
      </c>
      <c r="E255" s="198"/>
      <c r="F255" s="200" t="n">
        <f aca="false">(B254-F254)+B255</f>
        <v>1886.55724200553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1615.39536700553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208.298125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379.47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1886.55724200553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290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2505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1897.35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596.915826747903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542.705826747903</v>
      </c>
      <c r="B36" s="232" t="n">
        <f aca="false">IF(B26="YES", K42, "0.00")</f>
        <v>54.21</v>
      </c>
      <c r="C36" s="232"/>
      <c r="D36" s="232"/>
      <c r="E36" s="232" t="n">
        <f aca="false">K31</f>
        <v>2505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23871.946488847</v>
      </c>
      <c r="N39" s="1" t="n">
        <f aca="false">K39-L39</f>
        <v>-6086.94648884696</v>
      </c>
      <c r="P39" s="212"/>
    </row>
    <row r="40" customFormat="false" ht="17.35" hidden="false" customHeight="false" outlineLevel="0" collapsed="false">
      <c r="A40" s="107" t="n">
        <f aca="false">E36*A45/100</f>
        <v>2505</v>
      </c>
      <c r="B40" s="107" t="n">
        <f aca="false">IF(B26="YES", K42, "0.00")</f>
        <v>54.21</v>
      </c>
      <c r="C40" s="107"/>
      <c r="D40" s="107"/>
      <c r="E40" s="182" t="n">
        <f aca="false">K32</f>
        <v>1897.35</v>
      </c>
      <c r="F40" s="186"/>
      <c r="G40" s="186"/>
      <c r="H40" s="47"/>
      <c r="J40" s="2" t="s">
        <v>106</v>
      </c>
      <c r="K40" s="2" t="n">
        <f aca="false">(A40)/1.2</f>
        <v>2087.5</v>
      </c>
      <c r="L40" s="2" t="n">
        <f aca="false">K39-L39</f>
        <v>-6086.94648884696</v>
      </c>
      <c r="N40" s="1" t="n">
        <f aca="false">N38-N39</f>
        <v>8998.62648884696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54.21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1518.73329048514</v>
      </c>
      <c r="L44" s="2"/>
      <c r="P44" s="212"/>
    </row>
    <row r="45" customFormat="false" ht="17.35" hidden="false" customHeight="false" outlineLevel="0" collapsed="false">
      <c r="A45" s="505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16266.2667095149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542.705826747903</v>
      </c>
      <c r="L47" s="2" t="n">
        <f aca="false">L49-K42</f>
        <v>745.79</v>
      </c>
      <c r="M47" s="1" t="n">
        <f aca="false">K47-L47</f>
        <v>-203.084173252097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596.915826747903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596.915826747903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5209.81143082893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30694.2856636692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5666.6710774788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-313.302710262062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173.581770833333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542.705826747903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542.705826747903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596.915826747903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596.915826747903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21273</v>
      </c>
      <c r="C81" s="93"/>
      <c r="D81" s="93"/>
      <c r="E81" s="113"/>
      <c r="F81" s="25" t="s">
        <v>105</v>
      </c>
      <c r="G81" s="27" t="n">
        <f aca="false">G158</f>
        <v>21273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2505</v>
      </c>
      <c r="C82" s="93"/>
      <c r="D82" s="93"/>
      <c r="E82" s="113"/>
      <c r="F82" s="31" t="s">
        <v>106</v>
      </c>
      <c r="G82" s="33" t="n">
        <f aca="false">IF(A111 = "Yes", A40, 0)</f>
        <v>2505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2505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2505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1626.42005077908</v>
      </c>
      <c r="C86" s="93"/>
      <c r="D86" s="93"/>
      <c r="E86" s="113"/>
      <c r="F86" s="31" t="s">
        <v>110</v>
      </c>
      <c r="G86" s="33" t="n">
        <f aca="false">(G82/((1+G84)^(G85+1)))</f>
        <v>1838.65445812584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1713.05081718563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1713.05081718563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27.5974836986026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19646.5799492209</v>
      </c>
      <c r="C88" s="93"/>
      <c r="D88" s="93"/>
      <c r="E88" s="113"/>
      <c r="F88" s="31" t="s">
        <v>112</v>
      </c>
      <c r="G88" s="33" t="n">
        <f aca="false">G81-G86</f>
        <v>19434.3455418742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20509.7141828144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15536.4491828144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711.89751079428</v>
      </c>
      <c r="C89" s="93"/>
      <c r="D89" s="93"/>
      <c r="E89" s="113"/>
      <c r="F89" s="31" t="s">
        <v>113</v>
      </c>
      <c r="G89" s="33" t="n">
        <f aca="false">(G88/G87)</f>
        <v>664.682573771524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725.334559225159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549.452977232781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24204.5153670055</v>
      </c>
      <c r="C90" s="93"/>
      <c r="D90" s="93"/>
      <c r="E90" s="113"/>
      <c r="F90" s="31" t="s">
        <v>114</v>
      </c>
      <c r="G90" s="33" t="n">
        <f aca="false">((G89*(G85))+G77)</f>
        <v>22599.2075082318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24661.3750136554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18681.4012259145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24204.5153670055</v>
      </c>
      <c r="C92" s="93"/>
      <c r="D92" s="93"/>
      <c r="E92" s="113"/>
      <c r="F92" s="56" t="s">
        <v>116</v>
      </c>
      <c r="G92" s="65" t="n">
        <f aca="false">(G90+G91)</f>
        <v>22599.2075082318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24661.3750136554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18681.4012259145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80.3583529411765</v>
      </c>
      <c r="C94" s="93"/>
      <c r="D94" s="93"/>
      <c r="E94" s="113"/>
      <c r="F94" s="88" t="s">
        <v>117</v>
      </c>
      <c r="G94" s="94" t="n">
        <f aca="false">IF(B26="YES",((E40/B85)*(1+A108)*(C45/100)),"0")</f>
        <v>66.9652941176471</v>
      </c>
      <c r="H94" s="33"/>
      <c r="J94" s="88" t="s">
        <v>117</v>
      </c>
      <c r="K94" s="89" t="n">
        <f aca="false">((E40/K85)*(1+J108))*1.2</f>
        <v>84.5676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66.9652941176471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80.3583529411765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711.89751079428</v>
      </c>
      <c r="C95" s="93"/>
      <c r="D95" s="93"/>
      <c r="E95" s="113"/>
      <c r="F95" s="95" t="s">
        <v>118</v>
      </c>
      <c r="G95" s="96" t="n">
        <f aca="false">G92/(G85)</f>
        <v>664.682573771524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725.334559225159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549.452977232781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792.255863735457</v>
      </c>
      <c r="C96" s="93"/>
      <c r="D96" s="93"/>
      <c r="E96" s="113"/>
      <c r="F96" s="97" t="s">
        <v>119</v>
      </c>
      <c r="G96" s="98" t="n">
        <f aca="false">G94+G95</f>
        <v>731.647867889171</v>
      </c>
      <c r="H96" s="33"/>
      <c r="J96" s="97" t="s">
        <v>119</v>
      </c>
      <c r="K96" s="98" t="n">
        <f aca="false">(K94+K95)</f>
        <v>1546.0084705837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792.299853342806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629.811330173957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272</v>
      </c>
      <c r="C108" s="107"/>
      <c r="D108" s="107"/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21273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21273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-17727.5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21273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711.89751079428</v>
      </c>
      <c r="B167" s="177" t="n">
        <f aca="false">B94</f>
        <v>80.3583529411765</v>
      </c>
      <c r="C167" s="174"/>
      <c r="D167" s="174"/>
      <c r="E167" s="177" t="n">
        <f aca="false">B96</f>
        <v>792.255863735457</v>
      </c>
      <c r="F167" s="23"/>
      <c r="G167" s="23" t="n">
        <f aca="false">ROUND(G95, 2)</f>
        <v>664.68</v>
      </c>
      <c r="H167" s="33"/>
      <c r="J167" s="176" t="n">
        <f aca="false">K95</f>
        <v>1461.4408705837</v>
      </c>
      <c r="K167" s="177" t="n">
        <f aca="false">K94</f>
        <v>84.5676</v>
      </c>
      <c r="L167" s="174"/>
      <c r="M167" s="174"/>
      <c r="N167" s="177" t="n">
        <f aca="false">K96</f>
        <v>1546.0084705837</v>
      </c>
      <c r="O167" s="23"/>
      <c r="P167" s="23"/>
      <c r="Q167" s="33"/>
      <c r="S167" s="176" t="n">
        <f aca="false">T95</f>
        <v>725.334559225159</v>
      </c>
      <c r="T167" s="177" t="n">
        <f aca="false">T94</f>
        <v>66.9652941176471</v>
      </c>
      <c r="U167" s="174"/>
      <c r="V167" s="174"/>
      <c r="W167" s="177" t="n">
        <f aca="false">T96</f>
        <v>792.299853342806</v>
      </c>
      <c r="X167" s="23"/>
      <c r="Y167" s="23"/>
      <c r="Z167" s="33"/>
      <c r="AB167" s="176" t="n">
        <f aca="false">AC95</f>
        <v>549.452977232781</v>
      </c>
      <c r="AC167" s="177" t="n">
        <f aca="false">AC94</f>
        <v>80.3583529411765</v>
      </c>
      <c r="AD167" s="174"/>
      <c r="AE167" s="174"/>
      <c r="AF167" s="177" t="n">
        <f aca="false">AC96</f>
        <v>629.811330173957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2505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2505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2505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2505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21273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21273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5436.51536700553</v>
      </c>
      <c r="B182" s="103" t="str">
        <f aca="false">B114</f>
        <v>239.99</v>
      </c>
      <c r="C182" s="103"/>
      <c r="D182" s="23"/>
      <c r="E182" s="103" t="n">
        <f aca="false">E179+A182+B182+A185</f>
        <v>26959.5053670055</v>
      </c>
      <c r="F182" s="23"/>
      <c r="G182" s="23"/>
      <c r="H182" s="105"/>
      <c r="J182" s="111" t="n">
        <f aca="false">(J167*K59)+N185-N179-J185</f>
        <v>15659.9855998458</v>
      </c>
      <c r="K182" s="103" t="n">
        <f aca="false">K114</f>
        <v>239.99</v>
      </c>
      <c r="L182" s="103"/>
      <c r="M182" s="23"/>
      <c r="N182" s="103" t="n">
        <f aca="false">N179+J182+K182+J185</f>
        <v>52453.9795998458</v>
      </c>
      <c r="O182" s="23"/>
      <c r="P182" s="23"/>
      <c r="Q182" s="105"/>
      <c r="S182" s="111" t="n">
        <f aca="false">(S167*T59)+W185-W179-S185</f>
        <v>4943.6100136554</v>
      </c>
      <c r="T182" s="103" t="n">
        <f aca="false">T114</f>
        <v>199.99</v>
      </c>
      <c r="U182" s="103"/>
      <c r="V182" s="23"/>
      <c r="W182" s="103" t="n">
        <f aca="false">W179+S182+T182+S185</f>
        <v>27376.3650136554</v>
      </c>
      <c r="X182" s="23"/>
      <c r="Y182" s="23"/>
      <c r="Z182" s="105"/>
      <c r="AB182" s="111" t="n">
        <f aca="false">(AB167*AC59)+AF185-AF179-AB185</f>
        <v>3936.90122591454</v>
      </c>
      <c r="AC182" s="103" t="n">
        <f aca="false">AC114</f>
        <v>239.99</v>
      </c>
      <c r="AD182" s="103"/>
      <c r="AE182" s="23"/>
      <c r="AF182" s="103" t="n">
        <f aca="false">AF179+AB182+AC182+AB185</f>
        <v>21436.3912259145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2515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2525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2515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2515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(G158*B67)</f>
        <v>208.298125</v>
      </c>
      <c r="C188" s="93"/>
      <c r="D188" s="93"/>
      <c r="E188" s="103" t="n">
        <f aca="false">(E40*A108)*0.1*(C45/100)</f>
        <v>37.947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56.9205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37.947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37.947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346.236791666667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3448.57220486111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1319.26858940972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1318.68812847222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792.255863735457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1546.0084705837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792.299853342806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629.811330173957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3831.12</v>
      </c>
      <c r="B201" s="186" t="n">
        <f aca="false">E179+A201+B182+A185</f>
        <v>25354.11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711.89751079428</v>
      </c>
      <c r="B212" s="177" t="n">
        <f aca="false">B167</f>
        <v>80.3583529411765</v>
      </c>
      <c r="C212" s="174"/>
      <c r="D212" s="174"/>
      <c r="E212" s="177" t="n">
        <f aca="false">E167</f>
        <v>792.255863735457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21273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21273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5436.51536700553</v>
      </c>
      <c r="B224" s="103" t="str">
        <f aca="false">B182</f>
        <v>239.99</v>
      </c>
      <c r="C224" s="103"/>
      <c r="D224" s="113"/>
      <c r="E224" s="103" t="n">
        <f aca="false">E182</f>
        <v>26959.5053670055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711.89751079428</v>
      </c>
      <c r="B230" s="103" t="n">
        <f aca="false">B167</f>
        <v>80.3583529411765</v>
      </c>
      <c r="C230" s="186"/>
      <c r="D230" s="186"/>
      <c r="E230" s="103" t="n">
        <f aca="false">E167</f>
        <v>792.255863735457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2505</v>
      </c>
      <c r="B233" s="103" t="n">
        <f aca="false">E185</f>
        <v>2515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173.581770833333</v>
      </c>
      <c r="C240" s="93"/>
      <c r="D240" s="93"/>
      <c r="E240" s="103" t="n">
        <f aca="false">E188</f>
        <v>37.947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311.5204375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1615.39536700553</v>
      </c>
      <c r="C254" s="197"/>
      <c r="D254" s="198" t="s">
        <v>216</v>
      </c>
      <c r="E254" s="198"/>
      <c r="F254" s="200" t="n">
        <f aca="false">F261+F267+F269+B270+B271</f>
        <v>208.298125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479.461666666667</v>
      </c>
      <c r="C255" s="197"/>
      <c r="D255" s="198" t="s">
        <v>218</v>
      </c>
      <c r="E255" s="198"/>
      <c r="F255" s="200" t="n">
        <f aca="false">(B254-F254)+B255</f>
        <v>1886.55890867219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1615.39536700553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208.298125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379.47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1886.55890867219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290.0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391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1503.0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562.974162949231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562.974162949231</v>
      </c>
      <c r="B36" s="232" t="str">
        <f aca="false">IF(B26="YES", K42, "0.00")</f>
        <v>0.00</v>
      </c>
      <c r="C36" s="232"/>
      <c r="D36" s="232"/>
      <c r="E36" s="232" t="n">
        <f aca="false">K31</f>
        <v>1503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24889.2640275627</v>
      </c>
      <c r="N39" s="1" t="n">
        <f aca="false">K39-L39</f>
        <v>-7104.26402756272</v>
      </c>
      <c r="P39" s="212"/>
    </row>
    <row r="40" customFormat="false" ht="17.35" hidden="false" customHeight="false" outlineLevel="0" collapsed="false">
      <c r="A40" s="313" t="n">
        <f aca="false">E36*A45/100</f>
        <v>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1252.5</v>
      </c>
      <c r="L40" s="2" t="n">
        <f aca="false">K39-L39</f>
        <v>-7104.26402756272</v>
      </c>
      <c r="N40" s="1" t="n">
        <f aca="false">N38-N39</f>
        <v>10015.9440275627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911.239974291086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16873.7600257089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562.974162949231</v>
      </c>
      <c r="L47" s="2" t="n">
        <f aca="false">L49-K42</f>
        <v>800</v>
      </c>
      <c r="M47" s="1" t="n">
        <f aca="false">K47-L47</f>
        <v>-237.025837050769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562.974162949231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562.974162949231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6424.59769832177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29984.8938966228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5781.20475851023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-198.769029230629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173.581770833333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562.974162949231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562.974162949231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562.974162949231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562.974162949231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21273</v>
      </c>
      <c r="C81" s="93"/>
      <c r="D81" s="93"/>
      <c r="E81" s="113"/>
      <c r="F81" s="25" t="s">
        <v>105</v>
      </c>
      <c r="G81" s="27" t="n">
        <f aca="false">G158</f>
        <v>21273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1503</v>
      </c>
      <c r="C82" s="93"/>
      <c r="D82" s="93"/>
      <c r="E82" s="113"/>
      <c r="F82" s="31" t="s">
        <v>106</v>
      </c>
      <c r="G82" s="33" t="n">
        <f aca="false">IF(A111 = "Yes", A40, 0)</f>
        <v>1503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1503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1503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895.14940173711</v>
      </c>
      <c r="C86" s="93"/>
      <c r="D86" s="93"/>
      <c r="E86" s="113"/>
      <c r="F86" s="31" t="s">
        <v>110</v>
      </c>
      <c r="G86" s="33" t="n">
        <f aca="false">(G82/((1+G84)^(G85+1)))</f>
        <v>1103.1926748755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1027.83049031138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1027.83049031138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26.5167075021047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20377.8505982629</v>
      </c>
      <c r="C88" s="93"/>
      <c r="D88" s="93"/>
      <c r="E88" s="113"/>
      <c r="F88" s="31" t="s">
        <v>112</v>
      </c>
      <c r="G88" s="33" t="n">
        <f aca="false">G81-G86</f>
        <v>20169.8073251245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21194.9345096886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16221.6695096886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768.490982398378</v>
      </c>
      <c r="C89" s="93"/>
      <c r="D89" s="93"/>
      <c r="E89" s="113"/>
      <c r="F89" s="31" t="s">
        <v>113</v>
      </c>
      <c r="G89" s="33" t="n">
        <f aca="false">(G88/G87)</f>
        <v>689.836424717939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749.567660639215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573.686078646837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26128.6934015449</v>
      </c>
      <c r="C90" s="93"/>
      <c r="D90" s="93"/>
      <c r="E90" s="113"/>
      <c r="F90" s="31" t="s">
        <v>114</v>
      </c>
      <c r="G90" s="33" t="n">
        <f aca="false">((G89*(G85))+G77)</f>
        <v>23454.4384404099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25485.3004617333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19505.3266739925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26128.6934015449</v>
      </c>
      <c r="C92" s="93"/>
      <c r="D92" s="93"/>
      <c r="E92" s="113"/>
      <c r="F92" s="56" t="s">
        <v>116</v>
      </c>
      <c r="G92" s="65" t="n">
        <f aca="false">(G90+G91)</f>
        <v>23454.4384404099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25485.3004617333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19505.3266739925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768.490982398378</v>
      </c>
      <c r="C95" s="93"/>
      <c r="D95" s="93"/>
      <c r="E95" s="113"/>
      <c r="F95" s="95" t="s">
        <v>118</v>
      </c>
      <c r="G95" s="96" t="n">
        <f aca="false">G92/(G85)</f>
        <v>689.836424717939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749.567660639215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573.686078646837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768.490982398378</v>
      </c>
      <c r="C96" s="93"/>
      <c r="D96" s="93"/>
      <c r="E96" s="113"/>
      <c r="F96" s="97" t="s">
        <v>119</v>
      </c>
      <c r="G96" s="98" t="n">
        <f aca="false">G94+G95</f>
        <v>689.836424717939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749.567660639215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573.686078646837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391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393</v>
      </c>
      <c r="C108" s="107"/>
      <c r="D108" s="107"/>
      <c r="E108" s="108" t="n">
        <f aca="false">B83</f>
        <v>0.179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390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-3545.5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21273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21273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-17727.5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21273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768.490982398378</v>
      </c>
      <c r="B167" s="177" t="str">
        <f aca="false">B94</f>
        <v>0</v>
      </c>
      <c r="C167" s="174"/>
      <c r="D167" s="174"/>
      <c r="E167" s="177" t="n">
        <f aca="false">B96</f>
        <v>768.490982398378</v>
      </c>
      <c r="F167" s="23"/>
      <c r="G167" s="23" t="n">
        <f aca="false">ROUND(G95, 2)</f>
        <v>689.84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749.567660639215</v>
      </c>
      <c r="T167" s="177" t="n">
        <f aca="false">T94</f>
        <v>0</v>
      </c>
      <c r="U167" s="174"/>
      <c r="V167" s="174"/>
      <c r="W167" s="177" t="n">
        <f aca="false">T96</f>
        <v>749.567660639215</v>
      </c>
      <c r="X167" s="23"/>
      <c r="Y167" s="23"/>
      <c r="Z167" s="33"/>
      <c r="AB167" s="176" t="n">
        <f aca="false">AC95</f>
        <v>573.686078646837</v>
      </c>
      <c r="AC167" s="177" t="n">
        <f aca="false">AC94</f>
        <v>0</v>
      </c>
      <c r="AD167" s="174"/>
      <c r="AE167" s="174"/>
      <c r="AF167" s="177" t="n">
        <f aca="false">AC96</f>
        <v>573.686078646837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1503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1503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1503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1503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21273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21273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6358.69340154486</v>
      </c>
      <c r="B182" s="103" t="str">
        <f aca="false">B114</f>
        <v>239.99</v>
      </c>
      <c r="C182" s="103"/>
      <c r="D182" s="23"/>
      <c r="E182" s="103" t="n">
        <f aca="false">E179+A182+B182+A185</f>
        <v>27881.6834015449</v>
      </c>
      <c r="F182" s="23"/>
      <c r="G182" s="23"/>
      <c r="H182" s="105"/>
      <c r="J182" s="111" t="n">
        <f aca="false">(J167*K59)+N185-N179-J185</f>
        <v>14657.9855998458</v>
      </c>
      <c r="K182" s="103" t="n">
        <f aca="false">K114</f>
        <v>239.99</v>
      </c>
      <c r="L182" s="103"/>
      <c r="M182" s="23"/>
      <c r="N182" s="103" t="n">
        <f aca="false">N179+J182+K182+J185</f>
        <v>51451.9795998459</v>
      </c>
      <c r="O182" s="23"/>
      <c r="P182" s="23"/>
      <c r="Q182" s="105"/>
      <c r="S182" s="111" t="n">
        <f aca="false">(S167*T59)+W185-W179-S185</f>
        <v>4765.53546173332</v>
      </c>
      <c r="T182" s="103" t="n">
        <f aca="false">T114</f>
        <v>199.99</v>
      </c>
      <c r="U182" s="103"/>
      <c r="V182" s="23"/>
      <c r="W182" s="103" t="n">
        <f aca="false">W179+S182+T182+S185</f>
        <v>27198.2904617333</v>
      </c>
      <c r="X182" s="23"/>
      <c r="Y182" s="23"/>
      <c r="Z182" s="105"/>
      <c r="AB182" s="111" t="n">
        <f aca="false">(AB167*AC59)+AF185-AF179-AB185</f>
        <v>3758.82667399246</v>
      </c>
      <c r="AC182" s="103" t="n">
        <f aca="false">AC114</f>
        <v>239.99</v>
      </c>
      <c r="AD182" s="103"/>
      <c r="AE182" s="23"/>
      <c r="AF182" s="103" t="n">
        <f aca="false">AF179+AB182+AC182+AB185</f>
        <v>21258.3166739925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1513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1523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1513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1513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173.581770833333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273.5734375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768.490982398378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749.567660639215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573.686078646837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3684.56</v>
      </c>
      <c r="B201" s="186" t="n">
        <f aca="false">E179+A201+B182+A185</f>
        <v>25207.55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768.490982398378</v>
      </c>
      <c r="B212" s="177" t="str">
        <f aca="false">B167</f>
        <v>0</v>
      </c>
      <c r="C212" s="174"/>
      <c r="D212" s="174"/>
      <c r="E212" s="177" t="n">
        <f aca="false">E167</f>
        <v>768.490982398378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21273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21273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6358.69340154486</v>
      </c>
      <c r="B224" s="103" t="str">
        <f aca="false">B182</f>
        <v>239.99</v>
      </c>
      <c r="C224" s="103"/>
      <c r="D224" s="113"/>
      <c r="E224" s="103" t="n">
        <f aca="false">E182</f>
        <v>27881.6834015449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768.490982398378</v>
      </c>
      <c r="B230" s="103" t="str">
        <f aca="false">B167</f>
        <v>0</v>
      </c>
      <c r="C230" s="186"/>
      <c r="D230" s="186"/>
      <c r="E230" s="103" t="n">
        <f aca="false">E167</f>
        <v>768.490982398378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1503</v>
      </c>
      <c r="B233" s="103" t="n">
        <f aca="false">E185</f>
        <v>1513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15.06816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173.581770833333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273.5734375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2684.13340154486</v>
      </c>
      <c r="C254" s="197"/>
      <c r="D254" s="198" t="s">
        <v>216</v>
      </c>
      <c r="E254" s="198"/>
      <c r="F254" s="200" t="n">
        <f aca="false">F261+F267+F269+B270+B271</f>
        <v>208.298125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2575.82694321153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2684.13340154486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208.298125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2575.82694321153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19575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19575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19575</v>
      </c>
      <c r="F9" s="152"/>
      <c r="G9" s="136"/>
      <c r="H9" s="443" t="n">
        <f aca="false">B7+D7+F7+H3</f>
        <v>19575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20270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4054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290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24669</v>
      </c>
      <c r="I15" s="2"/>
      <c r="J15" s="17" t="n">
        <f aca="false">H15</f>
        <v>24669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24324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24669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5505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576.441975604855</v>
      </c>
      <c r="F33" s="232"/>
      <c r="G33" s="232"/>
      <c r="H33" s="47"/>
      <c r="I33" s="2"/>
      <c r="J33" s="34" t="s">
        <v>356</v>
      </c>
      <c r="K33" s="48" t="n">
        <f aca="false">H21-H11+(H16*20%)</f>
        <v>20615</v>
      </c>
      <c r="L33" s="1" t="n">
        <f aca="false">H21-H11+(H16*20%)</f>
        <v>20615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576.441975604855</v>
      </c>
      <c r="B36" s="232" t="str">
        <f aca="false">IF(B26="YES", K42, "0.00")</f>
        <v>0.00</v>
      </c>
      <c r="C36" s="232"/>
      <c r="D36" s="232"/>
      <c r="E36" s="232" t="n">
        <f aca="false">K31</f>
        <v>5505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20615</v>
      </c>
      <c r="L39" s="2" t="n">
        <f aca="false">(L47*K46)+K44</f>
        <v>27315.5996078108</v>
      </c>
      <c r="N39" s="1" t="n">
        <f aca="false">K39-L39</f>
        <v>-6700.59960781085</v>
      </c>
      <c r="P39" s="212"/>
    </row>
    <row r="40" customFormat="false" ht="17.35" hidden="false" customHeight="false" outlineLevel="0" collapsed="false">
      <c r="A40" s="313" t="n">
        <f aca="false">E36*A45/100</f>
        <v>5505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4587.5</v>
      </c>
      <c r="L40" s="2" t="n">
        <f aca="false">K39-L39</f>
        <v>-6700.59960781085</v>
      </c>
      <c r="N40" s="1" t="n">
        <f aca="false">N38-N39</f>
        <v>9612.27960781085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3337.57555453921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17277.4244454608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576.441975604855</v>
      </c>
      <c r="L47" s="2" t="n">
        <f aca="false">L49-K42</f>
        <v>800</v>
      </c>
      <c r="M47" s="1" t="n">
        <f aca="false">K47-L47</f>
        <v>-223.558024395145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576.441975604855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576.441975604855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24324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24324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24324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24324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17640.8105642673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29513.5204536759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6092.28693698741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-898.336347278189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276.500379861111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1798.9625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238.1725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193.840729166667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576.441975604855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576.441975604855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576.441975604855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576.441975604855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33886.004</v>
      </c>
      <c r="C81" s="93"/>
      <c r="D81" s="93"/>
      <c r="E81" s="113"/>
      <c r="F81" s="25" t="s">
        <v>105</v>
      </c>
      <c r="G81" s="27" t="n">
        <f aca="false">G158</f>
        <v>33886.004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25610.275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19796.5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5505</v>
      </c>
      <c r="C82" s="93"/>
      <c r="D82" s="93"/>
      <c r="E82" s="113"/>
      <c r="F82" s="31" t="s">
        <v>106</v>
      </c>
      <c r="G82" s="33" t="n">
        <f aca="false">IF(A111 = "Yes", A40, 0)</f>
        <v>5505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5505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5505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3497.85280921563</v>
      </c>
      <c r="C86" s="93"/>
      <c r="D86" s="93"/>
      <c r="E86" s="113"/>
      <c r="F86" s="31" t="s">
        <v>110</v>
      </c>
      <c r="G86" s="33" t="n">
        <f aca="false">(G82/((1+G84)^(G85+1)))</f>
        <v>4040.63584510289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3764.6086820786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3764.6086820786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30388.1511907844</v>
      </c>
      <c r="C88" s="93"/>
      <c r="D88" s="93"/>
      <c r="E88" s="113"/>
      <c r="F88" s="31" t="s">
        <v>112</v>
      </c>
      <c r="G88" s="33" t="n">
        <f aca="false">G81-G86</f>
        <v>29845.3681548971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21845.6663179214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16031.8913179214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1112.24352089521</v>
      </c>
      <c r="C89" s="93"/>
      <c r="D89" s="93"/>
      <c r="E89" s="113"/>
      <c r="F89" s="31" t="s">
        <v>113</v>
      </c>
      <c r="G89" s="33" t="n">
        <f aca="false">(G88/G87)</f>
        <v>1020.75452335724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772.581061269333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566.974494085051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37816.2797104372</v>
      </c>
      <c r="C90" s="93"/>
      <c r="D90" s="93"/>
      <c r="E90" s="113"/>
      <c r="F90" s="31" t="s">
        <v>114</v>
      </c>
      <c r="G90" s="33" t="n">
        <f aca="false">((G89*(G85))+G77)</f>
        <v>34705.6537941462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26267.7560831573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19277.1327988917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37816.2797104372</v>
      </c>
      <c r="C92" s="93"/>
      <c r="D92" s="93"/>
      <c r="E92" s="113"/>
      <c r="F92" s="56" t="s">
        <v>116</v>
      </c>
      <c r="G92" s="65" t="n">
        <f aca="false">(G90+G91)</f>
        <v>34705.6537941462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26267.7560831573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19277.1327988917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1112.24352089521</v>
      </c>
      <c r="C95" s="93"/>
      <c r="D95" s="93"/>
      <c r="E95" s="113"/>
      <c r="F95" s="95" t="s">
        <v>118</v>
      </c>
      <c r="G95" s="96" t="n">
        <f aca="false">G92/(G85)</f>
        <v>1020.75452335724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772.581061269333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566.974494085051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1112.24352089521</v>
      </c>
      <c r="C96" s="93"/>
      <c r="D96" s="93"/>
      <c r="E96" s="113"/>
      <c r="F96" s="97" t="s">
        <v>119</v>
      </c>
      <c r="G96" s="98" t="n">
        <f aca="false">G94+G95</f>
        <v>1020.75452335724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772.581061269333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566.974494085051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234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19575</v>
      </c>
      <c r="C121" s="121" t="n">
        <f aca="false">B121</f>
        <v>19575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19575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19575</v>
      </c>
      <c r="U121" s="121" t="n">
        <f aca="false">T121</f>
        <v>19575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19575</v>
      </c>
      <c r="AD121" s="121" t="n">
        <f aca="false">AC121</f>
        <v>19575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-9764.17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-9764.17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48.9375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4893.75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19575</v>
      </c>
      <c r="C125" s="133" t="n">
        <f aca="false">C121-C124</f>
        <v>29339.17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19575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19575</v>
      </c>
      <c r="U125" s="133" t="n">
        <f aca="false">U121-U124</f>
        <v>19526.0625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19575</v>
      </c>
      <c r="AD125" s="133" t="n">
        <f aca="false">AD121-AD124</f>
        <v>14681.25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19575</v>
      </c>
      <c r="H135" s="153" t="n">
        <f aca="false">C125+E125+G125+H128</f>
        <v>29339.17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19575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19575</v>
      </c>
      <c r="Z135" s="153" t="n">
        <f aca="false">U125+W125+Y125+Z128</f>
        <v>19526.0625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19575</v>
      </c>
      <c r="AI135" s="153" t="n">
        <f aca="false">AD125+AF125+AH125+AI128</f>
        <v>14681.25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4054</v>
      </c>
      <c r="H137" s="33" t="n">
        <f aca="false">(H135+H136)*20%</f>
        <v>6006.834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4054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4054</v>
      </c>
      <c r="Z137" s="33" t="n">
        <f aca="false">(Z135+Z136)*20%</f>
        <v>4044.2125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4054</v>
      </c>
      <c r="AI137" s="33" t="n">
        <f aca="false">(AI135+AI136)*20%</f>
        <v>3075.25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24669</v>
      </c>
      <c r="H141" s="157" t="n">
        <f aca="false">(H135+H136+H139+H140+H137)-H138</f>
        <v>36386.004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24669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24669</v>
      </c>
      <c r="Z141" s="157" t="n">
        <f aca="false">(Z135+Z136+Z139+Z140+Z137)-Z138</f>
        <v>24610.275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24669</v>
      </c>
      <c r="AI141" s="157" t="n">
        <f aca="false">(AI135+AI136+AI139+AI140+AI137)-AI138</f>
        <v>18796.5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24669</v>
      </c>
      <c r="H147" s="164" t="n">
        <f aca="false">H141-((H144*1.2)+(H145*1.2)+(H146*1.2)+(H142*1.2))</f>
        <v>36386.004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24669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24669</v>
      </c>
      <c r="Z147" s="164" t="n">
        <f aca="false">Z141-((Z144*1.2)+(Z145*1.2)+(Z146*1.2)+(Z142*1.2))</f>
        <v>24610.275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24669</v>
      </c>
      <c r="AI147" s="164" t="n">
        <f aca="false">AI141-((AI144*1.2)+(AI145*1.2)+(AI146*1.2)+(AI142*1.2))</f>
        <v>18796.5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9764.17</v>
      </c>
      <c r="I148" s="1" t="n">
        <f aca="false">(H148-G81)/1.2</f>
        <v>-20101.5283333333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10865.004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-58.7249999999986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-5872.5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33886.004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25610.275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19796.5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1112.24352089521</v>
      </c>
      <c r="B167" s="177" t="str">
        <f aca="false">B94</f>
        <v>0</v>
      </c>
      <c r="C167" s="174"/>
      <c r="D167" s="174"/>
      <c r="E167" s="177" t="n">
        <f aca="false">B96</f>
        <v>1112.24352089521</v>
      </c>
      <c r="F167" s="23"/>
      <c r="G167" s="23" t="n">
        <f aca="false">ROUND(G95, 2)</f>
        <v>1020.75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772.581061269333</v>
      </c>
      <c r="T167" s="177" t="n">
        <f aca="false">T94</f>
        <v>0</v>
      </c>
      <c r="U167" s="174"/>
      <c r="V167" s="174"/>
      <c r="W167" s="177" t="n">
        <f aca="false">T96</f>
        <v>772.581061269333</v>
      </c>
      <c r="X167" s="23"/>
      <c r="Y167" s="23"/>
      <c r="Z167" s="33"/>
      <c r="AB167" s="176" t="n">
        <f aca="false">AC95</f>
        <v>566.974494085051</v>
      </c>
      <c r="AC167" s="177" t="n">
        <f aca="false">AC94</f>
        <v>0</v>
      </c>
      <c r="AD167" s="174"/>
      <c r="AE167" s="174"/>
      <c r="AF167" s="177" t="n">
        <f aca="false">AC96</f>
        <v>566.974494085051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5505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5505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5505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5505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30034.17</v>
      </c>
      <c r="B173" s="103" t="n">
        <f aca="false">H137</f>
        <v>6006.834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20221.0625</v>
      </c>
      <c r="T173" s="103" t="n">
        <f aca="false">Z137</f>
        <v>4044.2125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15376.25</v>
      </c>
      <c r="AC173" s="103" t="n">
        <f aca="false">AI137</f>
        <v>3075.25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36386.004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24610.275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18796.5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33886.004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25610.275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19796.5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9435.27571043724</v>
      </c>
      <c r="B182" s="103" t="str">
        <f aca="false">B114</f>
        <v>199.99</v>
      </c>
      <c r="C182" s="103"/>
      <c r="D182" s="23"/>
      <c r="E182" s="103" t="n">
        <f aca="false">E179+A182+(B182*1.2)+A185</f>
        <v>43571.2677104372</v>
      </c>
      <c r="F182" s="23"/>
      <c r="G182" s="23"/>
      <c r="H182" s="105"/>
      <c r="J182" s="111" t="n">
        <f aca="false">(J167*K59)+N185-N179-J185</f>
        <v>18659.9855998458</v>
      </c>
      <c r="K182" s="103" t="n">
        <f aca="false">K114</f>
        <v>239.99</v>
      </c>
      <c r="L182" s="103"/>
      <c r="M182" s="23"/>
      <c r="N182" s="103" t="n">
        <f aca="false">N179+J182+K182+J185</f>
        <v>55453.9795998458</v>
      </c>
      <c r="O182" s="23"/>
      <c r="P182" s="23"/>
      <c r="Q182" s="105"/>
      <c r="S182" s="111" t="n">
        <f aca="false">(S167*T59)+W185-W179-S185</f>
        <v>6162.48108315733</v>
      </c>
      <c r="T182" s="103" t="n">
        <f aca="false">T114</f>
        <v>199.99</v>
      </c>
      <c r="U182" s="103"/>
      <c r="V182" s="23"/>
      <c r="W182" s="103" t="n">
        <f aca="false">W179+S182+T182+S185</f>
        <v>31982.7460831573</v>
      </c>
      <c r="X182" s="23"/>
      <c r="Y182" s="23"/>
      <c r="Z182" s="105"/>
      <c r="AB182" s="111" t="n">
        <f aca="false">(AB167*AC59)+AF185-AF179-AB185</f>
        <v>4985.63279889173</v>
      </c>
      <c r="AC182" s="103" t="n">
        <f aca="false">AC114</f>
        <v>239.99</v>
      </c>
      <c r="AD182" s="103"/>
      <c r="AE182" s="23"/>
      <c r="AF182" s="103" t="n">
        <f aca="false">AF179+AB182+AC182+AB185</f>
        <v>25032.1227988917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5515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5525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5515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5515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276.500379861111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0.049338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208.972730034722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161.533940972222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376.490379861111</v>
      </c>
      <c r="C191" s="93"/>
      <c r="D191" s="93"/>
      <c r="E191" s="103" t="n">
        <f aca="false">H148</f>
        <v>9764.17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10865.004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1308.96273003472</v>
      </c>
      <c r="U191" s="93"/>
      <c r="V191" s="93"/>
      <c r="W191" s="103" t="n">
        <f aca="false">Z148</f>
        <v>-58.7249999999986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1301.52394097222</v>
      </c>
      <c r="AD191" s="93"/>
      <c r="AE191" s="93"/>
      <c r="AF191" s="103" t="n">
        <f aca="false">AI148</f>
        <v>-5872.5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1112.24352089521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772.581061269333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566.974494085051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6324.496</v>
      </c>
      <c r="B201" s="186" t="n">
        <f aca="false">E179+A201+(B182*1.2)+A185</f>
        <v>40460.488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1112.24352089521</v>
      </c>
      <c r="B212" s="177" t="str">
        <f aca="false">B167</f>
        <v>0</v>
      </c>
      <c r="C212" s="174"/>
      <c r="D212" s="174"/>
      <c r="E212" s="177" t="n">
        <f aca="false">E167</f>
        <v>1112.24352089521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30034.17</v>
      </c>
      <c r="B215" s="103" t="n">
        <f aca="false">B173</f>
        <v>6006.834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36386.004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33886.004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9435.27571043724</v>
      </c>
      <c r="B224" s="103" t="str">
        <f aca="false">B182</f>
        <v>199.99</v>
      </c>
      <c r="C224" s="103"/>
      <c r="D224" s="113"/>
      <c r="E224" s="103" t="n">
        <f aca="false">E182</f>
        <v>43571.2677104372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1112.24352089521</v>
      </c>
      <c r="B230" s="103" t="str">
        <f aca="false">B167</f>
        <v>0</v>
      </c>
      <c r="C230" s="186"/>
      <c r="D230" s="186"/>
      <c r="E230" s="103" t="n">
        <f aca="false">E167</f>
        <v>1112.24352089521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5505</v>
      </c>
      <c r="B233" s="103" t="n">
        <f aca="false">E185</f>
        <v>5515</v>
      </c>
      <c r="C233" s="93"/>
      <c r="D233" s="93"/>
      <c r="E233" s="103" t="n">
        <f aca="false">J18*0.000006*100</f>
        <v>14.5944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14.5944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9764.17</v>
      </c>
      <c r="B240" s="103" t="n">
        <f aca="false">B68</f>
        <v>276.500379861111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10140.6603798611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3120.77971043724</v>
      </c>
      <c r="C254" s="197"/>
      <c r="D254" s="198" t="s">
        <v>216</v>
      </c>
      <c r="E254" s="198"/>
      <c r="F254" s="200" t="n">
        <f aca="false">F261+F267+F269+B270+B271</f>
        <v>331.800455833333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2888.96925460391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3120.77971043724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331.800455833333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2888.96925460391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-222.578908131336</v>
      </c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-104287.5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151975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454" t="n">
        <f aca="false">G15-E14-E13-E12</f>
        <v>182370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58585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18350</v>
      </c>
      <c r="I31" s="238" t="n">
        <f aca="false">IF(C107="YES",H31,0)</f>
        <v>18350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6171.55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1437.89344050799</v>
      </c>
      <c r="E33" s="216"/>
      <c r="F33" s="63"/>
      <c r="G33" s="219" t="s">
        <v>356</v>
      </c>
      <c r="H33" s="460" t="n">
        <f aca="false">E21-E11+((E16*20%)+(E19*20%)+(E20*20%))</f>
        <v>48937.5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1261.56344050799</v>
      </c>
      <c r="B36" s="103" t="n">
        <f aca="false">IF(B26="YES", H42, "")</f>
        <v>176.33</v>
      </c>
      <c r="C36" s="221"/>
      <c r="D36" s="184" t="n">
        <f aca="false">I31</f>
        <v>18350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48937.5</v>
      </c>
      <c r="I39" s="238" t="n">
        <f aca="false">(I48*H46)+H44</f>
        <v>47801.7377150477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18350</v>
      </c>
      <c r="B40" s="107" t="n">
        <f aca="false">IF(B26="YES",H42,"0")</f>
        <v>176.33</v>
      </c>
      <c r="C40" s="107"/>
      <c r="D40" s="184" t="n">
        <f aca="false">I32</f>
        <v>6171.55</v>
      </c>
      <c r="E40" s="216"/>
      <c r="F40" s="63"/>
      <c r="G40" s="63" t="s">
        <v>106</v>
      </c>
      <c r="H40" s="238" t="n">
        <f aca="false">A40/1.2</f>
        <v>15291.6666666667</v>
      </c>
      <c r="I40" s="238" t="n">
        <f aca="false">H39-I39</f>
        <v>1135.76228495233</v>
      </c>
      <c r="J40" s="63" t="n">
        <v>23104.16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176.33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11125.251848464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37812.248151536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1261.56344050799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1437.89344050799</v>
      </c>
      <c r="I48" s="238" t="n">
        <f aca="false">I49-H42</f>
        <v>1223.67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1437.89344050799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566.790625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7377.67604166667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210.790744047619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1261.56344050799</v>
      </c>
      <c r="C83" s="215"/>
      <c r="D83" s="215"/>
      <c r="E83" s="216"/>
      <c r="F83" s="63"/>
      <c r="G83" s="305" t="s">
        <v>104</v>
      </c>
      <c r="H83" s="306" t="n">
        <f aca="false">H47</f>
        <v>1261.56344050799</v>
      </c>
      <c r="I83" s="215"/>
      <c r="J83" s="215"/>
      <c r="K83" s="216"/>
      <c r="L83" s="63"/>
      <c r="M83" s="305" t="s">
        <v>104</v>
      </c>
      <c r="N83" s="306" t="n">
        <f aca="false">H47</f>
        <v>1261.56344050799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51532.3964594464</v>
      </c>
      <c r="C85" s="215"/>
      <c r="D85" s="215"/>
      <c r="E85" s="216"/>
      <c r="F85" s="63"/>
      <c r="G85" s="288" t="s">
        <v>114</v>
      </c>
      <c r="H85" s="131" t="n">
        <f aca="false">((H83*H29)+H81)*1.2</f>
        <v>61434.8757513357</v>
      </c>
      <c r="I85" s="215"/>
      <c r="J85" s="215"/>
      <c r="K85" s="216"/>
      <c r="L85" s="63"/>
      <c r="M85" s="288" t="s">
        <v>114</v>
      </c>
      <c r="N85" s="131" t="n">
        <f aca="false">((N83*H29)+N81)</f>
        <v>50865.7297927797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436.539058349486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433.68710191544</v>
      </c>
      <c r="I86" s="215"/>
      <c r="J86" s="215"/>
      <c r="K86" s="216"/>
      <c r="L86" s="63"/>
      <c r="M86" s="214" t="s">
        <v>115</v>
      </c>
      <c r="N86" s="300" t="n">
        <f aca="false">(N85/(1-N70))*N70</f>
        <v>430.891619866226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51968.9355177959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61868.5628532511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51296.621412646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229.229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222.1758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185.1465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1484.82672907988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1546.71407133128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1282.41553531615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1714.05572907988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1768.88987133128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1467.56203531615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1546.71407133128</v>
      </c>
      <c r="H127" s="177" t="n">
        <f aca="false">IF(G105="YES", H89*H57, 0)</f>
        <v>1333.0548</v>
      </c>
      <c r="I127" s="177"/>
      <c r="J127" s="334" t="n">
        <f aca="false">H91</f>
        <v>1768.88987133128</v>
      </c>
      <c r="K127" s="216"/>
      <c r="L127" s="63"/>
      <c r="M127" s="333" t="n">
        <f aca="false">N90</f>
        <v>1282.41553531615</v>
      </c>
      <c r="N127" s="177" t="n">
        <f aca="false">IF(M105="YES", N89*N57, 0)</f>
        <v>1110.879</v>
      </c>
      <c r="O127" s="177"/>
      <c r="P127" s="177" t="n">
        <f aca="false">N91</f>
        <v>1467.56203531615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1484.82672907988</v>
      </c>
      <c r="B128" s="321" t="n">
        <f aca="false">IF(A105="YES", B89, 0)</f>
        <v>229.229</v>
      </c>
      <c r="C128" s="325"/>
      <c r="D128" s="321" t="n">
        <f aca="false">B91</f>
        <v>1714.05572907988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13363.4405617189</v>
      </c>
      <c r="C131" s="317"/>
      <c r="D131" s="38" t="n">
        <f aca="false">IF(A105="YES", B89*B57, 0)</f>
        <v>2063.061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9280.28442798767</v>
      </c>
      <c r="H133" s="103" t="n">
        <f aca="false">IF(G105="YES", H89*H57, 0)</f>
        <v>1333.0548</v>
      </c>
      <c r="I133" s="221"/>
      <c r="J133" s="184" t="n">
        <f aca="false">H91*H57</f>
        <v>10613.3392279877</v>
      </c>
      <c r="K133" s="216"/>
      <c r="L133" s="63"/>
      <c r="M133" s="185" t="n">
        <f aca="false">N90*N57</f>
        <v>7694.4932118969</v>
      </c>
      <c r="N133" s="103" t="n">
        <f aca="false">IF(M105="YES", N89*N57, 0)</f>
        <v>1110.879</v>
      </c>
      <c r="O133" s="221"/>
      <c r="P133" s="184" t="n">
        <f aca="false">N91*N57</f>
        <v>8805.3722118969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15426.5015617189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111" t="n">
        <f aca="false">E15*0.000006</f>
        <v>0.35151</v>
      </c>
      <c r="N136" s="103" t="n">
        <f aca="false">IF(M105="YES", E15*0.000002, 0)</f>
        <v>0.11717</v>
      </c>
      <c r="O136" s="103"/>
      <c r="P136" s="103" t="n">
        <f aca="false">M136+N136</f>
        <v>0.46868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1484.82672907988</v>
      </c>
      <c r="B137" s="38" t="n">
        <f aca="false">IF(A105="YES", B89, 0)</f>
        <v>229.229</v>
      </c>
      <c r="C137" s="317"/>
      <c r="D137" s="38" t="n">
        <f aca="false">B91</f>
        <v>1714.05572907988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123.431</v>
      </c>
      <c r="H142" s="103" t="n">
        <f aca="false">G102-100</f>
        <v>99.99</v>
      </c>
      <c r="I142" s="103"/>
      <c r="J142" s="103" t="n">
        <f aca="false">(H139+J139+G142+H142)-H145</f>
        <v>1168.07204166667</v>
      </c>
      <c r="K142" s="105"/>
      <c r="L142" s="63"/>
      <c r="M142" s="111" t="n">
        <f aca="false">IF(M105="YES", ((B36*N105)*0.1)*(M130), 0)</f>
        <v>123.431</v>
      </c>
      <c r="N142" s="103" t="n">
        <f aca="false">M102-100</f>
        <v>99.99</v>
      </c>
      <c r="O142" s="103"/>
      <c r="P142" s="103" t="n">
        <f aca="false">(N139+P139+M142+N142)-N145</f>
        <v>1168.07204166667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566.790625</v>
      </c>
      <c r="B148" s="38" t="n">
        <f aca="false">B102</f>
        <v>400</v>
      </c>
      <c r="C148" s="38"/>
      <c r="D148" s="38" t="n">
        <f aca="false">IF(A105="YES", (B40*B105)*B125, 0)*0.1</f>
        <v>185.1465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1251.927125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1768.88987133128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1467.56203531615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1714.05572907988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1484.82672907988</v>
      </c>
      <c r="B177" s="355" t="n">
        <f aca="false">IF(A105="YES", B89, 0)</f>
        <v>229.229</v>
      </c>
      <c r="C177" s="357"/>
      <c r="D177" s="355" t="n">
        <f aca="false">B91</f>
        <v>1714.05572907988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13363.4405617189</v>
      </c>
      <c r="C180" s="353"/>
      <c r="D180" s="103" t="n">
        <f aca="false">IF(A105="YES", B89*B57, 0)</f>
        <v>2063.061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15426.5015617189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1484.82672907988</v>
      </c>
      <c r="B186" s="103" t="n">
        <f aca="false">IF(A105="YES", B89, 0)</f>
        <v>229.229</v>
      </c>
      <c r="C186" s="353"/>
      <c r="D186" s="103" t="n">
        <f aca="false">B91</f>
        <v>1714.05572907988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566.790625</v>
      </c>
      <c r="B197" s="103" t="n">
        <f aca="false">B102</f>
        <v>400</v>
      </c>
      <c r="C197" s="103"/>
      <c r="D197" s="103" t="n">
        <f aca="false">IF(A105="YES", (B40*B105)*B125, 0)*0.1</f>
        <v>185.1465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1251.927125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566.790625</v>
      </c>
      <c r="C211" s="320" t="s">
        <v>217</v>
      </c>
      <c r="D211" s="370" t="n">
        <f aca="false">B225+E221+B221+B223</f>
        <v>2191.455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7618.17375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566.790625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7618.17375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1851.465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436.539058349486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454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21273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200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21033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5010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485.362209553537</v>
      </c>
      <c r="E33" s="216"/>
      <c r="F33" s="63"/>
      <c r="G33" s="219" t="s">
        <v>356</v>
      </c>
      <c r="H33" s="460" t="n">
        <f aca="false">E21-E11+((E16*20%)+(E19*20%)+(E20*20%))</f>
        <v>17585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485.362209553537</v>
      </c>
      <c r="B36" s="103" t="str">
        <f aca="false">IF(B26="YES", H42, "")</f>
        <v/>
      </c>
      <c r="C36" s="221"/>
      <c r="D36" s="184" t="n">
        <f aca="false">H31</f>
        <v>5010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17585</v>
      </c>
      <c r="I39" s="238" t="n">
        <f aca="false">(I48*H46)+H44</f>
        <v>44999.0086741957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5010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(A40)/1.2</f>
        <v>4175</v>
      </c>
      <c r="I40" s="238" t="n">
        <f aca="false">H39-I39</f>
        <v>-27414.0086741957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3037.46658097029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14547.5334190297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485.362209553537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485.362209553537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485.362209553537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2166.92</v>
      </c>
      <c r="C64" s="215" t="n">
        <v>10000</v>
      </c>
      <c r="D64" s="291" t="n">
        <f aca="false">B64-A143</f>
        <v>2166.92</v>
      </c>
      <c r="E64" s="466" t="n">
        <f aca="false">D64/(B58+B57)</f>
        <v>61.912</v>
      </c>
      <c r="F64" s="63"/>
      <c r="G64" s="285" t="s">
        <v>90</v>
      </c>
      <c r="H64" s="133" t="n">
        <f aca="false">H61*H63</f>
        <v>2166.92</v>
      </c>
      <c r="I64" s="215"/>
      <c r="J64" s="291" t="n">
        <f aca="false">H64-G145</f>
        <v>2166.92</v>
      </c>
      <c r="K64" s="216"/>
      <c r="L64" s="63"/>
      <c r="M64" s="285" t="s">
        <v>90</v>
      </c>
      <c r="N64" s="133" t="n">
        <f aca="false">N61*N63</f>
        <v>2166.92</v>
      </c>
      <c r="O64" s="215"/>
      <c r="P64" s="291" t="n">
        <f aca="false">N64-M145</f>
        <v>2166.92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204.92</v>
      </c>
      <c r="C67" s="215"/>
      <c r="D67" s="291"/>
      <c r="E67" s="216"/>
      <c r="F67" s="63"/>
      <c r="G67" s="285" t="s">
        <v>93</v>
      </c>
      <c r="H67" s="133" t="n">
        <f aca="false">(H61*H66)/1.2</f>
        <v>341.533333333333</v>
      </c>
      <c r="I67" s="215"/>
      <c r="J67" s="291"/>
      <c r="K67" s="216"/>
      <c r="L67" s="63"/>
      <c r="M67" s="285" t="s">
        <v>93</v>
      </c>
      <c r="N67" s="133" t="n">
        <f aca="false">(N61*N66)/1.2</f>
        <v>341.533333333333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291" t="n">
        <f aca="false">B73+B71</f>
        <v>317.5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370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1100</v>
      </c>
      <c r="C76" s="215"/>
      <c r="D76" s="291" t="n">
        <f aca="false">B76</f>
        <v>1100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0</v>
      </c>
      <c r="C77" s="215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466" t="n">
        <f aca="false">(D73+D76+D79+D80)/(B58+B57)</f>
        <v>51.9285714285714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3984.42</v>
      </c>
      <c r="C81" s="215"/>
      <c r="D81" s="215"/>
      <c r="E81" s="466"/>
      <c r="F81" s="63"/>
      <c r="G81" s="303" t="s">
        <v>102</v>
      </c>
      <c r="H81" s="304" t="n">
        <f aca="false">SUM(J64:J80)</f>
        <v>3214.42</v>
      </c>
      <c r="I81" s="215"/>
      <c r="J81" s="215"/>
      <c r="K81" s="216"/>
      <c r="L81" s="63"/>
      <c r="M81" s="303" t="s">
        <v>102</v>
      </c>
      <c r="N81" s="304" t="n">
        <f aca="false">SUM(P64:P80)</f>
        <v>2884.42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113.840571428571</v>
      </c>
      <c r="C82" s="215"/>
      <c r="D82" s="215"/>
      <c r="E82" s="466"/>
      <c r="F82" s="63"/>
      <c r="G82" s="214" t="s">
        <v>103</v>
      </c>
      <c r="H82" s="300" t="n">
        <f aca="false">H81/H29</f>
        <v>91.8405714285714</v>
      </c>
      <c r="I82" s="215"/>
      <c r="J82" s="215"/>
      <c r="K82" s="216"/>
      <c r="L82" s="63"/>
      <c r="M82" s="214" t="s">
        <v>103</v>
      </c>
      <c r="N82" s="300" t="n">
        <f aca="false">N81/H29</f>
        <v>82.412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485.362209553537</v>
      </c>
      <c r="C83" s="215"/>
      <c r="D83" s="215"/>
      <c r="E83" s="466" t="n">
        <f aca="false">B83+E80+E77+E64</f>
        <v>599.202780982108</v>
      </c>
      <c r="F83" s="63"/>
      <c r="G83" s="305" t="s">
        <v>104</v>
      </c>
      <c r="H83" s="306" t="n">
        <f aca="false">H47</f>
        <v>485.362209553537</v>
      </c>
      <c r="I83" s="215"/>
      <c r="J83" s="215"/>
      <c r="K83" s="216"/>
      <c r="L83" s="63"/>
      <c r="M83" s="305" t="s">
        <v>104</v>
      </c>
      <c r="N83" s="306" t="n">
        <f aca="false">H47</f>
        <v>485.362209553537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25166.5168012485</v>
      </c>
      <c r="C85" s="215"/>
      <c r="D85" s="215"/>
      <c r="E85" s="466" t="n">
        <f aca="false">B85/(B58+B57)</f>
        <v>719.04333717853</v>
      </c>
      <c r="F85" s="63"/>
      <c r="G85" s="288" t="s">
        <v>114</v>
      </c>
      <c r="H85" s="131" t="n">
        <f aca="false">((H83*H29)+H81)*1.2</f>
        <v>24242.5168012485</v>
      </c>
      <c r="I85" s="215"/>
      <c r="J85" s="215"/>
      <c r="K85" s="216"/>
      <c r="L85" s="63"/>
      <c r="M85" s="288" t="s">
        <v>114</v>
      </c>
      <c r="N85" s="131" t="n">
        <f aca="false">((N83*H29)+N81)</f>
        <v>19872.0973343738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177.657944341206</v>
      </c>
      <c r="C86" s="215"/>
      <c r="D86" s="215"/>
      <c r="E86" s="466" t="n">
        <f aca="false">B86/(B58+B57)</f>
        <v>5.0759412668916</v>
      </c>
      <c r="F86" s="63"/>
      <c r="G86" s="214" t="s">
        <v>115</v>
      </c>
      <c r="H86" s="300" t="n">
        <f aca="false">((((H83*H29)+H81))/(1-H70))*H70</f>
        <v>171.135152893041</v>
      </c>
      <c r="I86" s="215"/>
      <c r="J86" s="215"/>
      <c r="K86" s="216"/>
      <c r="L86" s="63"/>
      <c r="M86" s="214" t="s">
        <v>115</v>
      </c>
      <c r="N86" s="300" t="n">
        <f aca="false">(N85/(1-N70))*N70</f>
        <v>168.339670843828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25344.1747455897</v>
      </c>
      <c r="C87" s="215"/>
      <c r="D87" s="215"/>
      <c r="E87" s="466" t="n">
        <f aca="false">E86+E85</f>
        <v>724.119278445421</v>
      </c>
      <c r="F87" s="63"/>
      <c r="G87" s="285" t="s">
        <v>116</v>
      </c>
      <c r="H87" s="133" t="n">
        <f aca="false">IF(H110="YES",((H85+H86)-K114),(H85+H86))</f>
        <v>24413.6519541416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20040.4370052176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0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724.119278445421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610.341298853539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501.01092513044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724.119278445421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610.341298853539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501.01092513044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610.341298853539</v>
      </c>
      <c r="H127" s="177" t="n">
        <f aca="false">IF(G105="YES", H89*H57, 0)</f>
        <v>0</v>
      </c>
      <c r="I127" s="177"/>
      <c r="J127" s="334" t="n">
        <f aca="false">H91</f>
        <v>610.341298853539</v>
      </c>
      <c r="K127" s="216"/>
      <c r="L127" s="63"/>
      <c r="M127" s="333" t="n">
        <f aca="false">N90</f>
        <v>501.01092513044</v>
      </c>
      <c r="N127" s="177" t="n">
        <f aca="false">IF(M105="YES", N89*N57, 0)</f>
        <v>0</v>
      </c>
      <c r="O127" s="177"/>
      <c r="P127" s="177" t="n">
        <f aca="false">N91</f>
        <v>501.01092513044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724.119278445421</v>
      </c>
      <c r="B128" s="321" t="n">
        <f aca="false">IF(A105="YES", B89, 0)</f>
        <v>0</v>
      </c>
      <c r="C128" s="325"/>
      <c r="D128" s="321" t="n">
        <f aca="false">B91</f>
        <v>724.119278445421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6517.07350600879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3662.04779312124</v>
      </c>
      <c r="H133" s="103" t="n">
        <f aca="false">IF(G105="YES", H89*H57, 0)</f>
        <v>0</v>
      </c>
      <c r="I133" s="221"/>
      <c r="J133" s="184" t="n">
        <f aca="false">H91*H57</f>
        <v>3662.04779312124</v>
      </c>
      <c r="K133" s="216"/>
      <c r="L133" s="63"/>
      <c r="M133" s="185" t="n">
        <f aca="false">N90*N57</f>
        <v>3006.06555078264</v>
      </c>
      <c r="N133" s="103" t="n">
        <f aca="false">IF(M105="YES", N89*N57, 0)</f>
        <v>0</v>
      </c>
      <c r="O133" s="221"/>
      <c r="P133" s="184" t="n">
        <f aca="false">N91*N57</f>
        <v>3006.06555078264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6517.07350600879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111" t="n">
        <f aca="false">E15*0.000006</f>
        <v>0.127638</v>
      </c>
      <c r="N136" s="103" t="n">
        <f aca="false">IF(M105="YES", E15*0.000002, 0)</f>
        <v>0.042546</v>
      </c>
      <c r="O136" s="103"/>
      <c r="P136" s="103" t="n">
        <f aca="false">M136+N136</f>
        <v>0.170184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724.119278445421</v>
      </c>
      <c r="B137" s="38" t="n">
        <f aca="false">IF(A105="YES", B89, 0)</f>
        <v>0</v>
      </c>
      <c r="C137" s="317"/>
      <c r="D137" s="38" t="n">
        <f aca="false">B91</f>
        <v>724.119278445421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341.533333333333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341.533333333333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204.92</v>
      </c>
      <c r="B148" s="38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304.911666666667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610.341298853539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501.01092513044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724.119278445421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724.119278445421</v>
      </c>
      <c r="B177" s="355" t="n">
        <f aca="false">IF(A105="YES", B89, 0)</f>
        <v>0</v>
      </c>
      <c r="C177" s="357"/>
      <c r="D177" s="355" t="n">
        <f aca="false">B91</f>
        <v>724.119278445421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6517.07350600879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6517.07350600879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724.119278445421</v>
      </c>
      <c r="B186" s="103" t="n">
        <f aca="false">IF(A105="YES", B89, 0)</f>
        <v>0</v>
      </c>
      <c r="C186" s="353"/>
      <c r="D186" s="103" t="n">
        <f aca="false">B91</f>
        <v>724.119278445421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204.92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304.911666666667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2166.92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204.92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2061.99166666667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2166.92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204.92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2061.99166666667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177.657944341206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-809.351050064696</v>
      </c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16745</v>
      </c>
      <c r="F9" s="63"/>
      <c r="G9" s="454" t="n">
        <f aca="false">E9-G11</f>
        <v>-135525.833333333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3488</v>
      </c>
      <c r="F11" s="63"/>
      <c r="G11" s="454" t="n">
        <f aca="false">G13/1.2</f>
        <v>152270.833333333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290</v>
      </c>
      <c r="F13" s="63"/>
      <c r="G13" s="454" t="n">
        <f aca="false">G15-E14-E13-E12</f>
        <v>182725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21273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3270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405.9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800.19705710872</v>
      </c>
      <c r="E33" s="216"/>
      <c r="F33" s="63"/>
      <c r="G33" s="219" t="s">
        <v>356</v>
      </c>
      <c r="H33" s="460" t="n">
        <f aca="false">E21-E11+((E16*20%)+(E19*20%)+(E20*20%))</f>
        <v>17785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781.74705710872</v>
      </c>
      <c r="B36" s="103" t="n">
        <f aca="false">IF(B26="YES", H42, "")</f>
        <v>18.45</v>
      </c>
      <c r="C36" s="221"/>
      <c r="D36" s="184" t="n">
        <f aca="false">H31</f>
        <v>3270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17785</v>
      </c>
      <c r="I39" s="238" t="n">
        <f aca="false">(I48*H46)+H44</f>
        <v>29724.4351024396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3270</v>
      </c>
      <c r="B40" s="107" t="n">
        <f aca="false">IF(B26="YES",H42,"0")</f>
        <v>18.45</v>
      </c>
      <c r="C40" s="107"/>
      <c r="D40" s="184" t="n">
        <f aca="false">I32</f>
        <v>405.9</v>
      </c>
      <c r="E40" s="216"/>
      <c r="F40" s="63"/>
      <c r="G40" s="63" t="s">
        <v>106</v>
      </c>
      <c r="H40" s="238" t="n">
        <f aca="false">A40/1.2</f>
        <v>2725</v>
      </c>
      <c r="I40" s="238" t="n">
        <f aca="false">H39-I39</f>
        <v>-11939.4351024396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18.45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2223.85885274069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15561.1411472593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19.905596069414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781.74705710872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800.19705710872</v>
      </c>
      <c r="I48" s="238" t="n">
        <f aca="false">I49-H42</f>
        <v>1381.55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800.19705710872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0.0845833333333333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465" t="n">
        <v>10000</v>
      </c>
      <c r="D64" s="291" t="n">
        <f aca="false">B64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0.00708333333333333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E15*B66</f>
        <v>150.68375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99</v>
      </c>
      <c r="C73" s="215"/>
      <c r="D73" s="472" t="n">
        <f aca="false">B73+B71</f>
        <v>259</v>
      </c>
      <c r="E73" s="216" t="s">
        <v>227</v>
      </c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29.9545454545454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2429.16</v>
      </c>
      <c r="C81" s="473"/>
      <c r="D81" s="474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110.416363636364</v>
      </c>
      <c r="C82" s="473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781.74705710872</v>
      </c>
      <c r="C83" s="473"/>
      <c r="D83" s="215"/>
      <c r="E83" s="466" t="n">
        <f aca="false">B83+E80+E77+E64</f>
        <v>892.163420745084</v>
      </c>
      <c r="F83" s="63"/>
      <c r="G83" s="305" t="s">
        <v>104</v>
      </c>
      <c r="H83" s="306" t="n">
        <f aca="false">H47</f>
        <v>781.74705710872</v>
      </c>
      <c r="I83" s="215"/>
      <c r="J83" s="215"/>
      <c r="K83" s="216"/>
      <c r="L83" s="63"/>
      <c r="M83" s="305" t="s">
        <v>104</v>
      </c>
      <c r="N83" s="306" t="n">
        <f aca="false">H47</f>
        <v>781.74705710872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19627.5952563918</v>
      </c>
      <c r="C85" s="473"/>
      <c r="D85" s="473"/>
      <c r="E85" s="466" t="n">
        <f aca="false">B85/(B58+B57)</f>
        <v>892.163420745084</v>
      </c>
      <c r="F85" s="63"/>
      <c r="G85" s="288" t="s">
        <v>114</v>
      </c>
      <c r="H85" s="131" t="n">
        <f aca="false">((H83*H29)+H81)*1.2</f>
        <v>23734.6143076702</v>
      </c>
      <c r="I85" s="215"/>
      <c r="J85" s="215"/>
      <c r="K85" s="216"/>
      <c r="L85" s="63"/>
      <c r="M85" s="288" t="s">
        <v>114</v>
      </c>
      <c r="N85" s="131" t="n">
        <f aca="false">((N83*H29)+N81)</f>
        <v>19627.5952563918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166.26845517718</v>
      </c>
      <c r="C86" s="473" t="s">
        <v>230</v>
      </c>
      <c r="D86" s="215"/>
      <c r="E86" s="466" t="n">
        <f aca="false">B86/(B58+B57)</f>
        <v>7.55765705350817</v>
      </c>
      <c r="F86" s="63"/>
      <c r="G86" s="214" t="s">
        <v>115</v>
      </c>
      <c r="H86" s="300" t="n">
        <f aca="false">((((H83*H29)+H81))/(1-H70))*H70</f>
        <v>167.549717783069</v>
      </c>
      <c r="I86" s="215"/>
      <c r="J86" s="215"/>
      <c r="K86" s="216"/>
      <c r="L86" s="63"/>
      <c r="M86" s="214" t="s">
        <v>115</v>
      </c>
      <c r="N86" s="300" t="n">
        <f aca="false">(N85/(1-N70))*N70</f>
        <v>166.26845517718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19793.863711569</v>
      </c>
      <c r="C87" s="473"/>
      <c r="D87" s="475"/>
      <c r="E87" s="466" t="n">
        <f aca="false">E86+E85</f>
        <v>899.721077798592</v>
      </c>
      <c r="F87" s="63"/>
      <c r="G87" s="285" t="s">
        <v>116</v>
      </c>
      <c r="H87" s="133" t="n">
        <f aca="false">IF(H110="YES",((H85+H86)-K114),(H85+H86))</f>
        <v>23902.1640254533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19793.863711569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22.14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21.648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18.04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899.721077798592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885.265334276048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733.106063391445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921.861077798592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906.913334276048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751.146063391445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885.265334276048</v>
      </c>
      <c r="H127" s="177" t="n">
        <f aca="false">IF(G105="YES", H89*H57, 0)</f>
        <v>129.888</v>
      </c>
      <c r="I127" s="177"/>
      <c r="J127" s="334" t="n">
        <f aca="false">H91</f>
        <v>906.913334276048</v>
      </c>
      <c r="K127" s="216"/>
      <c r="L127" s="63"/>
      <c r="M127" s="333" t="n">
        <f aca="false">N90</f>
        <v>733.106063391445</v>
      </c>
      <c r="N127" s="177" t="n">
        <f aca="false">IF(M105="YES", N89*N57, 0)</f>
        <v>108.24</v>
      </c>
      <c r="O127" s="177"/>
      <c r="P127" s="177" t="n">
        <f aca="false">N91</f>
        <v>751.146063391445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899.721077798592</v>
      </c>
      <c r="B128" s="321" t="n">
        <f aca="false">IF(A105="YES", B89, 0)</f>
        <v>22.14</v>
      </c>
      <c r="C128" s="325"/>
      <c r="D128" s="321" t="n">
        <f aca="false">B91</f>
        <v>921.861077798592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899.721077798592</v>
      </c>
      <c r="C131" s="317"/>
      <c r="D131" s="38" t="n">
        <f aca="false">IF(A105="YES", B89*B57, 0)</f>
        <v>22.14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5311.59200565629</v>
      </c>
      <c r="H133" s="103" t="n">
        <f aca="false">IF(G105="YES", H89*H57, 0)</f>
        <v>129.888</v>
      </c>
      <c r="I133" s="221"/>
      <c r="J133" s="184" t="n">
        <f aca="false">H91*H57</f>
        <v>5441.48000565629</v>
      </c>
      <c r="K133" s="216"/>
      <c r="L133" s="63"/>
      <c r="M133" s="185" t="n">
        <f aca="false">N90*N57</f>
        <v>4398.63638034867</v>
      </c>
      <c r="N133" s="103" t="n">
        <f aca="false">IF(M105="YES", N89*N57, 0)</f>
        <v>108.24</v>
      </c>
      <c r="O133" s="221"/>
      <c r="P133" s="184" t="n">
        <f aca="false">N91*N57</f>
        <v>4506.87638034867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921.861077798592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111" t="n">
        <f aca="false">E15*0.000006</f>
        <v>0.127638</v>
      </c>
      <c r="N136" s="103" t="n">
        <f aca="false">IF(M105="YES", E15*0.000002, 0)</f>
        <v>0.042546</v>
      </c>
      <c r="O136" s="103"/>
      <c r="P136" s="103" t="n">
        <f aca="false">M136+N136</f>
        <v>0.170184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899.721077798592</v>
      </c>
      <c r="B137" s="38" t="n">
        <f aca="false">IF(A105="YES", B89, 0)</f>
        <v>22.14</v>
      </c>
      <c r="C137" s="317"/>
      <c r="D137" s="38" t="n">
        <f aca="false">B91</f>
        <v>921.861077798592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8.118</v>
      </c>
      <c r="H142" s="103" t="n">
        <f aca="false">G102-100</f>
        <v>99.99</v>
      </c>
      <c r="I142" s="103"/>
      <c r="J142" s="103" t="n">
        <f aca="false">(H139+J139+G142+H142)-H145</f>
        <v>355.174666666667</v>
      </c>
      <c r="K142" s="105"/>
      <c r="L142" s="63"/>
      <c r="M142" s="111" t="n">
        <f aca="false">IF(M105="YES", ((B36*N105)*0.1)*(M130), 0)</f>
        <v>8.118</v>
      </c>
      <c r="N142" s="103" t="n">
        <f aca="false">M102-100</f>
        <v>99.99</v>
      </c>
      <c r="O142" s="103"/>
      <c r="P142" s="103" t="n">
        <f aca="false">(N139+P139+M142+N142)-N145</f>
        <v>355.174666666667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150.68375</v>
      </c>
      <c r="B148" s="103" t="n">
        <f aca="false">B102</f>
        <v>0</v>
      </c>
      <c r="C148" s="38"/>
      <c r="D148" s="38" t="n">
        <f aca="false">IF(A105="YES", (B40*B105)*B125, 0)*0.1</f>
        <v>8.118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258.79175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906.913334276048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751.146063391445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921.861077798592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899.721077798592</v>
      </c>
      <c r="B177" s="355" t="n">
        <f aca="false">IF(A105="YES", B89, 0)</f>
        <v>22.14</v>
      </c>
      <c r="C177" s="357"/>
      <c r="D177" s="355" t="n">
        <f aca="false">B91</f>
        <v>921.861077798592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899.721077798592</v>
      </c>
      <c r="C180" s="353"/>
      <c r="D180" s="103" t="n">
        <f aca="false">IF(A105="YES", B89*B57, 0)</f>
        <v>22.14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921.861077798592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899.721077798592</v>
      </c>
      <c r="B186" s="103" t="n">
        <f aca="false">IF(A105="YES", B89, 0)</f>
        <v>22.14</v>
      </c>
      <c r="C186" s="353"/>
      <c r="D186" s="103" t="n">
        <f aca="false">B91</f>
        <v>921.861077798592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150.68375</v>
      </c>
      <c r="B197" s="103" t="n">
        <f aca="false">B102</f>
        <v>0</v>
      </c>
      <c r="C197" s="103"/>
      <c r="D197" s="103" t="n">
        <f aca="false">IF(A105="YES", (B40*B105)*B125, 0)*0.1</f>
        <v>8.118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258.79175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150.68375</v>
      </c>
      <c r="C211" s="320" t="s">
        <v>217</v>
      </c>
      <c r="D211" s="370" t="n">
        <f aca="false">B225+E221+B221+B223</f>
        <v>181.17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1800.64625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0.00708333333333333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150.68375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1800.64625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81.18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259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166.26845517718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387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13613.54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13709.6420371117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1142.47016975931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1142.47016975931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1171.69258941778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1142.47016975931</v>
      </c>
      <c r="B128" s="321" t="n">
        <f aca="false">IF(A105="YES", B89, 0)</f>
        <v>0</v>
      </c>
      <c r="C128" s="326"/>
      <c r="D128" s="321" t="n">
        <f aca="false">B91</f>
        <v>1142.47016975931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0</v>
      </c>
      <c r="I130" s="177"/>
      <c r="J130" s="334" t="n">
        <f aca="false">H91</f>
        <v>1171.69258941778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1142.47016975931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0</v>
      </c>
      <c r="I133" s="221"/>
      <c r="J133" s="184" t="n">
        <f aca="false">H91*H57</f>
        <v>1171.69258941778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1142.47016975931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1142.47016975931</v>
      </c>
      <c r="B137" s="38" t="n">
        <f aca="false">IF(A105="YES", B89, 0)</f>
        <v>0</v>
      </c>
      <c r="C137" s="317"/>
      <c r="D137" s="38" t="n">
        <f aca="false">B91</f>
        <v>1142.47016975931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1509.413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789.415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1171.69258941778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1142.47016975931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1142.47016975931</v>
      </c>
      <c r="B171" s="355" t="n">
        <f aca="false">IF(A105="YES", B89, 0)</f>
        <v>0</v>
      </c>
      <c r="C171" s="358"/>
      <c r="D171" s="355" t="n">
        <f aca="false">B91</f>
        <v>1142.47016975931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1142.47016975931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1142.47016975931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1142.47016975931</v>
      </c>
      <c r="B180" s="103" t="n">
        <f aca="false">IF(A105="YES", B89, 0)</f>
        <v>0</v>
      </c>
      <c r="C180" s="353"/>
      <c r="D180" s="103" t="n">
        <f aca="false">B91</f>
        <v>1142.47016975931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789.415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4102.515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4102.515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19575.0</v>
      </c>
      <c r="C3" s="498" t="n">
        <v>0.0</v>
      </c>
      <c r="D3" s="498" t="n">
        <v>0.0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695.0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45174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300.0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100.0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8090.96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8159.49979830577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679.958316525481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739.958316525481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20.0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391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679.958316525481</v>
      </c>
      <c r="B128" s="321" t="n">
        <f aca="false">IF(A105="YES", B89, 0)</f>
        <v>60</v>
      </c>
      <c r="C128" s="326"/>
      <c r="D128" s="321" t="n">
        <f aca="false">B91</f>
        <v>739.958316525481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679.958316525481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739.958316525481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679.958316525481</v>
      </c>
      <c r="B137" s="38" t="n">
        <f aca="false">IF(A105="YES", B89, 0)</f>
        <v>60</v>
      </c>
      <c r="C137" s="317"/>
      <c r="D137" s="38" t="n">
        <f aca="false">B91</f>
        <v>739.958316525481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739.958316525481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679.958316525481</v>
      </c>
      <c r="B171" s="355" t="n">
        <f aca="false">IF(A105="YES", B89, 0)</f>
        <v>60</v>
      </c>
      <c r="C171" s="358"/>
      <c r="D171" s="355" t="n">
        <f aca="false">B91</f>
        <v>739.958316525481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679.958316525481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739.958316525481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679.958316525481</v>
      </c>
      <c r="B180" s="103" t="n">
        <f aca="false">IF(A105="YES", B89, 0)</f>
        <v>60</v>
      </c>
      <c r="C180" s="353"/>
      <c r="D180" s="103" t="n">
        <f aca="false">B91</f>
        <v>739.958316525481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2023-09-04T14:09:05Z</dcterms:modified>
  <cp:revision>880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